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alues and Rates\2014-2015\Values\"/>
    </mc:Choice>
  </mc:AlternateContent>
  <bookViews>
    <workbookView xWindow="-15" yWindow="-15" windowWidth="11955" windowHeight="6585"/>
  </bookViews>
  <sheets>
    <sheet name="2014-2015 Values" sheetId="1" r:id="rId1"/>
  </sheets>
  <definedNames>
    <definedName name="_xlnm.Print_Area" localSheetId="0">'2014-2015 Values'!$A$3:$K$91</definedName>
    <definedName name="Print_Area_MI">'2014-2015 Values'!$A$3:$K$91</definedName>
    <definedName name="_xlnm.Print_Titles" localSheetId="0">'2014-2015 Values'!$1:$1</definedName>
    <definedName name="Z_372C68E4_9DD9_439A_81C0_1FDD186C00B0_.wvu.Cols" localSheetId="0" hidden="1">'2014-2015 Values'!#REF!</definedName>
    <definedName name="Z_372C68E4_9DD9_439A_81C0_1FDD186C00B0_.wvu.PrintArea" localSheetId="0" hidden="1">'2014-2015 Values'!#REF!</definedName>
    <definedName name="Z_372C68E4_9DD9_439A_81C0_1FDD186C00B0_.wvu.PrintTitles" localSheetId="0" hidden="1">'2014-2015 Values'!$1:$1</definedName>
    <definedName name="Z_665D82DB_D8A5_4432_B5F7_412CE5F1BDB9_.wvu.Cols" localSheetId="0" hidden="1">'2014-2015 Values'!$B:$C,'2014-2015 Values'!$E:$F,'2014-2015 Values'!#REF!</definedName>
    <definedName name="Z_665D82DB_D8A5_4432_B5F7_412CE5F1BDB9_.wvu.PrintArea" localSheetId="0" hidden="1">'2014-2015 Values'!$A$3:$K$91</definedName>
  </definedNames>
  <calcPr calcId="152511"/>
  <customWorkbookViews>
    <customWorkbookView name="District Values" guid="{372C68E4-9DD9-439A-81C0-1FDD186C00B0}" maximized="1" windowWidth="796" windowHeight="438" activeSheetId="1"/>
    <customWorkbookView name="2002-2003 Values" guid="{665D82DB-D8A5-4432-B5F7-412CE5F1BDB9}" maximized="1" windowWidth="796" windowHeight="438" activeSheetId="1"/>
  </customWorkbookViews>
</workbook>
</file>

<file path=xl/calcChain.xml><?xml version="1.0" encoding="utf-8"?>
<calcChain xmlns="http://schemas.openxmlformats.org/spreadsheetml/2006/main">
  <c r="M92" i="1" l="1"/>
  <c r="M10" i="1" l="1"/>
  <c r="M13" i="1"/>
  <c r="M12" i="1"/>
  <c r="M11" i="1"/>
  <c r="M9" i="1"/>
  <c r="M55" i="1"/>
  <c r="M54" i="1"/>
  <c r="G54" i="1"/>
  <c r="K54" i="1" s="1"/>
  <c r="D54" i="1"/>
  <c r="M49" i="1"/>
  <c r="M51" i="1"/>
  <c r="M41" i="1"/>
  <c r="G41" i="1"/>
  <c r="D41" i="1"/>
  <c r="L41" i="1" s="1"/>
  <c r="M42" i="1"/>
  <c r="G42" i="1"/>
  <c r="D42" i="1"/>
  <c r="M66" i="1"/>
  <c r="M53" i="1"/>
  <c r="M65" i="1"/>
  <c r="M52" i="1"/>
  <c r="M64" i="1"/>
  <c r="M63" i="1"/>
  <c r="M62" i="1"/>
  <c r="M61" i="1"/>
  <c r="M60" i="1"/>
  <c r="M50" i="1"/>
  <c r="M48" i="1"/>
  <c r="M59" i="1"/>
  <c r="M47" i="1"/>
  <c r="M46" i="1"/>
  <c r="M58" i="1"/>
  <c r="M45" i="1"/>
  <c r="M44" i="1"/>
  <c r="M57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0" i="1"/>
  <c r="M69" i="1"/>
  <c r="M77" i="1"/>
  <c r="M76" i="1"/>
  <c r="M75" i="1"/>
  <c r="M74" i="1"/>
  <c r="M73" i="1"/>
  <c r="M72" i="1"/>
  <c r="M7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J92" i="1"/>
  <c r="J55" i="1"/>
  <c r="J67" i="1"/>
  <c r="J91" i="1"/>
  <c r="L54" i="1" l="1"/>
  <c r="L42" i="1"/>
  <c r="K41" i="1"/>
  <c r="K42" i="1"/>
  <c r="M67" i="1"/>
  <c r="M91" i="1"/>
  <c r="I67" i="1"/>
  <c r="H67" i="1"/>
  <c r="F67" i="1"/>
  <c r="E67" i="1"/>
  <c r="C67" i="1"/>
  <c r="B67" i="1"/>
  <c r="I55" i="1"/>
  <c r="H55" i="1"/>
  <c r="F55" i="1"/>
  <c r="E55" i="1"/>
  <c r="C55" i="1"/>
  <c r="B55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6" i="1"/>
  <c r="G65" i="1"/>
  <c r="G64" i="1"/>
  <c r="G63" i="1"/>
  <c r="G62" i="1"/>
  <c r="G61" i="1"/>
  <c r="G60" i="1"/>
  <c r="G59" i="1"/>
  <c r="G58" i="1"/>
  <c r="G57" i="1"/>
  <c r="G53" i="1"/>
  <c r="G52" i="1"/>
  <c r="G51" i="1"/>
  <c r="G50" i="1"/>
  <c r="G49" i="1"/>
  <c r="G48" i="1"/>
  <c r="G47" i="1"/>
  <c r="G46" i="1"/>
  <c r="G45" i="1"/>
  <c r="G44" i="1"/>
  <c r="I91" i="1"/>
  <c r="H91" i="1"/>
  <c r="F91" i="1"/>
  <c r="E91" i="1"/>
  <c r="C91" i="1"/>
  <c r="B91" i="1"/>
  <c r="D90" i="1"/>
  <c r="L90" i="1" s="1"/>
  <c r="D89" i="1"/>
  <c r="L89" i="1" s="1"/>
  <c r="D88" i="1"/>
  <c r="L88" i="1" s="1"/>
  <c r="D87" i="1"/>
  <c r="L87" i="1" s="1"/>
  <c r="D86" i="1"/>
  <c r="L86" i="1" s="1"/>
  <c r="D85" i="1"/>
  <c r="L85" i="1" s="1"/>
  <c r="D84" i="1"/>
  <c r="L84" i="1" s="1"/>
  <c r="D83" i="1"/>
  <c r="L83" i="1" s="1"/>
  <c r="D82" i="1"/>
  <c r="L82" i="1" s="1"/>
  <c r="D81" i="1"/>
  <c r="L81" i="1" s="1"/>
  <c r="D80" i="1"/>
  <c r="L80" i="1" s="1"/>
  <c r="D79" i="1"/>
  <c r="L79" i="1" s="1"/>
  <c r="D78" i="1"/>
  <c r="L78" i="1" s="1"/>
  <c r="D77" i="1"/>
  <c r="L77" i="1" s="1"/>
  <c r="D76" i="1"/>
  <c r="L76" i="1" s="1"/>
  <c r="D75" i="1"/>
  <c r="L75" i="1" s="1"/>
  <c r="D74" i="1"/>
  <c r="L74" i="1" s="1"/>
  <c r="D73" i="1"/>
  <c r="L73" i="1" s="1"/>
  <c r="D72" i="1"/>
  <c r="L72" i="1" s="1"/>
  <c r="D71" i="1"/>
  <c r="L71" i="1" s="1"/>
  <c r="D70" i="1"/>
  <c r="L70" i="1" s="1"/>
  <c r="D69" i="1"/>
  <c r="L69" i="1" s="1"/>
  <c r="L91" i="1" s="1"/>
  <c r="D66" i="1"/>
  <c r="L66" i="1" s="1"/>
  <c r="D65" i="1"/>
  <c r="L65" i="1" s="1"/>
  <c r="D64" i="1"/>
  <c r="L64" i="1" s="1"/>
  <c r="D63" i="1"/>
  <c r="L63" i="1" s="1"/>
  <c r="D62" i="1"/>
  <c r="L62" i="1" s="1"/>
  <c r="D61" i="1"/>
  <c r="L61" i="1" s="1"/>
  <c r="D60" i="1"/>
  <c r="L60" i="1" s="1"/>
  <c r="D59" i="1"/>
  <c r="L59" i="1" s="1"/>
  <c r="D58" i="1"/>
  <c r="L58" i="1" s="1"/>
  <c r="D57" i="1"/>
  <c r="L57" i="1" s="1"/>
  <c r="L67" i="1" s="1"/>
  <c r="D53" i="1"/>
  <c r="L53" i="1" s="1"/>
  <c r="D52" i="1"/>
  <c r="L52" i="1" s="1"/>
  <c r="D51" i="1"/>
  <c r="L51" i="1" s="1"/>
  <c r="D50" i="1"/>
  <c r="L50" i="1" s="1"/>
  <c r="D49" i="1"/>
  <c r="L49" i="1" s="1"/>
  <c r="D48" i="1"/>
  <c r="L48" i="1" s="1"/>
  <c r="D47" i="1"/>
  <c r="L47" i="1" s="1"/>
  <c r="D46" i="1"/>
  <c r="L46" i="1" s="1"/>
  <c r="D45" i="1"/>
  <c r="L45" i="1" s="1"/>
  <c r="D44" i="1"/>
  <c r="L44" i="1" s="1"/>
  <c r="G40" i="1"/>
  <c r="G39" i="1"/>
  <c r="G38" i="1"/>
  <c r="G37" i="1"/>
  <c r="G36" i="1"/>
  <c r="G34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D40" i="1"/>
  <c r="D39" i="1"/>
  <c r="D38" i="1"/>
  <c r="D37" i="1"/>
  <c r="D36" i="1"/>
  <c r="D34" i="1"/>
  <c r="D3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92" i="1"/>
  <c r="B92" i="1"/>
  <c r="I92" i="1"/>
  <c r="H92" i="1"/>
  <c r="F92" i="1"/>
  <c r="E92" i="1"/>
  <c r="L16" i="1" l="1"/>
  <c r="L20" i="1"/>
  <c r="L24" i="1"/>
  <c r="L28" i="1"/>
  <c r="L32" i="1"/>
  <c r="L36" i="1"/>
  <c r="L40" i="1"/>
  <c r="L17" i="1"/>
  <c r="L21" i="1"/>
  <c r="L25" i="1"/>
  <c r="L29" i="1"/>
  <c r="L33" i="1"/>
  <c r="L37" i="1"/>
  <c r="L15" i="1"/>
  <c r="L19" i="1"/>
  <c r="L23" i="1"/>
  <c r="L27" i="1"/>
  <c r="L31" i="1"/>
  <c r="L34" i="1"/>
  <c r="L39" i="1"/>
  <c r="L55" i="1"/>
  <c r="L18" i="1"/>
  <c r="L22" i="1"/>
  <c r="L26" i="1"/>
  <c r="L30" i="1"/>
  <c r="L35" i="1"/>
  <c r="L38" i="1"/>
  <c r="K17" i="1"/>
  <c r="K21" i="1"/>
  <c r="K25" i="1"/>
  <c r="K29" i="1"/>
  <c r="K33" i="1"/>
  <c r="K37" i="1"/>
  <c r="K46" i="1"/>
  <c r="K50" i="1"/>
  <c r="K61" i="1"/>
  <c r="K65" i="1"/>
  <c r="K75" i="1"/>
  <c r="K79" i="1"/>
  <c r="K83" i="1"/>
  <c r="K87" i="1"/>
  <c r="K22" i="1"/>
  <c r="K30" i="1"/>
  <c r="K38" i="1"/>
  <c r="G92" i="1"/>
  <c r="K26" i="1"/>
  <c r="K35" i="1"/>
  <c r="G91" i="1"/>
  <c r="K59" i="1"/>
  <c r="K63" i="1"/>
  <c r="K16" i="1"/>
  <c r="K20" i="1"/>
  <c r="K24" i="1"/>
  <c r="K28" i="1"/>
  <c r="K32" i="1"/>
  <c r="K36" i="1"/>
  <c r="K40" i="1"/>
  <c r="K73" i="1"/>
  <c r="K81" i="1"/>
  <c r="K85" i="1"/>
  <c r="K70" i="1"/>
  <c r="K74" i="1"/>
  <c r="K78" i="1"/>
  <c r="K82" i="1"/>
  <c r="K86" i="1"/>
  <c r="K90" i="1"/>
  <c r="K77" i="1"/>
  <c r="K89" i="1"/>
  <c r="K60" i="1"/>
  <c r="K64" i="1"/>
  <c r="K48" i="1"/>
  <c r="K52" i="1"/>
  <c r="K45" i="1"/>
  <c r="K49" i="1"/>
  <c r="G67" i="1"/>
  <c r="K47" i="1"/>
  <c r="K51" i="1"/>
  <c r="K58" i="1"/>
  <c r="K62" i="1"/>
  <c r="K66" i="1"/>
  <c r="K72" i="1"/>
  <c r="K76" i="1"/>
  <c r="K80" i="1"/>
  <c r="K84" i="1"/>
  <c r="K88" i="1"/>
  <c r="K15" i="1"/>
  <c r="K19" i="1"/>
  <c r="K23" i="1"/>
  <c r="K27" i="1"/>
  <c r="K31" i="1"/>
  <c r="K34" i="1"/>
  <c r="K39" i="1"/>
  <c r="K53" i="1"/>
  <c r="D55" i="1"/>
  <c r="K44" i="1"/>
  <c r="D67" i="1"/>
  <c r="K57" i="1"/>
  <c r="D91" i="1"/>
  <c r="K69" i="1"/>
  <c r="K71" i="1"/>
  <c r="G55" i="1"/>
  <c r="K18" i="1"/>
  <c r="D92" i="1"/>
  <c r="L92" i="1" l="1"/>
  <c r="K67" i="1"/>
  <c r="K92" i="1"/>
  <c r="K91" i="1"/>
  <c r="K55" i="1"/>
</calcChain>
</file>

<file path=xl/sharedStrings.xml><?xml version="1.0" encoding="utf-8"?>
<sst xmlns="http://schemas.openxmlformats.org/spreadsheetml/2006/main" count="111" uniqueCount="96">
  <si>
    <t>P U REAL</t>
  </si>
  <si>
    <t>TOTAL</t>
  </si>
  <si>
    <t xml:space="preserve"> </t>
  </si>
  <si>
    <t xml:space="preserve">  Dayton CSD</t>
  </si>
  <si>
    <t xml:space="preserve">  Centerville CSD</t>
  </si>
  <si>
    <t xml:space="preserve">  Mad River LSD</t>
  </si>
  <si>
    <t xml:space="preserve">  Butler</t>
  </si>
  <si>
    <t xml:space="preserve">  Clay</t>
  </si>
  <si>
    <t xml:space="preserve">  German</t>
  </si>
  <si>
    <t xml:space="preserve">  Harrison</t>
  </si>
  <si>
    <t xml:space="preserve">  Jackson</t>
  </si>
  <si>
    <t xml:space="preserve">  Jefferson</t>
  </si>
  <si>
    <t xml:space="preserve">  Miami</t>
  </si>
  <si>
    <t xml:space="preserve">  Perry </t>
  </si>
  <si>
    <t xml:space="preserve">  Washington</t>
  </si>
  <si>
    <t xml:space="preserve">  Jackson Unincorporated</t>
  </si>
  <si>
    <t xml:space="preserve">  Jackson Northern Fire</t>
  </si>
  <si>
    <t xml:space="preserve">  Jackson Southern Fire</t>
  </si>
  <si>
    <t xml:space="preserve">  Jackson Recreation</t>
  </si>
  <si>
    <t xml:space="preserve">  Brookville</t>
  </si>
  <si>
    <t xml:space="preserve">  Carlisle</t>
  </si>
  <si>
    <t xml:space="preserve">  Centerville</t>
  </si>
  <si>
    <t xml:space="preserve">  Clayton</t>
  </si>
  <si>
    <t xml:space="preserve">  Dayton</t>
  </si>
  <si>
    <t xml:space="preserve">  Englewood</t>
  </si>
  <si>
    <t xml:space="preserve">  Farmersville</t>
  </si>
  <si>
    <t xml:space="preserve">  Germantown</t>
  </si>
  <si>
    <t xml:space="preserve">  Huber Heights</t>
  </si>
  <si>
    <t xml:space="preserve">  Kettering</t>
  </si>
  <si>
    <t xml:space="preserve">  Miamisburg</t>
  </si>
  <si>
    <t xml:space="preserve">  Moraine</t>
  </si>
  <si>
    <t xml:space="preserve">  New Lebanon</t>
  </si>
  <si>
    <t xml:space="preserve">  Oakwood</t>
  </si>
  <si>
    <t xml:space="preserve">  Phillipsburg</t>
  </si>
  <si>
    <t xml:space="preserve">  Riverside</t>
  </si>
  <si>
    <t xml:space="preserve">  Springboro</t>
  </si>
  <si>
    <t xml:space="preserve">  Trotwood</t>
  </si>
  <si>
    <t xml:space="preserve">  Union</t>
  </si>
  <si>
    <t xml:space="preserve">  Vandalia</t>
  </si>
  <si>
    <t xml:space="preserve">  Verona</t>
  </si>
  <si>
    <t xml:space="preserve">  West Carrollton</t>
  </si>
  <si>
    <t xml:space="preserve">  Clearcreek</t>
  </si>
  <si>
    <t>A</t>
  </si>
  <si>
    <t>R</t>
  </si>
  <si>
    <t>I</t>
  </si>
  <si>
    <t>C</t>
  </si>
  <si>
    <t>A/R</t>
  </si>
  <si>
    <t>KARL L. KEITH, AUDITOR
Montgomery County</t>
  </si>
  <si>
    <t xml:space="preserve">  Beavercreek LSD-JVS</t>
  </si>
  <si>
    <t xml:space="preserve">  Brookville LSD-JVS</t>
  </si>
  <si>
    <t xml:space="preserve">  Carlisle LSD-JVS</t>
  </si>
  <si>
    <t xml:space="preserve">  Fairborn CSD-JVS(Greene Co)</t>
  </si>
  <si>
    <t xml:space="preserve">  Huber Heights CSD-JVS</t>
  </si>
  <si>
    <t xml:space="preserve">  Jefferson Twp LSD-JVS</t>
  </si>
  <si>
    <t xml:space="preserve">  Kettering CSD</t>
  </si>
  <si>
    <t xml:space="preserve">  Miamisburg CSD-JVS</t>
  </si>
  <si>
    <t xml:space="preserve">  New Lebanon LSD-JVS</t>
  </si>
  <si>
    <t xml:space="preserve">  Northmont CSD-JVS</t>
  </si>
  <si>
    <t xml:space="preserve">  Northridge LSD-JVS</t>
  </si>
  <si>
    <t xml:space="preserve">  Oakwood CSD</t>
  </si>
  <si>
    <t xml:space="preserve">  Preble-Shawnee LSD-JVS</t>
  </si>
  <si>
    <t xml:space="preserve">  Springboro Community CSD</t>
  </si>
  <si>
    <t xml:space="preserve">  Tri-County North LSD-JVS</t>
  </si>
  <si>
    <t xml:space="preserve">  Trotwood-Madison CSD-JVS</t>
  </si>
  <si>
    <t xml:space="preserve">  Vandalia-Butler CSD-JVS</t>
  </si>
  <si>
    <t xml:space="preserve">  Valley View LSD-JVS</t>
  </si>
  <si>
    <t xml:space="preserve">  West Carrollton CSD-JVS</t>
  </si>
  <si>
    <t xml:space="preserve">  Greene County JVS</t>
  </si>
  <si>
    <t xml:space="preserve">  Warren County JVS</t>
  </si>
  <si>
    <t xml:space="preserve">  Miami Valley CTC</t>
  </si>
  <si>
    <t xml:space="preserve">  Dayton Metro Library</t>
  </si>
  <si>
    <t xml:space="preserve">  TOWNSHIPS:</t>
  </si>
  <si>
    <t xml:space="preserve">  TOWNSHIPS: Unincorporated</t>
  </si>
  <si>
    <t xml:space="preserve">  MUNICIPALITIES:</t>
  </si>
  <si>
    <t>C/I</t>
  </si>
  <si>
    <t xml:space="preserve"> TOWNSHIP TOTAL</t>
  </si>
  <si>
    <t xml:space="preserve">  UNINCORPORATED TOTAL</t>
  </si>
  <si>
    <t xml:space="preserve">  MUNICIPALITY TOTAL</t>
  </si>
  <si>
    <t xml:space="preserve">  COUNTY TOTAL </t>
  </si>
  <si>
    <t>2014/2015 Taxable Values</t>
  </si>
  <si>
    <t>2014/2015 TAXABLE VALUES</t>
  </si>
  <si>
    <t>POTENTIAL REVENUE IMPACT</t>
  </si>
  <si>
    <t xml:space="preserve">P U PERSONAL (ORIGINAL) </t>
  </si>
  <si>
    <t>PU PERSONAL AFTER VECTREN APPEAL</t>
  </si>
  <si>
    <t>TOTAL AFTER VECTREN APPEAL</t>
  </si>
  <si>
    <t xml:space="preserve">  Washington-Centerville Library</t>
  </si>
  <si>
    <t xml:space="preserve">  Wright Memorial Library</t>
  </si>
  <si>
    <t xml:space="preserve">  Washington-Centerville Parks</t>
  </si>
  <si>
    <t xml:space="preserve">  Human Services</t>
  </si>
  <si>
    <t xml:space="preserve">  MRDD</t>
  </si>
  <si>
    <t xml:space="preserve">  Metro Parks</t>
  </si>
  <si>
    <t xml:space="preserve">  Sinclair Community College</t>
  </si>
  <si>
    <t xml:space="preserve">  SCHOOLS:</t>
  </si>
  <si>
    <t xml:space="preserve">  COUNTY:</t>
  </si>
  <si>
    <t xml:space="preserve">  General Fund</t>
  </si>
  <si>
    <t>TOTAL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</si>
</sst>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_)"/>
  </numFmts>
  <fonts count="10" x14ac:knownFonts="1">
    <font>
      <sz val="7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14"/>
      <color indexed="9"/>
      <name val="Arial"/>
      <family val="2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 applyProtection="1">
      <alignment horizontal="left" vertical="center"/>
    </xf>
    <xf numFmtId="37" fontId="2" fillId="0" borderId="1" xfId="0" applyNumberFormat="1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37" fontId="2" fillId="0" borderId="1" xfId="0" applyNumberFormat="1" applyFont="1" applyBorder="1" applyAlignment="1" applyProtection="1">
      <alignment horizontal="left" vertical="center"/>
    </xf>
    <xf numFmtId="37" fontId="2" fillId="0" borderId="1" xfId="0" applyNumberFormat="1" applyFont="1" applyBorder="1" applyAlignment="1">
      <alignment vertical="center"/>
    </xf>
    <xf numFmtId="37" fontId="2" fillId="0" borderId="2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37" fontId="2" fillId="0" borderId="1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37" fontId="6" fillId="0" borderId="0" xfId="0" applyNumberFormat="1" applyFont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7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2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 applyProtection="1">
      <alignment horizontal="left" vertical="center"/>
    </xf>
    <xf numFmtId="37" fontId="2" fillId="3" borderId="1" xfId="0" applyNumberFormat="1" applyFont="1" applyFill="1" applyBorder="1" applyAlignment="1" applyProtection="1">
      <alignment vertical="center"/>
    </xf>
    <xf numFmtId="37" fontId="2" fillId="3" borderId="2" xfId="0" applyNumberFormat="1" applyFont="1" applyFill="1" applyBorder="1" applyAlignment="1" applyProtection="1">
      <alignment vertical="center"/>
    </xf>
    <xf numFmtId="37" fontId="2" fillId="3" borderId="1" xfId="0" applyNumberFormat="1" applyFont="1" applyFill="1" applyBorder="1" applyAlignment="1">
      <alignment vertical="center"/>
    </xf>
    <xf numFmtId="37" fontId="2" fillId="5" borderId="1" xfId="0" applyNumberFormat="1" applyFont="1" applyFill="1" applyBorder="1" applyAlignment="1" applyProtection="1">
      <alignment vertical="center"/>
    </xf>
    <xf numFmtId="37" fontId="2" fillId="5" borderId="2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37" fontId="2" fillId="7" borderId="2" xfId="0" applyNumberFormat="1" applyFont="1" applyFill="1" applyBorder="1" applyAlignment="1" applyProtection="1">
      <alignment vertical="center"/>
    </xf>
    <xf numFmtId="37" fontId="2" fillId="5" borderId="1" xfId="0" applyNumberFormat="1" applyFont="1" applyFill="1" applyBorder="1" applyAlignment="1">
      <alignment vertical="center"/>
    </xf>
    <xf numFmtId="37" fontId="2" fillId="9" borderId="1" xfId="0" applyNumberFormat="1" applyFont="1" applyFill="1" applyBorder="1" applyAlignment="1" applyProtection="1">
      <alignment vertical="center"/>
    </xf>
    <xf numFmtId="37" fontId="2" fillId="9" borderId="2" xfId="0" applyNumberFormat="1" applyFont="1" applyFill="1" applyBorder="1" applyAlignment="1" applyProtection="1">
      <alignment vertical="center"/>
    </xf>
    <xf numFmtId="0" fontId="3" fillId="7" borderId="2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37" fontId="2" fillId="3" borderId="13" xfId="0" applyNumberFormat="1" applyFont="1" applyFill="1" applyBorder="1" applyAlignment="1" applyProtection="1">
      <alignment vertical="center"/>
    </xf>
    <xf numFmtId="37" fontId="2" fillId="0" borderId="13" xfId="0" applyNumberFormat="1" applyFont="1" applyFill="1" applyBorder="1" applyAlignment="1" applyProtection="1">
      <alignment vertical="center"/>
    </xf>
    <xf numFmtId="37" fontId="2" fillId="0" borderId="13" xfId="0" applyNumberFormat="1" applyFont="1" applyBorder="1" applyAlignment="1" applyProtection="1">
      <alignment horizontal="left" vertical="center"/>
    </xf>
    <xf numFmtId="37" fontId="2" fillId="0" borderId="13" xfId="0" applyNumberFormat="1" applyFont="1" applyBorder="1" applyAlignment="1" applyProtection="1">
      <alignment horizontal="right" vertical="center"/>
    </xf>
    <xf numFmtId="37" fontId="2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7" fontId="2" fillId="0" borderId="13" xfId="0" applyNumberFormat="1" applyFont="1" applyFill="1" applyBorder="1" applyAlignment="1" applyProtection="1">
      <alignment horizontal="left" vertical="center"/>
    </xf>
    <xf numFmtId="37" fontId="3" fillId="4" borderId="1" xfId="0" applyNumberFormat="1" applyFont="1" applyFill="1" applyBorder="1" applyAlignment="1" applyProtection="1">
      <alignment horizontal="center" vertical="center" wrapText="1"/>
    </xf>
    <xf numFmtId="37" fontId="3" fillId="4" borderId="3" xfId="0" applyNumberFormat="1" applyFont="1" applyFill="1" applyBorder="1" applyAlignment="1" applyProtection="1">
      <alignment horizontal="center" vertical="center"/>
    </xf>
    <xf numFmtId="37" fontId="3" fillId="8" borderId="1" xfId="0" applyNumberFormat="1" applyFont="1" applyFill="1" applyBorder="1" applyAlignment="1" applyProtection="1">
      <alignment horizontal="center" vertical="center" wrapText="1"/>
    </xf>
    <xf numFmtId="37" fontId="3" fillId="8" borderId="3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37" fontId="3" fillId="4" borderId="9" xfId="0" applyNumberFormat="1" applyFont="1" applyFill="1" applyBorder="1" applyAlignment="1" applyProtection="1">
      <alignment horizontal="center" vertical="center" wrapText="1"/>
    </xf>
    <xf numFmtId="37" fontId="3" fillId="4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37" fontId="3" fillId="3" borderId="9" xfId="0" applyNumberFormat="1" applyFont="1" applyFill="1" applyBorder="1" applyAlignment="1" applyProtection="1">
      <alignment horizontal="center" vertical="center" wrapText="1"/>
    </xf>
    <xf numFmtId="37" fontId="3" fillId="3" borderId="3" xfId="0" applyNumberFormat="1" applyFont="1" applyFill="1" applyBorder="1" applyAlignment="1" applyProtection="1">
      <alignment horizontal="center" vertical="center" wrapText="1"/>
    </xf>
    <xf numFmtId="37" fontId="3" fillId="5" borderId="9" xfId="0" applyNumberFormat="1" applyFont="1" applyFill="1" applyBorder="1" applyAlignment="1" applyProtection="1">
      <alignment horizontal="center" vertical="center" wrapText="1"/>
    </xf>
    <xf numFmtId="37" fontId="3" fillId="5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79"/>
      <color rgb="FFFFFFA7"/>
      <color rgb="FFFFFF9F"/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2" transitionEvaluation="1">
    <pageSetUpPr fitToPage="1"/>
  </sheetPr>
  <dimension ref="A1:P98"/>
  <sheetViews>
    <sheetView showGridLines="0" tabSelected="1" showOutlineSymbols="0" zoomScale="90" zoomScaleNormal="90" zoomScaleSheetLayoutView="50" workbookViewId="0">
      <pane xSplit="1" ySplit="1" topLeftCell="D2" activePane="bottomRight" state="frozen"/>
      <selection pane="topRight" activeCell="D1" sqref="D1"/>
      <selection pane="bottomLeft" activeCell="A7" sqref="A7"/>
      <selection pane="bottomRight" activeCell="M25" sqref="M25"/>
    </sheetView>
  </sheetViews>
  <sheetFormatPr defaultColWidth="7.19921875" defaultRowHeight="12" x14ac:dyDescent="0.15"/>
  <cols>
    <col min="1" max="1" width="49" style="9" customWidth="1"/>
    <col min="2" max="2" width="18.19921875" style="9" hidden="1" customWidth="1"/>
    <col min="3" max="3" width="20.59765625" style="9" hidden="1" customWidth="1"/>
    <col min="4" max="4" width="27.3984375" style="9" customWidth="1"/>
    <col min="5" max="5" width="20.796875" style="9" hidden="1" customWidth="1"/>
    <col min="6" max="6" width="21.19921875" style="9" hidden="1" customWidth="1"/>
    <col min="7" max="7" width="23.3984375" style="9" customWidth="1"/>
    <col min="8" max="8" width="19.19921875" style="12" customWidth="1"/>
    <col min="9" max="9" width="24.19921875" style="9" customWidth="1"/>
    <col min="10" max="10" width="29.3984375" style="9" customWidth="1"/>
    <col min="11" max="13" width="26.796875" style="9" customWidth="1"/>
    <col min="14" max="15" width="7.19921875" style="9"/>
    <col min="16" max="16" width="18.3984375" style="9" bestFit="1" customWidth="1"/>
    <col min="17" max="16384" width="7.19921875" style="9"/>
  </cols>
  <sheetData>
    <row r="1" spans="1:13" x14ac:dyDescent="0.15">
      <c r="A1" s="10" t="s">
        <v>79</v>
      </c>
      <c r="B1" s="11"/>
      <c r="C1" s="11"/>
      <c r="H1" s="27"/>
      <c r="I1" s="27"/>
      <c r="J1" s="27"/>
    </row>
    <row r="2" spans="1:13" ht="12.75" thickBot="1" x14ac:dyDescent="0.2">
      <c r="A2" s="14"/>
      <c r="B2" s="15"/>
      <c r="C2" s="15"/>
      <c r="D2" s="16"/>
      <c r="E2" s="17"/>
      <c r="F2" s="17"/>
      <c r="G2" s="16"/>
      <c r="H2" s="18"/>
      <c r="I2" s="17"/>
      <c r="J2" s="17"/>
      <c r="K2" s="14"/>
      <c r="L2" s="14"/>
      <c r="M2" s="14"/>
    </row>
    <row r="3" spans="1:13" ht="16.5" customHeight="1" x14ac:dyDescent="0.15">
      <c r="A3" s="61" t="s">
        <v>47</v>
      </c>
      <c r="B3" s="64" t="s">
        <v>80</v>
      </c>
      <c r="C3" s="65"/>
      <c r="D3" s="65"/>
      <c r="E3" s="65"/>
      <c r="F3" s="65"/>
      <c r="G3" s="65"/>
      <c r="H3" s="65"/>
      <c r="I3" s="65"/>
      <c r="J3" s="65"/>
      <c r="K3" s="65"/>
      <c r="L3" s="39"/>
      <c r="M3" s="39"/>
    </row>
    <row r="4" spans="1:13" ht="5.25" customHeight="1" x14ac:dyDescent="0.15">
      <c r="A4" s="62"/>
      <c r="B4" s="66"/>
      <c r="C4" s="67"/>
      <c r="D4" s="67"/>
      <c r="E4" s="67"/>
      <c r="F4" s="67"/>
      <c r="G4" s="67"/>
      <c r="H4" s="67"/>
      <c r="I4" s="67"/>
      <c r="J4" s="67"/>
      <c r="K4" s="67"/>
      <c r="L4" s="37"/>
      <c r="M4" s="37"/>
    </row>
    <row r="5" spans="1:13" ht="15.75" customHeight="1" thickBot="1" x14ac:dyDescent="0.2">
      <c r="A5" s="63"/>
      <c r="B5" s="68"/>
      <c r="C5" s="69"/>
      <c r="D5" s="69"/>
      <c r="E5" s="69"/>
      <c r="F5" s="69"/>
      <c r="G5" s="69"/>
      <c r="H5" s="69"/>
      <c r="I5" s="69"/>
      <c r="J5" s="69"/>
      <c r="K5" s="69"/>
      <c r="L5" s="38"/>
      <c r="M5" s="38"/>
    </row>
    <row r="6" spans="1:13" ht="12" customHeight="1" x14ac:dyDescent="0.15">
      <c r="A6" s="57"/>
      <c r="B6" s="70" t="s">
        <v>42</v>
      </c>
      <c r="C6" s="70" t="s">
        <v>43</v>
      </c>
      <c r="D6" s="59" t="s">
        <v>46</v>
      </c>
      <c r="E6" s="72" t="s">
        <v>44</v>
      </c>
      <c r="F6" s="72" t="s">
        <v>45</v>
      </c>
      <c r="G6" s="59" t="s">
        <v>74</v>
      </c>
      <c r="H6" s="59" t="s">
        <v>0</v>
      </c>
      <c r="I6" s="59" t="s">
        <v>82</v>
      </c>
      <c r="J6" s="59" t="s">
        <v>83</v>
      </c>
      <c r="K6" s="53" t="s">
        <v>95</v>
      </c>
      <c r="L6" s="53" t="s">
        <v>84</v>
      </c>
      <c r="M6" s="55" t="s">
        <v>81</v>
      </c>
    </row>
    <row r="7" spans="1:13" ht="21" customHeight="1" x14ac:dyDescent="0.15">
      <c r="A7" s="58"/>
      <c r="B7" s="71"/>
      <c r="C7" s="71"/>
      <c r="D7" s="60"/>
      <c r="E7" s="73"/>
      <c r="F7" s="73"/>
      <c r="G7" s="60"/>
      <c r="H7" s="60"/>
      <c r="I7" s="60"/>
      <c r="J7" s="60"/>
      <c r="K7" s="54" t="s">
        <v>1</v>
      </c>
      <c r="L7" s="54" t="s">
        <v>1</v>
      </c>
      <c r="M7" s="56"/>
    </row>
    <row r="8" spans="1:13" ht="14.1" customHeight="1" x14ac:dyDescent="0.15">
      <c r="A8" s="45" t="s">
        <v>93</v>
      </c>
      <c r="B8" s="46"/>
      <c r="C8" s="46"/>
      <c r="D8" s="47"/>
      <c r="E8" s="46"/>
      <c r="F8" s="46"/>
      <c r="G8" s="48" t="s">
        <v>2</v>
      </c>
      <c r="H8" s="49" t="s">
        <v>2</v>
      </c>
      <c r="I8" s="50"/>
      <c r="J8" s="50"/>
      <c r="K8" s="51"/>
      <c r="L8" s="52" t="s">
        <v>2</v>
      </c>
      <c r="M8" s="52"/>
    </row>
    <row r="9" spans="1:13" ht="14.1" customHeight="1" x14ac:dyDescent="0.15">
      <c r="A9" s="1" t="s">
        <v>94</v>
      </c>
      <c r="B9" s="31">
        <v>197415370</v>
      </c>
      <c r="C9" s="31">
        <v>6451966670</v>
      </c>
      <c r="D9" s="24">
        <v>6649382040</v>
      </c>
      <c r="E9" s="31">
        <v>279515810</v>
      </c>
      <c r="F9" s="31">
        <v>1717859840</v>
      </c>
      <c r="G9" s="2">
        <v>1997375650</v>
      </c>
      <c r="H9" s="2">
        <v>2586690</v>
      </c>
      <c r="I9" s="2">
        <v>379199400</v>
      </c>
      <c r="J9" s="34">
        <v>352464230</v>
      </c>
      <c r="K9" s="24">
        <v>9028543780</v>
      </c>
      <c r="L9" s="34">
        <v>9001808610</v>
      </c>
      <c r="M9" s="42">
        <f>(J9-I9)*1.7/1000</f>
        <v>-45449.788999999997</v>
      </c>
    </row>
    <row r="10" spans="1:13" ht="14.1" customHeight="1" x14ac:dyDescent="0.15">
      <c r="A10" s="1" t="s">
        <v>88</v>
      </c>
      <c r="B10" s="31">
        <v>197415370</v>
      </c>
      <c r="C10" s="31">
        <v>6451966670</v>
      </c>
      <c r="D10" s="24">
        <v>6649382040</v>
      </c>
      <c r="E10" s="31">
        <v>279515810</v>
      </c>
      <c r="F10" s="31">
        <v>1717859840</v>
      </c>
      <c r="G10" s="2">
        <v>1997375650</v>
      </c>
      <c r="H10" s="2">
        <v>2586690</v>
      </c>
      <c r="I10" s="2">
        <v>379199400</v>
      </c>
      <c r="J10" s="34">
        <v>352464230</v>
      </c>
      <c r="K10" s="24">
        <v>9028543780</v>
      </c>
      <c r="L10" s="34">
        <v>9001808610</v>
      </c>
      <c r="M10" s="42">
        <f>(J10-I10)*14.24/1000</f>
        <v>-380708.82079999999</v>
      </c>
    </row>
    <row r="11" spans="1:13" ht="14.1" customHeight="1" x14ac:dyDescent="0.15">
      <c r="A11" s="1" t="s">
        <v>89</v>
      </c>
      <c r="B11" s="31">
        <v>197415370</v>
      </c>
      <c r="C11" s="31">
        <v>6451966670</v>
      </c>
      <c r="D11" s="24">
        <v>6649382040</v>
      </c>
      <c r="E11" s="31">
        <v>279515810</v>
      </c>
      <c r="F11" s="31">
        <v>1717859840</v>
      </c>
      <c r="G11" s="2">
        <v>1997375650</v>
      </c>
      <c r="H11" s="2">
        <v>2586690</v>
      </c>
      <c r="I11" s="2">
        <v>379199400</v>
      </c>
      <c r="J11" s="34">
        <v>352464230</v>
      </c>
      <c r="K11" s="24">
        <v>9028543780</v>
      </c>
      <c r="L11" s="34">
        <v>9001808610</v>
      </c>
      <c r="M11" s="42">
        <f>(J11-I11)*1/1000</f>
        <v>-26735.17</v>
      </c>
    </row>
    <row r="12" spans="1:13" ht="14.1" customHeight="1" x14ac:dyDescent="0.15">
      <c r="A12" s="1" t="s">
        <v>90</v>
      </c>
      <c r="B12" s="31">
        <v>197415370</v>
      </c>
      <c r="C12" s="31">
        <v>6451966670</v>
      </c>
      <c r="D12" s="24">
        <v>6649382040</v>
      </c>
      <c r="E12" s="31">
        <v>279515810</v>
      </c>
      <c r="F12" s="31">
        <v>1717859840</v>
      </c>
      <c r="G12" s="2">
        <v>1997375650</v>
      </c>
      <c r="H12" s="2">
        <v>2586690</v>
      </c>
      <c r="I12" s="2">
        <v>379199400</v>
      </c>
      <c r="J12" s="34">
        <v>352464230</v>
      </c>
      <c r="K12" s="24">
        <v>9028543780</v>
      </c>
      <c r="L12" s="34">
        <v>9001808610</v>
      </c>
      <c r="M12" s="42">
        <f>(J12-I12)*1.8/1000</f>
        <v>-48123.305999999997</v>
      </c>
    </row>
    <row r="13" spans="1:13" ht="14.1" customHeight="1" x14ac:dyDescent="0.15">
      <c r="A13" s="1" t="s">
        <v>91</v>
      </c>
      <c r="B13" s="31">
        <v>197415370</v>
      </c>
      <c r="C13" s="31">
        <v>6451966670</v>
      </c>
      <c r="D13" s="24">
        <v>6649382040</v>
      </c>
      <c r="E13" s="31">
        <v>279515810</v>
      </c>
      <c r="F13" s="31">
        <v>1717859840</v>
      </c>
      <c r="G13" s="2">
        <v>1997375650</v>
      </c>
      <c r="H13" s="2">
        <v>2586690</v>
      </c>
      <c r="I13" s="2">
        <v>379199400</v>
      </c>
      <c r="J13" s="34">
        <v>352464230</v>
      </c>
      <c r="K13" s="24">
        <v>9028543780</v>
      </c>
      <c r="L13" s="34">
        <v>9001808610</v>
      </c>
      <c r="M13" s="42">
        <f>(J13-I13)*3.2/1000</f>
        <v>-85552.543999999994</v>
      </c>
    </row>
    <row r="14" spans="1:13" ht="14.1" customHeight="1" x14ac:dyDescent="0.15">
      <c r="A14" s="45" t="s">
        <v>92</v>
      </c>
      <c r="B14" s="46"/>
      <c r="C14" s="46"/>
      <c r="D14" s="47"/>
      <c r="E14" s="46"/>
      <c r="F14" s="46"/>
      <c r="G14" s="48" t="s">
        <v>2</v>
      </c>
      <c r="H14" s="49" t="s">
        <v>2</v>
      </c>
      <c r="I14" s="50"/>
      <c r="J14" s="50"/>
      <c r="K14" s="51"/>
      <c r="L14" s="52" t="s">
        <v>2</v>
      </c>
      <c r="M14" s="52"/>
    </row>
    <row r="15" spans="1:13" ht="14.1" customHeight="1" x14ac:dyDescent="0.15">
      <c r="A15" s="1" t="s">
        <v>48</v>
      </c>
      <c r="B15" s="31">
        <v>0</v>
      </c>
      <c r="C15" s="31">
        <v>21326580</v>
      </c>
      <c r="D15" s="24">
        <f>+B15+C15</f>
        <v>21326580</v>
      </c>
      <c r="E15" s="31">
        <v>1609620</v>
      </c>
      <c r="F15" s="31">
        <v>2182430</v>
      </c>
      <c r="G15" s="2">
        <f>+E15+F15</f>
        <v>3792050</v>
      </c>
      <c r="H15" s="2">
        <v>0</v>
      </c>
      <c r="I15" s="2">
        <v>318020</v>
      </c>
      <c r="J15" s="34">
        <v>318020</v>
      </c>
      <c r="K15" s="24">
        <f t="shared" ref="K15:K40" si="0">+D15+G15+H15+I15</f>
        <v>25436650</v>
      </c>
      <c r="L15" s="34">
        <f>+D15+G15+H15+J15</f>
        <v>25436650</v>
      </c>
      <c r="M15" s="42">
        <f>(J15-I15)*54.9/1000</f>
        <v>0</v>
      </c>
    </row>
    <row r="16" spans="1:13" ht="14.1" customHeight="1" x14ac:dyDescent="0.15">
      <c r="A16" s="3" t="s">
        <v>49</v>
      </c>
      <c r="B16" s="31">
        <v>25513510</v>
      </c>
      <c r="C16" s="31">
        <v>130961000</v>
      </c>
      <c r="D16" s="24">
        <f t="shared" ref="D16:D40" si="1">+B16+C16</f>
        <v>156474510</v>
      </c>
      <c r="E16" s="31">
        <v>8199290</v>
      </c>
      <c r="F16" s="31">
        <v>19891070</v>
      </c>
      <c r="G16" s="2">
        <f t="shared" ref="G16:G40" si="2">+E16+F16</f>
        <v>28090360</v>
      </c>
      <c r="H16" s="2">
        <v>0</v>
      </c>
      <c r="I16" s="2">
        <v>5249510</v>
      </c>
      <c r="J16" s="34">
        <v>4942490</v>
      </c>
      <c r="K16" s="24">
        <f t="shared" si="0"/>
        <v>189814380</v>
      </c>
      <c r="L16" s="34">
        <f t="shared" ref="L16:L40" si="3">+D16+G16+H16+J16</f>
        <v>189507360</v>
      </c>
      <c r="M16" s="42">
        <f>(J16-I16)*74.25/1000</f>
        <v>-22796.235000000001</v>
      </c>
    </row>
    <row r="17" spans="1:13" ht="14.1" customHeight="1" x14ac:dyDescent="0.15">
      <c r="A17" s="1" t="s">
        <v>50</v>
      </c>
      <c r="B17" s="31">
        <v>1770670</v>
      </c>
      <c r="C17" s="31">
        <v>17660580</v>
      </c>
      <c r="D17" s="24">
        <f t="shared" si="1"/>
        <v>19431250</v>
      </c>
      <c r="E17" s="31">
        <v>4412800</v>
      </c>
      <c r="F17" s="31">
        <v>33580</v>
      </c>
      <c r="G17" s="2">
        <f t="shared" si="2"/>
        <v>4446380</v>
      </c>
      <c r="H17" s="2">
        <v>43270</v>
      </c>
      <c r="I17" s="2">
        <v>10428450</v>
      </c>
      <c r="J17" s="34">
        <v>10428450</v>
      </c>
      <c r="K17" s="24">
        <f t="shared" si="0"/>
        <v>34349350</v>
      </c>
      <c r="L17" s="34">
        <f t="shared" si="3"/>
        <v>34349350</v>
      </c>
      <c r="M17" s="42">
        <f>(J17-I17)*49.65/1000</f>
        <v>0</v>
      </c>
    </row>
    <row r="18" spans="1:13" ht="14.1" customHeight="1" x14ac:dyDescent="0.15">
      <c r="A18" s="1" t="s">
        <v>4</v>
      </c>
      <c r="B18" s="31">
        <v>6294060</v>
      </c>
      <c r="C18" s="31">
        <v>1341932010</v>
      </c>
      <c r="D18" s="24">
        <f t="shared" si="1"/>
        <v>1348226070</v>
      </c>
      <c r="E18" s="31">
        <v>5529690</v>
      </c>
      <c r="F18" s="31">
        <v>298922700</v>
      </c>
      <c r="G18" s="2">
        <f t="shared" si="2"/>
        <v>304452390</v>
      </c>
      <c r="H18" s="2">
        <v>0</v>
      </c>
      <c r="I18" s="2">
        <v>30002790</v>
      </c>
      <c r="J18" s="34">
        <v>26569530</v>
      </c>
      <c r="K18" s="24">
        <f t="shared" si="0"/>
        <v>1682681250</v>
      </c>
      <c r="L18" s="34">
        <f t="shared" si="3"/>
        <v>1679247990</v>
      </c>
      <c r="M18" s="42">
        <f>(J18-I18)*77.72/1000</f>
        <v>-266832.96720000001</v>
      </c>
    </row>
    <row r="19" spans="1:13" ht="14.1" customHeight="1" x14ac:dyDescent="0.15">
      <c r="A19" s="1" t="s">
        <v>3</v>
      </c>
      <c r="B19" s="31">
        <v>676090</v>
      </c>
      <c r="C19" s="31">
        <v>923863880</v>
      </c>
      <c r="D19" s="24">
        <f t="shared" si="1"/>
        <v>924539970</v>
      </c>
      <c r="E19" s="31">
        <v>74897160</v>
      </c>
      <c r="F19" s="31">
        <v>327409880</v>
      </c>
      <c r="G19" s="2">
        <f t="shared" si="2"/>
        <v>402307040</v>
      </c>
      <c r="H19" s="2">
        <v>1554500</v>
      </c>
      <c r="I19" s="2">
        <v>93576040</v>
      </c>
      <c r="J19" s="34">
        <v>84930800</v>
      </c>
      <c r="K19" s="24">
        <f t="shared" si="0"/>
        <v>1421977550</v>
      </c>
      <c r="L19" s="34">
        <f t="shared" si="3"/>
        <v>1413332310</v>
      </c>
      <c r="M19" s="42">
        <f>(J19-I19)*79.85/1000</f>
        <v>-690322.41399999999</v>
      </c>
    </row>
    <row r="20" spans="1:13" ht="14.1" customHeight="1" x14ac:dyDescent="0.15">
      <c r="A20" s="1" t="s">
        <v>51</v>
      </c>
      <c r="B20" s="31">
        <v>80440</v>
      </c>
      <c r="C20" s="31">
        <v>39919010</v>
      </c>
      <c r="D20" s="24">
        <f t="shared" si="1"/>
        <v>39999450</v>
      </c>
      <c r="E20" s="31">
        <v>0</v>
      </c>
      <c r="F20" s="31">
        <v>248120</v>
      </c>
      <c r="G20" s="2">
        <f t="shared" si="2"/>
        <v>248120</v>
      </c>
      <c r="H20" s="2">
        <v>0</v>
      </c>
      <c r="I20" s="2">
        <v>173640</v>
      </c>
      <c r="J20" s="34">
        <v>173640</v>
      </c>
      <c r="K20" s="24">
        <f t="shared" si="0"/>
        <v>40421210</v>
      </c>
      <c r="L20" s="34">
        <f t="shared" si="3"/>
        <v>40421210</v>
      </c>
      <c r="M20" s="42">
        <f>(J20-I20)*52.65/1000</f>
        <v>0</v>
      </c>
    </row>
    <row r="21" spans="1:13" ht="14.1" customHeight="1" x14ac:dyDescent="0.15">
      <c r="A21" s="1" t="s">
        <v>52</v>
      </c>
      <c r="B21" s="31">
        <v>5008010</v>
      </c>
      <c r="C21" s="31">
        <v>529703570</v>
      </c>
      <c r="D21" s="24">
        <f t="shared" si="1"/>
        <v>534711580</v>
      </c>
      <c r="E21" s="31">
        <v>15337160</v>
      </c>
      <c r="F21" s="31">
        <v>102453050</v>
      </c>
      <c r="G21" s="2">
        <f t="shared" si="2"/>
        <v>117790210</v>
      </c>
      <c r="H21" s="2">
        <v>0</v>
      </c>
      <c r="I21" s="2">
        <v>13112450</v>
      </c>
      <c r="J21" s="34">
        <v>12345430</v>
      </c>
      <c r="K21" s="24">
        <f t="shared" si="0"/>
        <v>665614240</v>
      </c>
      <c r="L21" s="34">
        <f t="shared" si="3"/>
        <v>664847220</v>
      </c>
      <c r="M21" s="42">
        <f>(J21-I21)*66.74/1000</f>
        <v>-51190.914799999999</v>
      </c>
    </row>
    <row r="22" spans="1:13" ht="14.1" customHeight="1" x14ac:dyDescent="0.15">
      <c r="A22" s="1" t="s">
        <v>53</v>
      </c>
      <c r="B22" s="31">
        <v>18712160</v>
      </c>
      <c r="C22" s="31">
        <v>66073190</v>
      </c>
      <c r="D22" s="24">
        <f t="shared" si="1"/>
        <v>84785350</v>
      </c>
      <c r="E22" s="31">
        <v>2386610</v>
      </c>
      <c r="F22" s="31">
        <v>4374090</v>
      </c>
      <c r="G22" s="2">
        <f t="shared" si="2"/>
        <v>6760700</v>
      </c>
      <c r="H22" s="2">
        <v>26840</v>
      </c>
      <c r="I22" s="2">
        <v>5197370</v>
      </c>
      <c r="J22" s="34">
        <v>4934010</v>
      </c>
      <c r="K22" s="24">
        <f t="shared" si="0"/>
        <v>96770260</v>
      </c>
      <c r="L22" s="34">
        <f t="shared" si="3"/>
        <v>96506900</v>
      </c>
      <c r="M22" s="42">
        <f>(J22-I22)*61.4/1000</f>
        <v>-16170.304</v>
      </c>
    </row>
    <row r="23" spans="1:13" ht="14.1" customHeight="1" x14ac:dyDescent="0.15">
      <c r="A23" s="1" t="s">
        <v>54</v>
      </c>
      <c r="B23" s="31">
        <v>188600</v>
      </c>
      <c r="C23" s="31">
        <v>806536560</v>
      </c>
      <c r="D23" s="24">
        <f t="shared" si="1"/>
        <v>806725160</v>
      </c>
      <c r="E23" s="31">
        <v>45819700</v>
      </c>
      <c r="F23" s="31">
        <v>245691570</v>
      </c>
      <c r="G23" s="2">
        <f t="shared" si="2"/>
        <v>291511270</v>
      </c>
      <c r="H23" s="2">
        <v>437600</v>
      </c>
      <c r="I23" s="2">
        <v>114250870</v>
      </c>
      <c r="J23" s="34">
        <v>107691740</v>
      </c>
      <c r="K23" s="24">
        <f t="shared" si="0"/>
        <v>1212924900</v>
      </c>
      <c r="L23" s="34">
        <f t="shared" si="3"/>
        <v>1206365770</v>
      </c>
      <c r="M23" s="42">
        <f>(J23-I23)*82.99/1000</f>
        <v>-544342.19869999995</v>
      </c>
    </row>
    <row r="24" spans="1:13" ht="14.1" customHeight="1" x14ac:dyDescent="0.15">
      <c r="A24" s="1" t="s">
        <v>5</v>
      </c>
      <c r="B24" s="31">
        <v>480670</v>
      </c>
      <c r="C24" s="31">
        <v>160364450</v>
      </c>
      <c r="D24" s="24">
        <f t="shared" si="1"/>
        <v>160845120</v>
      </c>
      <c r="E24" s="31">
        <v>3631700</v>
      </c>
      <c r="F24" s="31">
        <v>53266760</v>
      </c>
      <c r="G24" s="2">
        <f t="shared" si="2"/>
        <v>56898460</v>
      </c>
      <c r="H24" s="2">
        <v>54900</v>
      </c>
      <c r="I24" s="2">
        <v>11342660</v>
      </c>
      <c r="J24" s="34">
        <v>10914210</v>
      </c>
      <c r="K24" s="24">
        <f t="shared" si="0"/>
        <v>229141140</v>
      </c>
      <c r="L24" s="34">
        <f t="shared" si="3"/>
        <v>228712690</v>
      </c>
      <c r="M24" s="42">
        <f>(J24-I24)*71.4/1000</f>
        <v>-30591.330000000005</v>
      </c>
    </row>
    <row r="25" spans="1:13" ht="14.1" customHeight="1" x14ac:dyDescent="0.15">
      <c r="A25" s="1" t="s">
        <v>55</v>
      </c>
      <c r="B25" s="31">
        <v>10487550</v>
      </c>
      <c r="C25" s="31">
        <v>507861040</v>
      </c>
      <c r="D25" s="24">
        <f t="shared" si="1"/>
        <v>518348590</v>
      </c>
      <c r="E25" s="31">
        <v>22816960</v>
      </c>
      <c r="F25" s="31">
        <v>257919790</v>
      </c>
      <c r="G25" s="2">
        <f t="shared" si="2"/>
        <v>280736750</v>
      </c>
      <c r="H25" s="2">
        <v>128510</v>
      </c>
      <c r="I25" s="2">
        <v>24361660</v>
      </c>
      <c r="J25" s="34">
        <v>22484940</v>
      </c>
      <c r="K25" s="24">
        <f t="shared" si="0"/>
        <v>823575510</v>
      </c>
      <c r="L25" s="34">
        <f t="shared" si="3"/>
        <v>821698790</v>
      </c>
      <c r="M25" s="42">
        <f>(J25-I25)*62.03/1000</f>
        <v>-116412.94160000001</v>
      </c>
    </row>
    <row r="26" spans="1:13" ht="14.1" customHeight="1" x14ac:dyDescent="0.15">
      <c r="A26" s="1" t="s">
        <v>56</v>
      </c>
      <c r="B26" s="31">
        <v>24948230</v>
      </c>
      <c r="C26" s="31">
        <v>70633290</v>
      </c>
      <c r="D26" s="24">
        <f t="shared" si="1"/>
        <v>95581520</v>
      </c>
      <c r="E26" s="31">
        <v>106230</v>
      </c>
      <c r="F26" s="31">
        <v>7458660</v>
      </c>
      <c r="G26" s="2">
        <f t="shared" si="2"/>
        <v>7564890</v>
      </c>
      <c r="H26" s="2">
        <v>0</v>
      </c>
      <c r="I26" s="2">
        <v>3777180</v>
      </c>
      <c r="J26" s="34">
        <v>3155210</v>
      </c>
      <c r="K26" s="24">
        <f t="shared" si="0"/>
        <v>106923590</v>
      </c>
      <c r="L26" s="34">
        <f t="shared" si="3"/>
        <v>106301620</v>
      </c>
      <c r="M26" s="42">
        <f>(J26-I26)*51.45/1000</f>
        <v>-32000.356500000002</v>
      </c>
    </row>
    <row r="27" spans="1:13" ht="14.1" customHeight="1" x14ac:dyDescent="0.15">
      <c r="A27" s="1" t="s">
        <v>57</v>
      </c>
      <c r="B27" s="31">
        <v>24480090</v>
      </c>
      <c r="C27" s="31">
        <v>498488640</v>
      </c>
      <c r="D27" s="24">
        <f t="shared" si="1"/>
        <v>522968730</v>
      </c>
      <c r="E27" s="31">
        <v>9431670</v>
      </c>
      <c r="F27" s="31">
        <v>75287340</v>
      </c>
      <c r="G27" s="2">
        <f t="shared" si="2"/>
        <v>84719010</v>
      </c>
      <c r="H27" s="2">
        <v>0</v>
      </c>
      <c r="I27" s="2">
        <v>13262650</v>
      </c>
      <c r="J27" s="34">
        <v>12299580</v>
      </c>
      <c r="K27" s="24">
        <f t="shared" si="0"/>
        <v>620950390</v>
      </c>
      <c r="L27" s="34">
        <f t="shared" si="3"/>
        <v>619987320</v>
      </c>
      <c r="M27" s="42">
        <f>(J27-I27)*75.95/1000</f>
        <v>-73145.166500000007</v>
      </c>
    </row>
    <row r="28" spans="1:13" ht="14.1" customHeight="1" x14ac:dyDescent="0.15">
      <c r="A28" s="1" t="s">
        <v>58</v>
      </c>
      <c r="B28" s="31">
        <v>255510</v>
      </c>
      <c r="C28" s="31">
        <v>58294630</v>
      </c>
      <c r="D28" s="24">
        <f t="shared" si="1"/>
        <v>58550140</v>
      </c>
      <c r="E28" s="31">
        <v>32178160</v>
      </c>
      <c r="F28" s="31">
        <v>45207650</v>
      </c>
      <c r="G28" s="2">
        <f t="shared" si="2"/>
        <v>77385810</v>
      </c>
      <c r="H28" s="2">
        <v>103060</v>
      </c>
      <c r="I28" s="2">
        <v>4948760</v>
      </c>
      <c r="J28" s="34">
        <v>4948760</v>
      </c>
      <c r="K28" s="24">
        <f t="shared" si="0"/>
        <v>140987770</v>
      </c>
      <c r="L28" s="34">
        <f t="shared" si="3"/>
        <v>140987770</v>
      </c>
      <c r="M28" s="42">
        <f>(J28-I28)*71/1000</f>
        <v>0</v>
      </c>
    </row>
    <row r="29" spans="1:13" ht="14.1" customHeight="1" x14ac:dyDescent="0.15">
      <c r="A29" s="1" t="s">
        <v>59</v>
      </c>
      <c r="B29" s="31">
        <v>0</v>
      </c>
      <c r="C29" s="31">
        <v>282392120</v>
      </c>
      <c r="D29" s="24">
        <f t="shared" si="1"/>
        <v>282392120</v>
      </c>
      <c r="E29" s="31">
        <v>0</v>
      </c>
      <c r="F29" s="31">
        <v>12672010</v>
      </c>
      <c r="G29" s="2">
        <f t="shared" si="2"/>
        <v>12672010</v>
      </c>
      <c r="H29" s="2">
        <v>0</v>
      </c>
      <c r="I29" s="2">
        <v>2058770</v>
      </c>
      <c r="J29" s="34">
        <v>1778110</v>
      </c>
      <c r="K29" s="24">
        <f t="shared" si="0"/>
        <v>297122900</v>
      </c>
      <c r="L29" s="34">
        <f t="shared" si="3"/>
        <v>296842240</v>
      </c>
      <c r="M29" s="42">
        <f>(J29-I29)*129.2/1000</f>
        <v>-36261.271999999997</v>
      </c>
    </row>
    <row r="30" spans="1:13" ht="14.1" customHeight="1" x14ac:dyDescent="0.15">
      <c r="A30" s="1" t="s">
        <v>60</v>
      </c>
      <c r="B30" s="31">
        <v>1879590</v>
      </c>
      <c r="C30" s="31">
        <v>3785830</v>
      </c>
      <c r="D30" s="24">
        <f t="shared" si="1"/>
        <v>5665420</v>
      </c>
      <c r="E30" s="31">
        <v>0</v>
      </c>
      <c r="F30" s="31">
        <v>0</v>
      </c>
      <c r="G30" s="2">
        <f t="shared" si="2"/>
        <v>0</v>
      </c>
      <c r="H30" s="2">
        <v>0</v>
      </c>
      <c r="I30" s="2">
        <v>289860</v>
      </c>
      <c r="J30" s="34">
        <v>289860</v>
      </c>
      <c r="K30" s="24">
        <f t="shared" si="0"/>
        <v>5955280</v>
      </c>
      <c r="L30" s="34">
        <f t="shared" si="3"/>
        <v>5955280</v>
      </c>
      <c r="M30" s="42">
        <f>(J30-I30)*23/1000</f>
        <v>0</v>
      </c>
    </row>
    <row r="31" spans="1:13" ht="14.1" customHeight="1" x14ac:dyDescent="0.15">
      <c r="A31" s="1" t="s">
        <v>61</v>
      </c>
      <c r="B31" s="31">
        <v>0</v>
      </c>
      <c r="C31" s="31">
        <v>21769910</v>
      </c>
      <c r="D31" s="24">
        <f t="shared" si="1"/>
        <v>21769910</v>
      </c>
      <c r="E31" s="31">
        <v>0</v>
      </c>
      <c r="F31" s="31">
        <v>0</v>
      </c>
      <c r="G31" s="2">
        <f t="shared" si="2"/>
        <v>0</v>
      </c>
      <c r="H31" s="2">
        <v>0</v>
      </c>
      <c r="I31" s="2">
        <v>0</v>
      </c>
      <c r="J31" s="34">
        <v>0</v>
      </c>
      <c r="K31" s="24">
        <f t="shared" si="0"/>
        <v>21769910</v>
      </c>
      <c r="L31" s="34">
        <f t="shared" si="3"/>
        <v>21769910</v>
      </c>
      <c r="M31" s="42">
        <f>(J31-I31)*58.79/1000</f>
        <v>0</v>
      </c>
    </row>
    <row r="32" spans="1:13" ht="14.1" customHeight="1" x14ac:dyDescent="0.15">
      <c r="A32" s="1" t="s">
        <v>62</v>
      </c>
      <c r="B32" s="31">
        <v>7024120</v>
      </c>
      <c r="C32" s="31">
        <v>6228670</v>
      </c>
      <c r="D32" s="24">
        <f t="shared" si="1"/>
        <v>13252790</v>
      </c>
      <c r="E32" s="31">
        <v>156500</v>
      </c>
      <c r="F32" s="31">
        <v>18450</v>
      </c>
      <c r="G32" s="2">
        <f t="shared" si="2"/>
        <v>174950</v>
      </c>
      <c r="H32" s="2">
        <v>0</v>
      </c>
      <c r="I32" s="2">
        <v>198080</v>
      </c>
      <c r="J32" s="34">
        <v>198080</v>
      </c>
      <c r="K32" s="24">
        <f t="shared" si="0"/>
        <v>13625820</v>
      </c>
      <c r="L32" s="34">
        <f t="shared" si="3"/>
        <v>13625820</v>
      </c>
      <c r="M32" s="42">
        <f>(J32-I32)*41.8/1000</f>
        <v>0</v>
      </c>
    </row>
    <row r="33" spans="1:16" ht="14.1" customHeight="1" x14ac:dyDescent="0.15">
      <c r="A33" s="1" t="s">
        <v>63</v>
      </c>
      <c r="B33" s="31">
        <v>12171550</v>
      </c>
      <c r="C33" s="31">
        <v>135839880</v>
      </c>
      <c r="D33" s="24">
        <f t="shared" si="1"/>
        <v>148011430</v>
      </c>
      <c r="E33" s="31">
        <v>2222370</v>
      </c>
      <c r="F33" s="31">
        <v>51656240</v>
      </c>
      <c r="G33" s="2">
        <f t="shared" si="2"/>
        <v>53878610</v>
      </c>
      <c r="H33" s="2">
        <v>0</v>
      </c>
      <c r="I33" s="2">
        <v>10842670</v>
      </c>
      <c r="J33" s="34">
        <v>9508500</v>
      </c>
      <c r="K33" s="24">
        <f t="shared" si="0"/>
        <v>212732710</v>
      </c>
      <c r="L33" s="34">
        <f t="shared" si="3"/>
        <v>211398540</v>
      </c>
      <c r="M33" s="42">
        <f>(J33-I33)*61.56/1000</f>
        <v>-82131.5052</v>
      </c>
    </row>
    <row r="34" spans="1:16" ht="14.1" customHeight="1" x14ac:dyDescent="0.15">
      <c r="A34" s="1" t="s">
        <v>65</v>
      </c>
      <c r="B34" s="31">
        <v>47997840</v>
      </c>
      <c r="C34" s="31">
        <v>159023160</v>
      </c>
      <c r="D34" s="24">
        <f>+B34+C34</f>
        <v>207021000</v>
      </c>
      <c r="E34" s="31">
        <v>1436340</v>
      </c>
      <c r="F34" s="31">
        <v>11818110</v>
      </c>
      <c r="G34" s="2">
        <f>+E34+F34</f>
        <v>13254450</v>
      </c>
      <c r="H34" s="2">
        <v>1950</v>
      </c>
      <c r="I34" s="2">
        <v>13513400</v>
      </c>
      <c r="J34" s="34">
        <v>13265200</v>
      </c>
      <c r="K34" s="24">
        <f t="shared" si="0"/>
        <v>233790800</v>
      </c>
      <c r="L34" s="34">
        <f t="shared" si="3"/>
        <v>233542600</v>
      </c>
      <c r="M34" s="42">
        <f>(J34-I34)*39.33/1000</f>
        <v>-9761.7060000000001</v>
      </c>
    </row>
    <row r="35" spans="1:16" ht="14.1" customHeight="1" x14ac:dyDescent="0.15">
      <c r="A35" s="1" t="s">
        <v>64</v>
      </c>
      <c r="B35" s="31">
        <v>9308970</v>
      </c>
      <c r="C35" s="31">
        <v>404409560</v>
      </c>
      <c r="D35" s="24">
        <f t="shared" si="1"/>
        <v>413718530</v>
      </c>
      <c r="E35" s="31">
        <v>34647930</v>
      </c>
      <c r="F35" s="31">
        <v>120641750</v>
      </c>
      <c r="G35" s="2">
        <f t="shared" si="2"/>
        <v>155289680</v>
      </c>
      <c r="H35" s="2">
        <v>169970</v>
      </c>
      <c r="I35" s="2">
        <v>13740700</v>
      </c>
      <c r="J35" s="34">
        <v>13033900</v>
      </c>
      <c r="K35" s="24">
        <f t="shared" si="0"/>
        <v>582918880</v>
      </c>
      <c r="L35" s="34">
        <f t="shared" si="3"/>
        <v>582212080</v>
      </c>
      <c r="M35" s="42">
        <f>(J35-I35)*62.56/1000</f>
        <v>-44217.408000000003</v>
      </c>
    </row>
    <row r="36" spans="1:16" ht="14.1" customHeight="1" x14ac:dyDescent="0.15">
      <c r="A36" s="1" t="s">
        <v>66</v>
      </c>
      <c r="B36" s="31">
        <v>137710</v>
      </c>
      <c r="C36" s="31">
        <v>264899110</v>
      </c>
      <c r="D36" s="24">
        <f t="shared" si="1"/>
        <v>265036820</v>
      </c>
      <c r="E36" s="31">
        <v>14695920</v>
      </c>
      <c r="F36" s="31">
        <v>80706590</v>
      </c>
      <c r="G36" s="2">
        <f t="shared" si="2"/>
        <v>95402510</v>
      </c>
      <c r="H36" s="2">
        <v>66090</v>
      </c>
      <c r="I36" s="2">
        <v>8553870</v>
      </c>
      <c r="J36" s="34">
        <v>8253770</v>
      </c>
      <c r="K36" s="24">
        <f t="shared" si="0"/>
        <v>369059290</v>
      </c>
      <c r="L36" s="34">
        <f t="shared" si="3"/>
        <v>368759190</v>
      </c>
      <c r="M36" s="42">
        <f>(J36-I36)*72.05/1000</f>
        <v>-21622.205000000002</v>
      </c>
      <c r="P36" s="36"/>
    </row>
    <row r="37" spans="1:16" ht="14.1" customHeight="1" x14ac:dyDescent="0.15">
      <c r="A37" s="1" t="s">
        <v>67</v>
      </c>
      <c r="B37" s="31">
        <v>80440</v>
      </c>
      <c r="C37" s="31">
        <v>61245590</v>
      </c>
      <c r="D37" s="24">
        <f t="shared" si="1"/>
        <v>61326030</v>
      </c>
      <c r="E37" s="31">
        <v>1609620</v>
      </c>
      <c r="F37" s="31">
        <v>2430550</v>
      </c>
      <c r="G37" s="2">
        <f t="shared" si="2"/>
        <v>4040170</v>
      </c>
      <c r="H37" s="2">
        <v>0</v>
      </c>
      <c r="I37" s="2">
        <v>491660</v>
      </c>
      <c r="J37" s="34">
        <v>491660</v>
      </c>
      <c r="K37" s="24">
        <f t="shared" si="0"/>
        <v>65857860</v>
      </c>
      <c r="L37" s="34">
        <f t="shared" si="3"/>
        <v>65857860</v>
      </c>
      <c r="M37" s="42">
        <f>(J37-I37)*3.45/1000</f>
        <v>0</v>
      </c>
    </row>
    <row r="38" spans="1:16" ht="14.1" customHeight="1" x14ac:dyDescent="0.15">
      <c r="A38" s="1" t="s">
        <v>68</v>
      </c>
      <c r="B38" s="31">
        <v>0</v>
      </c>
      <c r="C38" s="31">
        <v>21769910</v>
      </c>
      <c r="D38" s="24">
        <f t="shared" si="1"/>
        <v>21769910</v>
      </c>
      <c r="E38" s="31">
        <v>0</v>
      </c>
      <c r="F38" s="31">
        <v>0</v>
      </c>
      <c r="G38" s="2">
        <f t="shared" si="2"/>
        <v>0</v>
      </c>
      <c r="H38" s="2">
        <v>0</v>
      </c>
      <c r="I38" s="2">
        <v>0</v>
      </c>
      <c r="J38" s="34">
        <v>0</v>
      </c>
      <c r="K38" s="24">
        <f t="shared" si="0"/>
        <v>21769910</v>
      </c>
      <c r="L38" s="34">
        <f t="shared" si="3"/>
        <v>21769910</v>
      </c>
      <c r="M38" s="42">
        <f>(J38-I38)*4.5/1000</f>
        <v>0</v>
      </c>
    </row>
    <row r="39" spans="1:16" ht="14.1" customHeight="1" x14ac:dyDescent="0.15">
      <c r="A39" s="1" t="s">
        <v>69</v>
      </c>
      <c r="B39" s="31">
        <v>189695510</v>
      </c>
      <c r="C39" s="31">
        <v>2853862150</v>
      </c>
      <c r="D39" s="24">
        <f t="shared" si="1"/>
        <v>3043557660</v>
      </c>
      <c r="E39" s="31">
        <v>148027940</v>
      </c>
      <c r="F39" s="31">
        <v>777466370</v>
      </c>
      <c r="G39" s="2">
        <f t="shared" si="2"/>
        <v>925494310</v>
      </c>
      <c r="H39" s="2">
        <v>539690</v>
      </c>
      <c r="I39" s="2">
        <v>127476610</v>
      </c>
      <c r="J39" s="34">
        <v>120088180</v>
      </c>
      <c r="K39" s="24">
        <f t="shared" si="0"/>
        <v>4097068270</v>
      </c>
      <c r="L39" s="34">
        <f t="shared" si="3"/>
        <v>4089679840</v>
      </c>
      <c r="M39" s="42">
        <f>(J39-I39)*2.58/1000</f>
        <v>-19062.149400000002</v>
      </c>
    </row>
    <row r="40" spans="1:16" s="25" customFormat="1" ht="14.1" customHeight="1" x14ac:dyDescent="0.15">
      <c r="A40" s="3" t="s">
        <v>70</v>
      </c>
      <c r="B40" s="31">
        <v>143123470</v>
      </c>
      <c r="C40" s="31">
        <v>4668619380</v>
      </c>
      <c r="D40" s="24">
        <f t="shared" si="1"/>
        <v>4811742850</v>
      </c>
      <c r="E40" s="31">
        <v>272549780</v>
      </c>
      <c r="F40" s="31">
        <v>1394447020</v>
      </c>
      <c r="G40" s="2">
        <f t="shared" si="2"/>
        <v>1666996800</v>
      </c>
      <c r="H40" s="24">
        <v>2584740</v>
      </c>
      <c r="I40" s="24">
        <v>333624440</v>
      </c>
      <c r="J40" s="34">
        <v>310851390</v>
      </c>
      <c r="K40" s="24">
        <f t="shared" si="0"/>
        <v>6814948830</v>
      </c>
      <c r="L40" s="34">
        <f t="shared" si="3"/>
        <v>6792175780</v>
      </c>
      <c r="M40" s="42">
        <f>(J40-I40)*3.31/1000</f>
        <v>-75378.795499999993</v>
      </c>
    </row>
    <row r="41" spans="1:16" s="25" customFormat="1" ht="14.1" customHeight="1" x14ac:dyDescent="0.15">
      <c r="A41" s="3" t="s">
        <v>85</v>
      </c>
      <c r="B41" s="31">
        <v>6294060</v>
      </c>
      <c r="C41" s="31">
        <v>1341932010</v>
      </c>
      <c r="D41" s="24">
        <f t="shared" ref="D41" si="4">+B41+C41</f>
        <v>1348226070</v>
      </c>
      <c r="E41" s="31">
        <v>5529690</v>
      </c>
      <c r="F41" s="31">
        <v>298922700</v>
      </c>
      <c r="G41" s="2">
        <f t="shared" ref="G41" si="5">+E41+F41</f>
        <v>304452390</v>
      </c>
      <c r="H41" s="2">
        <v>0</v>
      </c>
      <c r="I41" s="2">
        <v>30002790</v>
      </c>
      <c r="J41" s="34">
        <v>26569530</v>
      </c>
      <c r="K41" s="24">
        <f t="shared" ref="K41" si="6">+D41+G41+H41+I41</f>
        <v>1682681250</v>
      </c>
      <c r="L41" s="34">
        <f t="shared" ref="L41" si="7">+D41+G41+H41+J41</f>
        <v>1679247990</v>
      </c>
      <c r="M41" s="42">
        <f>(J41-I41)*3/1000</f>
        <v>-10299.780000000001</v>
      </c>
    </row>
    <row r="42" spans="1:16" s="25" customFormat="1" ht="14.1" customHeight="1" x14ac:dyDescent="0.15">
      <c r="A42" s="3" t="s">
        <v>86</v>
      </c>
      <c r="B42" s="31">
        <v>0</v>
      </c>
      <c r="C42" s="31">
        <v>282392120</v>
      </c>
      <c r="D42" s="24">
        <f t="shared" ref="D42" si="8">+B42+C42</f>
        <v>282392120</v>
      </c>
      <c r="E42" s="31">
        <v>0</v>
      </c>
      <c r="F42" s="31">
        <v>12672010</v>
      </c>
      <c r="G42" s="2">
        <f t="shared" ref="G42" si="9">+E42+F42</f>
        <v>12672010</v>
      </c>
      <c r="H42" s="2">
        <v>0</v>
      </c>
      <c r="I42" s="2">
        <v>2058770</v>
      </c>
      <c r="J42" s="34">
        <v>1778110</v>
      </c>
      <c r="K42" s="24">
        <f t="shared" ref="K42" si="10">+D42+G42+H42+I42</f>
        <v>297122900</v>
      </c>
      <c r="L42" s="34">
        <f t="shared" ref="L42" si="11">+D42+G42+H42+J42</f>
        <v>296842240</v>
      </c>
      <c r="M42" s="42">
        <f>(J42-I42)*1.5/1000</f>
        <v>-420.99</v>
      </c>
    </row>
    <row r="43" spans="1:16" ht="14.1" customHeight="1" x14ac:dyDescent="0.15">
      <c r="A43" s="45" t="s">
        <v>71</v>
      </c>
      <c r="B43" s="46"/>
      <c r="C43" s="46"/>
      <c r="D43" s="47"/>
      <c r="E43" s="46"/>
      <c r="F43" s="46"/>
      <c r="G43" s="48" t="s">
        <v>2</v>
      </c>
      <c r="H43" s="49" t="s">
        <v>2</v>
      </c>
      <c r="I43" s="50"/>
      <c r="J43" s="50"/>
      <c r="K43" s="51"/>
      <c r="L43" s="52" t="s">
        <v>2</v>
      </c>
      <c r="M43" s="52"/>
    </row>
    <row r="44" spans="1:16" ht="14.1" customHeight="1" x14ac:dyDescent="0.15">
      <c r="A44" s="1" t="s">
        <v>6</v>
      </c>
      <c r="B44" s="31">
        <v>7627440</v>
      </c>
      <c r="C44" s="31">
        <v>183620720</v>
      </c>
      <c r="D44" s="24">
        <f t="shared" ref="D44:D53" si="12">+B44+C44</f>
        <v>191248160</v>
      </c>
      <c r="E44" s="31">
        <v>1771620</v>
      </c>
      <c r="F44" s="31">
        <v>35624510</v>
      </c>
      <c r="G44" s="2">
        <f t="shared" ref="G44:G53" si="13">+E44+F44</f>
        <v>37396130</v>
      </c>
      <c r="H44" s="2">
        <v>130140</v>
      </c>
      <c r="I44" s="2">
        <v>5840150</v>
      </c>
      <c r="J44" s="34">
        <v>5447440</v>
      </c>
      <c r="K44" s="24">
        <f t="shared" ref="K44:K53" si="14">+D44+G44+H44+I44</f>
        <v>234614580</v>
      </c>
      <c r="L44" s="34">
        <f t="shared" ref="L44:L53" si="15">+D44+G44+H44+J44</f>
        <v>234221870</v>
      </c>
      <c r="M44" s="42">
        <f>(J44-I44)*0.54/1000</f>
        <v>-212.06340000000003</v>
      </c>
    </row>
    <row r="45" spans="1:16" ht="14.1" customHeight="1" x14ac:dyDescent="0.15">
      <c r="A45" s="1" t="s">
        <v>7</v>
      </c>
      <c r="B45" s="31">
        <v>28028910</v>
      </c>
      <c r="C45" s="31">
        <v>119673300</v>
      </c>
      <c r="D45" s="24">
        <f t="shared" si="12"/>
        <v>147702210</v>
      </c>
      <c r="E45" s="31">
        <v>8743060</v>
      </c>
      <c r="F45" s="31">
        <v>22220060</v>
      </c>
      <c r="G45" s="2">
        <f t="shared" si="13"/>
        <v>30963120</v>
      </c>
      <c r="H45" s="2">
        <v>0</v>
      </c>
      <c r="I45" s="2">
        <v>4732180</v>
      </c>
      <c r="J45" s="34">
        <v>4408830</v>
      </c>
      <c r="K45" s="24">
        <f t="shared" si="14"/>
        <v>183397510</v>
      </c>
      <c r="L45" s="34">
        <f t="shared" si="15"/>
        <v>183074160</v>
      </c>
      <c r="M45" s="42">
        <f>(J45-I45)*3.68/1000</f>
        <v>-1189.9280000000001</v>
      </c>
    </row>
    <row r="46" spans="1:16" ht="14.1" customHeight="1" x14ac:dyDescent="0.15">
      <c r="A46" s="1" t="s">
        <v>41</v>
      </c>
      <c r="B46" s="31">
        <v>40</v>
      </c>
      <c r="C46" s="31">
        <v>21772810</v>
      </c>
      <c r="D46" s="24">
        <f t="shared" si="12"/>
        <v>21772850</v>
      </c>
      <c r="E46" s="31">
        <v>998950</v>
      </c>
      <c r="F46" s="31">
        <v>2144030</v>
      </c>
      <c r="G46" s="2">
        <f t="shared" si="13"/>
        <v>3142980</v>
      </c>
      <c r="H46" s="2">
        <v>0</v>
      </c>
      <c r="I46" s="2">
        <v>2340</v>
      </c>
      <c r="J46" s="34">
        <v>2340</v>
      </c>
      <c r="K46" s="24">
        <f t="shared" si="14"/>
        <v>24918170</v>
      </c>
      <c r="L46" s="34">
        <f t="shared" si="15"/>
        <v>24918170</v>
      </c>
      <c r="M46" s="42">
        <f>(J46-I46)*8.36/1000</f>
        <v>0</v>
      </c>
    </row>
    <row r="47" spans="1:16" ht="14.1" customHeight="1" x14ac:dyDescent="0.15">
      <c r="A47" s="1" t="s">
        <v>8</v>
      </c>
      <c r="B47" s="31">
        <v>27850570</v>
      </c>
      <c r="C47" s="31">
        <v>130652770</v>
      </c>
      <c r="D47" s="24">
        <f t="shared" si="12"/>
        <v>158503340</v>
      </c>
      <c r="E47" s="31">
        <v>1252610</v>
      </c>
      <c r="F47" s="31">
        <v>10779180</v>
      </c>
      <c r="G47" s="2">
        <f t="shared" si="13"/>
        <v>12031790</v>
      </c>
      <c r="H47" s="2">
        <v>1950</v>
      </c>
      <c r="I47" s="2">
        <v>7602100</v>
      </c>
      <c r="J47" s="34">
        <v>7386420</v>
      </c>
      <c r="K47" s="24">
        <f t="shared" si="14"/>
        <v>178139180</v>
      </c>
      <c r="L47" s="34">
        <f t="shared" si="15"/>
        <v>177923500</v>
      </c>
      <c r="M47" s="42">
        <f>(J47-I47)*7.68/1000</f>
        <v>-1656.4223999999999</v>
      </c>
    </row>
    <row r="48" spans="1:16" ht="14.1" customHeight="1" x14ac:dyDescent="0.15">
      <c r="A48" s="1" t="s">
        <v>9</v>
      </c>
      <c r="B48" s="31">
        <v>498040</v>
      </c>
      <c r="C48" s="31">
        <v>146187870</v>
      </c>
      <c r="D48" s="24">
        <f t="shared" si="12"/>
        <v>146685910</v>
      </c>
      <c r="E48" s="31">
        <v>22388180</v>
      </c>
      <c r="F48" s="31">
        <v>73810300</v>
      </c>
      <c r="G48" s="2">
        <f t="shared" si="13"/>
        <v>96198480</v>
      </c>
      <c r="H48" s="2">
        <v>0</v>
      </c>
      <c r="I48" s="2">
        <v>8530160</v>
      </c>
      <c r="J48" s="34">
        <v>7683810</v>
      </c>
      <c r="K48" s="24">
        <f t="shared" si="14"/>
        <v>251414550</v>
      </c>
      <c r="L48" s="34">
        <f t="shared" si="15"/>
        <v>250568200</v>
      </c>
      <c r="M48" s="42">
        <f>(J48-I48)*32.97/1000</f>
        <v>-27904.159500000002</v>
      </c>
    </row>
    <row r="49" spans="1:13" ht="14.1" customHeight="1" x14ac:dyDescent="0.15">
      <c r="A49" s="1" t="s">
        <v>10</v>
      </c>
      <c r="B49" s="31">
        <v>32371030</v>
      </c>
      <c r="C49" s="31">
        <v>74352540</v>
      </c>
      <c r="D49" s="24">
        <f t="shared" si="12"/>
        <v>106723570</v>
      </c>
      <c r="E49" s="31">
        <v>195420</v>
      </c>
      <c r="F49" s="31">
        <v>5043900</v>
      </c>
      <c r="G49" s="2">
        <f t="shared" si="13"/>
        <v>5239320</v>
      </c>
      <c r="H49" s="2">
        <v>0</v>
      </c>
      <c r="I49" s="2">
        <v>7209590</v>
      </c>
      <c r="J49" s="34">
        <v>7144140</v>
      </c>
      <c r="K49" s="24">
        <f t="shared" si="14"/>
        <v>119172480</v>
      </c>
      <c r="L49" s="34">
        <f t="shared" si="15"/>
        <v>119107030</v>
      </c>
      <c r="M49" s="42">
        <f>(J49-I49)*0.2/1000</f>
        <v>-13.09</v>
      </c>
    </row>
    <row r="50" spans="1:13" ht="14.1" customHeight="1" x14ac:dyDescent="0.15">
      <c r="A50" s="1" t="s">
        <v>11</v>
      </c>
      <c r="B50" s="31">
        <v>17526780</v>
      </c>
      <c r="C50" s="31">
        <v>62114820</v>
      </c>
      <c r="D50" s="24">
        <f t="shared" si="12"/>
        <v>79641600</v>
      </c>
      <c r="E50" s="31">
        <v>749480</v>
      </c>
      <c r="F50" s="31">
        <v>2617990</v>
      </c>
      <c r="G50" s="2">
        <f t="shared" si="13"/>
        <v>3367470</v>
      </c>
      <c r="H50" s="2">
        <v>26840</v>
      </c>
      <c r="I50" s="2">
        <v>5686070</v>
      </c>
      <c r="J50" s="34">
        <v>5422710</v>
      </c>
      <c r="K50" s="24">
        <f t="shared" si="14"/>
        <v>88721980</v>
      </c>
      <c r="L50" s="34">
        <f t="shared" si="15"/>
        <v>88458620</v>
      </c>
      <c r="M50" s="42">
        <f>(J50-I50)*18.59/1000</f>
        <v>-4895.8624</v>
      </c>
    </row>
    <row r="51" spans="1:13" ht="14.1" customHeight="1" x14ac:dyDescent="0.15">
      <c r="A51" s="1" t="s">
        <v>12</v>
      </c>
      <c r="B51" s="31">
        <v>11145430</v>
      </c>
      <c r="C51" s="31">
        <v>638204150</v>
      </c>
      <c r="D51" s="24">
        <f t="shared" si="12"/>
        <v>649349580</v>
      </c>
      <c r="E51" s="31">
        <v>26181610</v>
      </c>
      <c r="F51" s="31">
        <v>276325690</v>
      </c>
      <c r="G51" s="2">
        <f t="shared" si="13"/>
        <v>302507300</v>
      </c>
      <c r="H51" s="2">
        <v>182520</v>
      </c>
      <c r="I51" s="2">
        <v>36949690</v>
      </c>
      <c r="J51" s="34">
        <v>35072970</v>
      </c>
      <c r="K51" s="24">
        <f t="shared" si="14"/>
        <v>988989090</v>
      </c>
      <c r="L51" s="34">
        <f t="shared" si="15"/>
        <v>987112370</v>
      </c>
      <c r="M51" s="42">
        <f>(J51-I51)*0.18/1000</f>
        <v>-337.80959999999999</v>
      </c>
    </row>
    <row r="52" spans="1:13" ht="14.1" customHeight="1" x14ac:dyDescent="0.15">
      <c r="A52" s="1" t="s">
        <v>13</v>
      </c>
      <c r="B52" s="31">
        <v>29672050</v>
      </c>
      <c r="C52" s="31">
        <v>78177190</v>
      </c>
      <c r="D52" s="24">
        <f t="shared" si="12"/>
        <v>107849240</v>
      </c>
      <c r="E52" s="31">
        <v>174180</v>
      </c>
      <c r="F52" s="31">
        <v>3027720</v>
      </c>
      <c r="G52" s="2">
        <f t="shared" si="13"/>
        <v>3201900</v>
      </c>
      <c r="H52" s="2">
        <v>0</v>
      </c>
      <c r="I52" s="2">
        <v>3742610</v>
      </c>
      <c r="J52" s="34">
        <v>3153570</v>
      </c>
      <c r="K52" s="24">
        <f t="shared" si="14"/>
        <v>114793750</v>
      </c>
      <c r="L52" s="34">
        <f t="shared" si="15"/>
        <v>114204710</v>
      </c>
      <c r="M52" s="42">
        <f>(J52-I52)*2.8/1000</f>
        <v>-1649.3119999999999</v>
      </c>
    </row>
    <row r="53" spans="1:13" ht="14.1" customHeight="1" x14ac:dyDescent="0.15">
      <c r="A53" s="1" t="s">
        <v>14</v>
      </c>
      <c r="B53" s="31">
        <v>6294060</v>
      </c>
      <c r="C53" s="31">
        <v>1341002270</v>
      </c>
      <c r="D53" s="24">
        <f t="shared" si="12"/>
        <v>1347296330</v>
      </c>
      <c r="E53" s="31">
        <v>5529690</v>
      </c>
      <c r="F53" s="31">
        <v>298888020</v>
      </c>
      <c r="G53" s="2">
        <f t="shared" si="13"/>
        <v>304417710</v>
      </c>
      <c r="H53" s="2">
        <v>0</v>
      </c>
      <c r="I53" s="2">
        <v>30002790</v>
      </c>
      <c r="J53" s="34">
        <v>26569530</v>
      </c>
      <c r="K53" s="24">
        <f t="shared" si="14"/>
        <v>1681716830</v>
      </c>
      <c r="L53" s="34">
        <f t="shared" si="15"/>
        <v>1678283570</v>
      </c>
      <c r="M53" s="42">
        <f>(J53-I53)*7.55/1000</f>
        <v>-25921.113000000001</v>
      </c>
    </row>
    <row r="54" spans="1:13" ht="14.1" customHeight="1" x14ac:dyDescent="0.15">
      <c r="A54" s="1" t="s">
        <v>87</v>
      </c>
      <c r="B54" s="31">
        <v>6294060</v>
      </c>
      <c r="C54" s="31">
        <v>1341002270</v>
      </c>
      <c r="D54" s="24">
        <f t="shared" ref="D54" si="16">+B54+C54</f>
        <v>1347296330</v>
      </c>
      <c r="E54" s="31">
        <v>5529690</v>
      </c>
      <c r="F54" s="31">
        <v>298888020</v>
      </c>
      <c r="G54" s="2">
        <f t="shared" ref="G54" si="17">+E54+F54</f>
        <v>304417710</v>
      </c>
      <c r="H54" s="2">
        <v>0</v>
      </c>
      <c r="I54" s="2">
        <v>30002790</v>
      </c>
      <c r="J54" s="34">
        <v>26569530</v>
      </c>
      <c r="K54" s="24">
        <f t="shared" ref="K54" si="18">+D54+G54+H54+I54</f>
        <v>1681716830</v>
      </c>
      <c r="L54" s="34">
        <f t="shared" ref="L54" si="19">+D54+G54+H54+J54</f>
        <v>1678283570</v>
      </c>
      <c r="M54" s="42">
        <f>(J54-I54)*2.9/1000</f>
        <v>-9956.4539999999997</v>
      </c>
    </row>
    <row r="55" spans="1:13" ht="14.1" customHeight="1" x14ac:dyDescent="0.15">
      <c r="A55" s="26" t="s">
        <v>75</v>
      </c>
      <c r="B55" s="32">
        <f t="shared" ref="B55:C55" si="20">SUM(B44:B53)</f>
        <v>161014350</v>
      </c>
      <c r="C55" s="32">
        <f t="shared" si="20"/>
        <v>2795758440</v>
      </c>
      <c r="D55" s="28">
        <f>SUM(D44:D53)</f>
        <v>2956772790</v>
      </c>
      <c r="E55" s="32">
        <f t="shared" ref="E55:K55" si="21">SUM(E44:E53)</f>
        <v>67984800</v>
      </c>
      <c r="F55" s="32">
        <f t="shared" si="21"/>
        <v>730481400</v>
      </c>
      <c r="G55" s="6">
        <f t="shared" si="21"/>
        <v>798466200</v>
      </c>
      <c r="H55" s="6">
        <f t="shared" si="21"/>
        <v>341450</v>
      </c>
      <c r="I55" s="6">
        <f t="shared" si="21"/>
        <v>110297680</v>
      </c>
      <c r="J55" s="35">
        <f>SUM(J44:J53)</f>
        <v>102291760</v>
      </c>
      <c r="K55" s="28">
        <f t="shared" si="21"/>
        <v>3865878120</v>
      </c>
      <c r="L55" s="35">
        <f t="shared" ref="L55" si="22">SUM(L44:L53)</f>
        <v>3857872200</v>
      </c>
      <c r="M55" s="43">
        <f>SUM(M44:M54)</f>
        <v>-73736.214300000007</v>
      </c>
    </row>
    <row r="56" spans="1:13" ht="14.1" customHeight="1" x14ac:dyDescent="0.15">
      <c r="A56" s="7" t="s">
        <v>72</v>
      </c>
      <c r="B56" s="33"/>
      <c r="C56" s="33"/>
      <c r="D56" s="29"/>
      <c r="E56" s="33"/>
      <c r="F56" s="33"/>
      <c r="G56" s="4"/>
      <c r="H56" s="8"/>
      <c r="I56" s="4"/>
      <c r="J56" s="4"/>
      <c r="K56" s="30"/>
      <c r="L56" s="30"/>
      <c r="M56" s="30"/>
    </row>
    <row r="57" spans="1:13" ht="14.1" customHeight="1" x14ac:dyDescent="0.15">
      <c r="A57" s="1" t="s">
        <v>6</v>
      </c>
      <c r="B57" s="33">
        <v>6614520</v>
      </c>
      <c r="C57" s="33">
        <v>178023120</v>
      </c>
      <c r="D57" s="24">
        <f t="shared" ref="D57:D66" si="23">+B57+C57</f>
        <v>184637640</v>
      </c>
      <c r="E57" s="33">
        <v>1603620</v>
      </c>
      <c r="F57" s="33">
        <v>35502090</v>
      </c>
      <c r="G57" s="2">
        <f t="shared" ref="G57:G66" si="24">+E57+F57</f>
        <v>37105710</v>
      </c>
      <c r="H57" s="5">
        <v>130140</v>
      </c>
      <c r="I57" s="5">
        <v>5839740</v>
      </c>
      <c r="J57" s="41">
        <v>5447030</v>
      </c>
      <c r="K57" s="24">
        <f t="shared" ref="K57:K66" si="25">+D57+G57+H57+I57</f>
        <v>227713230</v>
      </c>
      <c r="L57" s="34">
        <f t="shared" ref="L57:L66" si="26">+D57+G57+H57+J57</f>
        <v>227320520</v>
      </c>
      <c r="M57" s="42">
        <f>(J57-I57)*16.4/1000</f>
        <v>-6440.4439999999995</v>
      </c>
    </row>
    <row r="58" spans="1:13" ht="14.1" customHeight="1" x14ac:dyDescent="0.15">
      <c r="A58" s="1" t="s">
        <v>7</v>
      </c>
      <c r="B58" s="31">
        <v>27622160</v>
      </c>
      <c r="C58" s="31">
        <v>57969470</v>
      </c>
      <c r="D58" s="24">
        <f t="shared" si="23"/>
        <v>85591630</v>
      </c>
      <c r="E58" s="31">
        <v>1309950</v>
      </c>
      <c r="F58" s="31">
        <v>4201170</v>
      </c>
      <c r="G58" s="2">
        <f t="shared" si="24"/>
        <v>5511120</v>
      </c>
      <c r="H58" s="2">
        <v>0</v>
      </c>
      <c r="I58" s="2">
        <v>2379650</v>
      </c>
      <c r="J58" s="34">
        <v>2308410</v>
      </c>
      <c r="K58" s="24">
        <f t="shared" si="25"/>
        <v>93482400</v>
      </c>
      <c r="L58" s="34">
        <f t="shared" si="26"/>
        <v>93411160</v>
      </c>
      <c r="M58" s="42">
        <f>(J58-I58)*13.67/1000</f>
        <v>-973.85080000000005</v>
      </c>
    </row>
    <row r="59" spans="1:13" ht="14.1" customHeight="1" x14ac:dyDescent="0.15">
      <c r="A59" s="1" t="s">
        <v>8</v>
      </c>
      <c r="B59" s="31">
        <v>26691980</v>
      </c>
      <c r="C59" s="31">
        <v>55201420</v>
      </c>
      <c r="D59" s="24">
        <f t="shared" si="23"/>
        <v>81893400</v>
      </c>
      <c r="E59" s="31">
        <v>132300</v>
      </c>
      <c r="F59" s="31">
        <v>821120</v>
      </c>
      <c r="G59" s="2">
        <f t="shared" si="24"/>
        <v>953420</v>
      </c>
      <c r="H59" s="2">
        <v>1440</v>
      </c>
      <c r="I59" s="2">
        <v>6048210</v>
      </c>
      <c r="J59" s="34">
        <v>6035270</v>
      </c>
      <c r="K59" s="24">
        <f t="shared" si="25"/>
        <v>88896470</v>
      </c>
      <c r="L59" s="34">
        <f t="shared" si="26"/>
        <v>88883530</v>
      </c>
      <c r="M59" s="42">
        <f>(J59-I59)*11.02/1000</f>
        <v>-142.59879999999998</v>
      </c>
    </row>
    <row r="60" spans="1:13" ht="14.1" customHeight="1" x14ac:dyDescent="0.15">
      <c r="A60" s="1" t="s">
        <v>15</v>
      </c>
      <c r="B60" s="31">
        <v>31598650</v>
      </c>
      <c r="C60" s="31">
        <v>37664350</v>
      </c>
      <c r="D60" s="24">
        <f t="shared" si="23"/>
        <v>69263000</v>
      </c>
      <c r="E60" s="31">
        <v>0</v>
      </c>
      <c r="F60" s="31">
        <v>659950</v>
      </c>
      <c r="G60" s="2">
        <f t="shared" si="24"/>
        <v>659950</v>
      </c>
      <c r="H60" s="2">
        <v>0</v>
      </c>
      <c r="I60" s="2">
        <v>5834030</v>
      </c>
      <c r="J60" s="34">
        <v>5801100</v>
      </c>
      <c r="K60" s="24">
        <f t="shared" si="25"/>
        <v>75756980</v>
      </c>
      <c r="L60" s="34">
        <f t="shared" si="26"/>
        <v>75724050</v>
      </c>
      <c r="M60" s="42">
        <f>(J60-I60)*8.8/1000</f>
        <v>-289.78399999999999</v>
      </c>
    </row>
    <row r="61" spans="1:13" ht="14.1" customHeight="1" x14ac:dyDescent="0.15">
      <c r="A61" s="1" t="s">
        <v>16</v>
      </c>
      <c r="B61" s="31">
        <v>9507210</v>
      </c>
      <c r="C61" s="31">
        <v>37326120</v>
      </c>
      <c r="D61" s="24">
        <f t="shared" si="23"/>
        <v>46833330</v>
      </c>
      <c r="E61" s="31">
        <v>11690</v>
      </c>
      <c r="F61" s="31">
        <v>3936050</v>
      </c>
      <c r="G61" s="2">
        <f t="shared" si="24"/>
        <v>3947740</v>
      </c>
      <c r="H61" s="2">
        <v>0</v>
      </c>
      <c r="I61" s="2">
        <v>975560</v>
      </c>
      <c r="J61" s="34">
        <v>942630</v>
      </c>
      <c r="K61" s="24">
        <f t="shared" si="25"/>
        <v>51756630</v>
      </c>
      <c r="L61" s="34">
        <f t="shared" si="26"/>
        <v>51723700</v>
      </c>
      <c r="M61" s="42">
        <f>(J61-I61)*2.5/1000</f>
        <v>-82.325000000000003</v>
      </c>
    </row>
    <row r="62" spans="1:13" ht="14.1" customHeight="1" x14ac:dyDescent="0.15">
      <c r="A62" s="1" t="s">
        <v>17</v>
      </c>
      <c r="B62" s="31">
        <v>22863820</v>
      </c>
      <c r="C62" s="31">
        <v>37026420</v>
      </c>
      <c r="D62" s="24">
        <f t="shared" si="23"/>
        <v>59890240</v>
      </c>
      <c r="E62" s="31">
        <v>183730</v>
      </c>
      <c r="F62" s="31">
        <v>1107850</v>
      </c>
      <c r="G62" s="2">
        <f t="shared" si="24"/>
        <v>1291580</v>
      </c>
      <c r="H62" s="2">
        <v>0</v>
      </c>
      <c r="I62" s="2">
        <v>6234030</v>
      </c>
      <c r="J62" s="34">
        <v>6201510</v>
      </c>
      <c r="K62" s="24">
        <f t="shared" si="25"/>
        <v>67415850</v>
      </c>
      <c r="L62" s="34">
        <f t="shared" si="26"/>
        <v>67383330</v>
      </c>
      <c r="M62" s="42">
        <f>(J62-I62)*6/1000</f>
        <v>-195.12</v>
      </c>
    </row>
    <row r="63" spans="1:13" ht="14.1" customHeight="1" x14ac:dyDescent="0.15">
      <c r="A63" s="1" t="s">
        <v>18</v>
      </c>
      <c r="B63" s="31">
        <v>31964640</v>
      </c>
      <c r="C63" s="31">
        <v>50053610</v>
      </c>
      <c r="D63" s="24">
        <f t="shared" si="23"/>
        <v>82018250</v>
      </c>
      <c r="E63" s="31">
        <v>183730</v>
      </c>
      <c r="F63" s="31">
        <v>1320320</v>
      </c>
      <c r="G63" s="2">
        <f t="shared" si="24"/>
        <v>1504050</v>
      </c>
      <c r="H63" s="2">
        <v>0</v>
      </c>
      <c r="I63" s="2">
        <v>6751320</v>
      </c>
      <c r="J63" s="34">
        <v>6685870</v>
      </c>
      <c r="K63" s="24">
        <f t="shared" si="25"/>
        <v>90273620</v>
      </c>
      <c r="L63" s="34">
        <f t="shared" si="26"/>
        <v>90208170</v>
      </c>
      <c r="M63" s="42">
        <f>(J63-I63)*1.85/1000</f>
        <v>-121.0825</v>
      </c>
    </row>
    <row r="64" spans="1:13" ht="14.1" customHeight="1" x14ac:dyDescent="0.15">
      <c r="A64" s="1" t="s">
        <v>12</v>
      </c>
      <c r="B64" s="31">
        <v>8482950</v>
      </c>
      <c r="C64" s="31">
        <v>356596660</v>
      </c>
      <c r="D64" s="24">
        <f t="shared" si="23"/>
        <v>365079610</v>
      </c>
      <c r="E64" s="31">
        <v>4028560</v>
      </c>
      <c r="F64" s="31">
        <v>196695060</v>
      </c>
      <c r="G64" s="2">
        <f t="shared" si="24"/>
        <v>200723620</v>
      </c>
      <c r="H64" s="2">
        <v>79640</v>
      </c>
      <c r="I64" s="2">
        <v>15180770</v>
      </c>
      <c r="J64" s="34">
        <v>14112360</v>
      </c>
      <c r="K64" s="24">
        <f t="shared" si="25"/>
        <v>581063640</v>
      </c>
      <c r="L64" s="34">
        <f t="shared" si="26"/>
        <v>579995230</v>
      </c>
      <c r="M64" s="42">
        <f>(J64-I64)*19.72/1000</f>
        <v>-21069.0452</v>
      </c>
    </row>
    <row r="65" spans="1:13" ht="14.1" customHeight="1" x14ac:dyDescent="0.15">
      <c r="A65" s="1" t="s">
        <v>13</v>
      </c>
      <c r="B65" s="31">
        <v>29214730</v>
      </c>
      <c r="C65" s="31">
        <v>49452320</v>
      </c>
      <c r="D65" s="24">
        <f t="shared" si="23"/>
        <v>78667050</v>
      </c>
      <c r="E65" s="31">
        <v>144810</v>
      </c>
      <c r="F65" s="31">
        <v>343950</v>
      </c>
      <c r="G65" s="2">
        <f t="shared" si="24"/>
        <v>488760</v>
      </c>
      <c r="H65" s="2">
        <v>0</v>
      </c>
      <c r="I65" s="2">
        <v>1981740</v>
      </c>
      <c r="J65" s="34">
        <v>1969230</v>
      </c>
      <c r="K65" s="24">
        <f t="shared" si="25"/>
        <v>81137550</v>
      </c>
      <c r="L65" s="34">
        <f t="shared" si="26"/>
        <v>81125040</v>
      </c>
      <c r="M65" s="42">
        <f>(J65-I65)*8.3/1000</f>
        <v>-103.83300000000001</v>
      </c>
    </row>
    <row r="66" spans="1:13" ht="14.1" customHeight="1" x14ac:dyDescent="0.15">
      <c r="A66" s="1" t="s">
        <v>14</v>
      </c>
      <c r="B66" s="31">
        <v>5707940</v>
      </c>
      <c r="C66" s="31">
        <v>842766020</v>
      </c>
      <c r="D66" s="24">
        <f t="shared" si="23"/>
        <v>848473960</v>
      </c>
      <c r="E66" s="31">
        <v>1997600</v>
      </c>
      <c r="F66" s="31">
        <v>173590700</v>
      </c>
      <c r="G66" s="2">
        <f t="shared" si="24"/>
        <v>175588300</v>
      </c>
      <c r="H66" s="2">
        <v>0</v>
      </c>
      <c r="I66" s="2">
        <v>17526320</v>
      </c>
      <c r="J66" s="34">
        <v>16432240</v>
      </c>
      <c r="K66" s="24">
        <f t="shared" si="25"/>
        <v>1041588580</v>
      </c>
      <c r="L66" s="34">
        <f t="shared" si="26"/>
        <v>1040494500</v>
      </c>
      <c r="M66" s="42">
        <f>(J66-I66)*8.15/1000</f>
        <v>-8916.7520000000004</v>
      </c>
    </row>
    <row r="67" spans="1:13" ht="14.1" customHeight="1" x14ac:dyDescent="0.15">
      <c r="A67" s="26" t="s">
        <v>76</v>
      </c>
      <c r="B67" s="32">
        <f t="shared" ref="B67:C67" si="27">SUM(B57:B66)</f>
        <v>200268600</v>
      </c>
      <c r="C67" s="32">
        <f t="shared" si="27"/>
        <v>1702079510</v>
      </c>
      <c r="D67" s="28">
        <f>SUM(D57:D66)</f>
        <v>1902348110</v>
      </c>
      <c r="E67" s="32">
        <f t="shared" ref="E67:K67" si="28">SUM(E57:E66)</f>
        <v>9595990</v>
      </c>
      <c r="F67" s="32">
        <f t="shared" si="28"/>
        <v>418178260</v>
      </c>
      <c r="G67" s="6">
        <f t="shared" si="28"/>
        <v>427774250</v>
      </c>
      <c r="H67" s="6">
        <f t="shared" si="28"/>
        <v>211220</v>
      </c>
      <c r="I67" s="6">
        <f t="shared" si="28"/>
        <v>68751370</v>
      </c>
      <c r="J67" s="35">
        <f>SUM(J57:J66)</f>
        <v>65935650</v>
      </c>
      <c r="K67" s="28">
        <f t="shared" si="28"/>
        <v>2399084950</v>
      </c>
      <c r="L67" s="35">
        <f t="shared" ref="L67" si="29">SUM(L57:L66)</f>
        <v>2396269230</v>
      </c>
      <c r="M67" s="43">
        <f>SUM(M57:M66)</f>
        <v>-38334.835299999999</v>
      </c>
    </row>
    <row r="68" spans="1:13" ht="14.1" customHeight="1" x14ac:dyDescent="0.15">
      <c r="A68" s="7" t="s">
        <v>73</v>
      </c>
      <c r="B68" s="31"/>
      <c r="C68" s="31"/>
      <c r="D68" s="24"/>
      <c r="E68" s="31"/>
      <c r="F68" s="31"/>
      <c r="G68" s="2"/>
      <c r="H68" s="8"/>
      <c r="I68" s="2"/>
      <c r="J68" s="2"/>
      <c r="K68" s="24"/>
      <c r="L68" s="24"/>
      <c r="M68" s="24"/>
    </row>
    <row r="69" spans="1:13" ht="14.1" customHeight="1" x14ac:dyDescent="0.15">
      <c r="A69" s="1" t="s">
        <v>19</v>
      </c>
      <c r="B69" s="31">
        <v>678230</v>
      </c>
      <c r="C69" s="31">
        <v>73008250</v>
      </c>
      <c r="D69" s="24">
        <f t="shared" ref="D69:D90" si="30">+B69+C69</f>
        <v>73686480</v>
      </c>
      <c r="E69" s="31">
        <v>7405880</v>
      </c>
      <c r="F69" s="31">
        <v>17969610</v>
      </c>
      <c r="G69" s="2">
        <f t="shared" ref="G69:G90" si="31">+E69+F69</f>
        <v>25375490</v>
      </c>
      <c r="H69" s="2">
        <v>0</v>
      </c>
      <c r="I69" s="2">
        <v>2430240</v>
      </c>
      <c r="J69" s="34">
        <v>2194460</v>
      </c>
      <c r="K69" s="24">
        <f t="shared" ref="K69:K90" si="32">+D69+G69+H69+I69</f>
        <v>101492210</v>
      </c>
      <c r="L69" s="34">
        <f t="shared" ref="L69:L90" si="33">+D69+G69+H69+J69</f>
        <v>101256430</v>
      </c>
      <c r="M69" s="42">
        <f>(J69-I69)*1.3/1000</f>
        <v>-306.51400000000001</v>
      </c>
    </row>
    <row r="70" spans="1:13" ht="14.1" customHeight="1" x14ac:dyDescent="0.15">
      <c r="A70" s="1" t="s">
        <v>20</v>
      </c>
      <c r="B70" s="31">
        <v>360500</v>
      </c>
      <c r="C70" s="31">
        <v>2982350</v>
      </c>
      <c r="D70" s="24">
        <f t="shared" si="30"/>
        <v>3342850</v>
      </c>
      <c r="E70" s="31">
        <v>0</v>
      </c>
      <c r="F70" s="31">
        <v>31930</v>
      </c>
      <c r="G70" s="2">
        <f t="shared" si="31"/>
        <v>31930</v>
      </c>
      <c r="H70" s="2">
        <v>6990</v>
      </c>
      <c r="I70" s="2">
        <v>101390</v>
      </c>
      <c r="J70" s="34">
        <v>101390</v>
      </c>
      <c r="K70" s="24">
        <f t="shared" si="32"/>
        <v>3483160</v>
      </c>
      <c r="L70" s="34">
        <f t="shared" si="33"/>
        <v>3483160</v>
      </c>
      <c r="M70" s="42">
        <f>(J70-I70)*8.21/1000</f>
        <v>0</v>
      </c>
    </row>
    <row r="71" spans="1:13" ht="14.1" customHeight="1" x14ac:dyDescent="0.15">
      <c r="A71" s="1" t="s">
        <v>21</v>
      </c>
      <c r="B71" s="31">
        <v>652850</v>
      </c>
      <c r="C71" s="31">
        <v>498255350</v>
      </c>
      <c r="D71" s="24">
        <f t="shared" si="30"/>
        <v>498908200</v>
      </c>
      <c r="E71" s="31">
        <v>3532090</v>
      </c>
      <c r="F71" s="31">
        <v>125374270</v>
      </c>
      <c r="G71" s="2">
        <f t="shared" si="31"/>
        <v>128906360</v>
      </c>
      <c r="H71" s="2">
        <v>0</v>
      </c>
      <c r="I71" s="2">
        <v>12476470</v>
      </c>
      <c r="J71" s="34">
        <v>10137290</v>
      </c>
      <c r="K71" s="24">
        <f t="shared" si="32"/>
        <v>640291030</v>
      </c>
      <c r="L71" s="34">
        <f t="shared" si="33"/>
        <v>637951850</v>
      </c>
      <c r="M71" s="42">
        <f>(J71-I71)*2.35/1000</f>
        <v>-5497.0730000000003</v>
      </c>
    </row>
    <row r="72" spans="1:13" ht="14.1" customHeight="1" x14ac:dyDescent="0.15">
      <c r="A72" s="1" t="s">
        <v>22</v>
      </c>
      <c r="B72" s="31">
        <v>11946810</v>
      </c>
      <c r="C72" s="31">
        <v>204625620</v>
      </c>
      <c r="D72" s="24">
        <f t="shared" si="30"/>
        <v>216572430</v>
      </c>
      <c r="E72" s="31">
        <v>1077550</v>
      </c>
      <c r="F72" s="31">
        <v>13241250</v>
      </c>
      <c r="G72" s="2">
        <f t="shared" si="31"/>
        <v>14318800</v>
      </c>
      <c r="H72" s="2">
        <v>0</v>
      </c>
      <c r="I72" s="2">
        <v>6364640</v>
      </c>
      <c r="J72" s="34">
        <v>5954190</v>
      </c>
      <c r="K72" s="24">
        <f t="shared" si="32"/>
        <v>237255870</v>
      </c>
      <c r="L72" s="34">
        <f t="shared" si="33"/>
        <v>236845420</v>
      </c>
      <c r="M72" s="42">
        <f>(J72-I72)*13.78/1000</f>
        <v>-5656.0010000000002</v>
      </c>
    </row>
    <row r="73" spans="1:13" ht="14.1" customHeight="1" x14ac:dyDescent="0.15">
      <c r="A73" s="1" t="s">
        <v>23</v>
      </c>
      <c r="B73" s="31">
        <v>2428220</v>
      </c>
      <c r="C73" s="31">
        <v>908959250</v>
      </c>
      <c r="D73" s="24">
        <f t="shared" si="30"/>
        <v>911387470</v>
      </c>
      <c r="E73" s="31">
        <v>87375560</v>
      </c>
      <c r="F73" s="31">
        <v>324491840</v>
      </c>
      <c r="G73" s="2">
        <f t="shared" si="31"/>
        <v>411867400</v>
      </c>
      <c r="H73" s="2">
        <v>1657560</v>
      </c>
      <c r="I73" s="2">
        <v>95857230</v>
      </c>
      <c r="J73" s="34">
        <v>88058340</v>
      </c>
      <c r="K73" s="24">
        <f t="shared" si="32"/>
        <v>1420769660</v>
      </c>
      <c r="L73" s="34">
        <f t="shared" si="33"/>
        <v>1412970770</v>
      </c>
      <c r="M73" s="42">
        <f>(J73-I73)*10/1000</f>
        <v>-77988.899999999994</v>
      </c>
    </row>
    <row r="74" spans="1:13" ht="14.1" customHeight="1" x14ac:dyDescent="0.15">
      <c r="A74" s="1" t="s">
        <v>24</v>
      </c>
      <c r="B74" s="31">
        <v>381990</v>
      </c>
      <c r="C74" s="31">
        <v>185507210</v>
      </c>
      <c r="D74" s="24">
        <f t="shared" si="30"/>
        <v>185889200</v>
      </c>
      <c r="E74" s="31">
        <v>7528030</v>
      </c>
      <c r="F74" s="31">
        <v>56711400</v>
      </c>
      <c r="G74" s="2">
        <f t="shared" si="31"/>
        <v>64239430</v>
      </c>
      <c r="H74" s="2">
        <v>0</v>
      </c>
      <c r="I74" s="2">
        <v>4521050</v>
      </c>
      <c r="J74" s="34">
        <v>4155410</v>
      </c>
      <c r="K74" s="24">
        <f t="shared" si="32"/>
        <v>254649680</v>
      </c>
      <c r="L74" s="34">
        <f t="shared" si="33"/>
        <v>254284040</v>
      </c>
      <c r="M74" s="42">
        <f>(J74-I74)*10.59/1000</f>
        <v>-3872.1276000000003</v>
      </c>
    </row>
    <row r="75" spans="1:13" ht="14.1" customHeight="1" x14ac:dyDescent="0.15">
      <c r="A75" s="1" t="s">
        <v>25</v>
      </c>
      <c r="B75" s="31">
        <v>365990</v>
      </c>
      <c r="C75" s="31">
        <v>12389260</v>
      </c>
      <c r="D75" s="24">
        <f t="shared" si="30"/>
        <v>12755250</v>
      </c>
      <c r="E75" s="31">
        <v>183730</v>
      </c>
      <c r="F75" s="31">
        <v>660370</v>
      </c>
      <c r="G75" s="2">
        <f t="shared" si="31"/>
        <v>844100</v>
      </c>
      <c r="H75" s="2">
        <v>0</v>
      </c>
      <c r="I75" s="2">
        <v>917290</v>
      </c>
      <c r="J75" s="34">
        <v>884770</v>
      </c>
      <c r="K75" s="24">
        <f t="shared" si="32"/>
        <v>14516640</v>
      </c>
      <c r="L75" s="34">
        <f t="shared" si="33"/>
        <v>14484120</v>
      </c>
      <c r="M75" s="42">
        <f>(J75-I75)*12.64/1000</f>
        <v>-411.05280000000005</v>
      </c>
    </row>
    <row r="76" spans="1:13" ht="14.1" customHeight="1" x14ac:dyDescent="0.15">
      <c r="A76" s="1" t="s">
        <v>26</v>
      </c>
      <c r="B76" s="31">
        <v>1332830</v>
      </c>
      <c r="C76" s="31">
        <v>75542990</v>
      </c>
      <c r="D76" s="24">
        <f t="shared" si="30"/>
        <v>76875820</v>
      </c>
      <c r="E76" s="31">
        <v>1120310</v>
      </c>
      <c r="F76" s="31">
        <v>9958060</v>
      </c>
      <c r="G76" s="2">
        <f t="shared" si="31"/>
        <v>11078370</v>
      </c>
      <c r="H76" s="2">
        <v>510</v>
      </c>
      <c r="I76" s="2">
        <v>1553890</v>
      </c>
      <c r="J76" s="34">
        <v>1351150</v>
      </c>
      <c r="K76" s="24">
        <f t="shared" si="32"/>
        <v>89508590</v>
      </c>
      <c r="L76" s="34">
        <f t="shared" si="33"/>
        <v>89305850</v>
      </c>
      <c r="M76" s="42">
        <f>(J76-I76)*7.66/1000</f>
        <v>-1552.9884000000002</v>
      </c>
    </row>
    <row r="77" spans="1:13" ht="14.1" customHeight="1" x14ac:dyDescent="0.15">
      <c r="A77" s="1" t="s">
        <v>27</v>
      </c>
      <c r="B77" s="31">
        <v>4760960</v>
      </c>
      <c r="C77" s="31">
        <v>451612330</v>
      </c>
      <c r="D77" s="24">
        <f t="shared" si="30"/>
        <v>456373290</v>
      </c>
      <c r="E77" s="31">
        <v>15100930</v>
      </c>
      <c r="F77" s="31">
        <v>102369380</v>
      </c>
      <c r="G77" s="2">
        <f t="shared" si="31"/>
        <v>117470310</v>
      </c>
      <c r="H77" s="2">
        <v>0</v>
      </c>
      <c r="I77" s="2">
        <v>12917650</v>
      </c>
      <c r="J77" s="34">
        <v>12150630</v>
      </c>
      <c r="K77" s="24">
        <f t="shared" si="32"/>
        <v>586761250</v>
      </c>
      <c r="L77" s="34">
        <f t="shared" si="33"/>
        <v>585994230</v>
      </c>
      <c r="M77" s="42">
        <f>(J77-I77)*11.29/1000</f>
        <v>-8659.6557999999986</v>
      </c>
    </row>
    <row r="78" spans="1:13" ht="14.1" customHeight="1" x14ac:dyDescent="0.15">
      <c r="A78" s="1" t="s">
        <v>28</v>
      </c>
      <c r="B78" s="31">
        <v>188600</v>
      </c>
      <c r="C78" s="31">
        <v>807112170</v>
      </c>
      <c r="D78" s="24">
        <f t="shared" si="30"/>
        <v>807300770</v>
      </c>
      <c r="E78" s="31">
        <v>18194390</v>
      </c>
      <c r="F78" s="31">
        <v>213822240</v>
      </c>
      <c r="G78" s="2">
        <f t="shared" si="31"/>
        <v>232016630</v>
      </c>
      <c r="H78" s="2">
        <v>17220</v>
      </c>
      <c r="I78" s="2">
        <v>22006090</v>
      </c>
      <c r="J78" s="34">
        <v>20475750</v>
      </c>
      <c r="K78" s="24">
        <f t="shared" si="32"/>
        <v>1061340710</v>
      </c>
      <c r="L78" s="34">
        <f t="shared" si="33"/>
        <v>1059810370</v>
      </c>
      <c r="M78" s="42">
        <f>(J78-I78)*6.79/1000</f>
        <v>-10391.008599999999</v>
      </c>
    </row>
    <row r="79" spans="1:13" ht="14.1" customHeight="1" x14ac:dyDescent="0.15">
      <c r="A79" s="1" t="s">
        <v>29</v>
      </c>
      <c r="B79" s="31">
        <v>3220970</v>
      </c>
      <c r="C79" s="31">
        <v>278944920</v>
      </c>
      <c r="D79" s="24">
        <f t="shared" si="30"/>
        <v>282165890</v>
      </c>
      <c r="E79" s="31">
        <v>22153050</v>
      </c>
      <c r="F79" s="31">
        <v>79598700</v>
      </c>
      <c r="G79" s="2">
        <f t="shared" si="31"/>
        <v>101751750</v>
      </c>
      <c r="H79" s="2">
        <v>95890</v>
      </c>
      <c r="I79" s="2">
        <v>21667530</v>
      </c>
      <c r="J79" s="34">
        <v>20859220</v>
      </c>
      <c r="K79" s="24">
        <f t="shared" si="32"/>
        <v>405681060</v>
      </c>
      <c r="L79" s="34">
        <f t="shared" si="33"/>
        <v>404872750</v>
      </c>
      <c r="M79" s="42">
        <f>(J79-I79)*7.03/1000</f>
        <v>-5682.4192999999996</v>
      </c>
    </row>
    <row r="80" spans="1:13" ht="14.1" customHeight="1" x14ac:dyDescent="0.15">
      <c r="A80" s="1" t="s">
        <v>30</v>
      </c>
      <c r="B80" s="31">
        <v>1915020</v>
      </c>
      <c r="C80" s="31">
        <v>43571810</v>
      </c>
      <c r="D80" s="24">
        <f t="shared" si="30"/>
        <v>45486830</v>
      </c>
      <c r="E80" s="31">
        <v>32169850</v>
      </c>
      <c r="F80" s="31">
        <v>51698110</v>
      </c>
      <c r="G80" s="2">
        <f t="shared" si="31"/>
        <v>83867960</v>
      </c>
      <c r="H80" s="2">
        <v>442150</v>
      </c>
      <c r="I80" s="2">
        <v>92858570</v>
      </c>
      <c r="J80" s="34">
        <v>87829780</v>
      </c>
      <c r="K80" s="24">
        <f t="shared" si="32"/>
        <v>222655510</v>
      </c>
      <c r="L80" s="34">
        <f t="shared" si="33"/>
        <v>217626720</v>
      </c>
      <c r="M80" s="42">
        <f>(J80-I80)*2.5/1000</f>
        <v>-12571.975</v>
      </c>
    </row>
    <row r="81" spans="1:13" ht="14.1" customHeight="1" x14ac:dyDescent="0.15">
      <c r="A81" s="1" t="s">
        <v>31</v>
      </c>
      <c r="B81" s="31">
        <v>808030</v>
      </c>
      <c r="C81" s="31">
        <v>34671060</v>
      </c>
      <c r="D81" s="24">
        <f t="shared" si="30"/>
        <v>35479090</v>
      </c>
      <c r="E81" s="31">
        <v>41060</v>
      </c>
      <c r="F81" s="31">
        <v>6163420</v>
      </c>
      <c r="G81" s="2">
        <f t="shared" si="31"/>
        <v>6204480</v>
      </c>
      <c r="H81" s="2">
        <v>0</v>
      </c>
      <c r="I81" s="2">
        <v>1974430</v>
      </c>
      <c r="J81" s="34">
        <v>1397900</v>
      </c>
      <c r="K81" s="24">
        <f t="shared" si="32"/>
        <v>43658000</v>
      </c>
      <c r="L81" s="34">
        <f t="shared" si="33"/>
        <v>43081470</v>
      </c>
      <c r="M81" s="42">
        <f>(J81-I81)*21.7/1000</f>
        <v>-12510.700999999999</v>
      </c>
    </row>
    <row r="82" spans="1:13" ht="14.1" customHeight="1" x14ac:dyDescent="0.15">
      <c r="A82" s="3" t="s">
        <v>32</v>
      </c>
      <c r="B82" s="31">
        <v>0</v>
      </c>
      <c r="C82" s="31">
        <v>282392120</v>
      </c>
      <c r="D82" s="24">
        <f t="shared" si="30"/>
        <v>282392120</v>
      </c>
      <c r="E82" s="31">
        <v>0</v>
      </c>
      <c r="F82" s="31">
        <v>12672010</v>
      </c>
      <c r="G82" s="24">
        <f t="shared" si="31"/>
        <v>12672010</v>
      </c>
      <c r="H82" s="24">
        <v>0</v>
      </c>
      <c r="I82" s="24">
        <v>2058770</v>
      </c>
      <c r="J82" s="34">
        <v>1778110</v>
      </c>
      <c r="K82" s="24">
        <f t="shared" si="32"/>
        <v>297122900</v>
      </c>
      <c r="L82" s="34">
        <f t="shared" si="33"/>
        <v>296842240</v>
      </c>
      <c r="M82" s="42">
        <f>(J82-I82)*10.05/1000</f>
        <v>-2820.6329999999998</v>
      </c>
    </row>
    <row r="83" spans="1:13" ht="14.1" customHeight="1" x14ac:dyDescent="0.15">
      <c r="A83" s="1" t="s">
        <v>33</v>
      </c>
      <c r="B83" s="31">
        <v>5500</v>
      </c>
      <c r="C83" s="31">
        <v>6002230</v>
      </c>
      <c r="D83" s="24">
        <f t="shared" si="30"/>
        <v>6007730</v>
      </c>
      <c r="E83" s="31">
        <v>27230</v>
      </c>
      <c r="F83" s="31">
        <v>312670</v>
      </c>
      <c r="G83" s="2">
        <f t="shared" si="31"/>
        <v>339900</v>
      </c>
      <c r="H83" s="2">
        <v>0</v>
      </c>
      <c r="I83" s="2">
        <v>134840</v>
      </c>
      <c r="J83" s="34">
        <v>118510</v>
      </c>
      <c r="K83" s="24">
        <f t="shared" si="32"/>
        <v>6482470</v>
      </c>
      <c r="L83" s="34">
        <f t="shared" si="33"/>
        <v>6466140</v>
      </c>
      <c r="M83" s="42">
        <f>(J83-I83)*12.02/1000</f>
        <v>-196.28659999999999</v>
      </c>
    </row>
    <row r="84" spans="1:13" ht="14.1" customHeight="1" x14ac:dyDescent="0.15">
      <c r="A84" s="1" t="s">
        <v>34</v>
      </c>
      <c r="B84" s="31">
        <v>343500</v>
      </c>
      <c r="C84" s="31">
        <v>196032440</v>
      </c>
      <c r="D84" s="24">
        <f t="shared" si="30"/>
        <v>196375940</v>
      </c>
      <c r="E84" s="31">
        <v>1757530</v>
      </c>
      <c r="F84" s="31">
        <v>44183540</v>
      </c>
      <c r="G84" s="2">
        <f t="shared" si="31"/>
        <v>45941070</v>
      </c>
      <c r="H84" s="2">
        <v>54900</v>
      </c>
      <c r="I84" s="2">
        <v>5253940</v>
      </c>
      <c r="J84" s="34">
        <v>4825490</v>
      </c>
      <c r="K84" s="24">
        <f t="shared" si="32"/>
        <v>247625850</v>
      </c>
      <c r="L84" s="34">
        <f t="shared" si="33"/>
        <v>247197400</v>
      </c>
      <c r="M84" s="42">
        <f>(J84-I84)*11.34/1000</f>
        <v>-4858.6229999999996</v>
      </c>
    </row>
    <row r="85" spans="1:13" ht="14.1" customHeight="1" x14ac:dyDescent="0.15">
      <c r="A85" s="1" t="s">
        <v>35</v>
      </c>
      <c r="B85" s="31">
        <v>40</v>
      </c>
      <c r="C85" s="31">
        <v>21772810</v>
      </c>
      <c r="D85" s="24">
        <f t="shared" si="30"/>
        <v>21772850</v>
      </c>
      <c r="E85" s="31">
        <v>998950</v>
      </c>
      <c r="F85" s="31">
        <v>2144030</v>
      </c>
      <c r="G85" s="2">
        <f t="shared" si="31"/>
        <v>3142980</v>
      </c>
      <c r="H85" s="2">
        <v>0</v>
      </c>
      <c r="I85" s="2">
        <v>2340</v>
      </c>
      <c r="J85" s="34">
        <v>2340</v>
      </c>
      <c r="K85" s="24">
        <f t="shared" si="32"/>
        <v>24918170</v>
      </c>
      <c r="L85" s="34">
        <f t="shared" si="33"/>
        <v>24918170</v>
      </c>
      <c r="M85" s="42">
        <f>(J85-I85)*1.98/1000</f>
        <v>0</v>
      </c>
    </row>
    <row r="86" spans="1:13" ht="14.1" customHeight="1" x14ac:dyDescent="0.15">
      <c r="A86" s="3" t="s">
        <v>36</v>
      </c>
      <c r="B86" s="31">
        <v>11386610</v>
      </c>
      <c r="C86" s="31">
        <v>164106530</v>
      </c>
      <c r="D86" s="24">
        <f t="shared" si="30"/>
        <v>175493140</v>
      </c>
      <c r="E86" s="31">
        <v>1678790</v>
      </c>
      <c r="F86" s="31">
        <v>50697270</v>
      </c>
      <c r="G86" s="24">
        <f t="shared" si="31"/>
        <v>52376060</v>
      </c>
      <c r="H86" s="24">
        <v>0</v>
      </c>
      <c r="I86" s="24">
        <v>12386660</v>
      </c>
      <c r="J86" s="34">
        <v>11052490</v>
      </c>
      <c r="K86" s="24">
        <f t="shared" si="32"/>
        <v>240255860</v>
      </c>
      <c r="L86" s="34">
        <f t="shared" si="33"/>
        <v>238921690</v>
      </c>
      <c r="M86" s="42">
        <f>(J86-I86)*23.8/1000</f>
        <v>-31753.245999999999</v>
      </c>
    </row>
    <row r="87" spans="1:13" ht="14.1" customHeight="1" x14ac:dyDescent="0.15">
      <c r="A87" s="1" t="s">
        <v>37</v>
      </c>
      <c r="B87" s="31">
        <v>2488180</v>
      </c>
      <c r="C87" s="31">
        <v>86283980</v>
      </c>
      <c r="D87" s="24">
        <f t="shared" si="30"/>
        <v>88772160</v>
      </c>
      <c r="E87" s="31">
        <v>462010</v>
      </c>
      <c r="F87" s="31">
        <v>3988050</v>
      </c>
      <c r="G87" s="2">
        <f t="shared" si="31"/>
        <v>4450060</v>
      </c>
      <c r="H87" s="2">
        <v>0</v>
      </c>
      <c r="I87" s="2">
        <v>1519780</v>
      </c>
      <c r="J87" s="34">
        <v>1349130</v>
      </c>
      <c r="K87" s="24">
        <f t="shared" si="32"/>
        <v>94742000</v>
      </c>
      <c r="L87" s="34">
        <f t="shared" si="33"/>
        <v>94571350</v>
      </c>
      <c r="M87" s="42">
        <f>(J87-I87)*18.53/1000</f>
        <v>-3162.1444999999999</v>
      </c>
    </row>
    <row r="88" spans="1:13" ht="14.1" customHeight="1" x14ac:dyDescent="0.15">
      <c r="A88" s="1" t="s">
        <v>38</v>
      </c>
      <c r="B88" s="31">
        <v>1629790</v>
      </c>
      <c r="C88" s="31">
        <v>219403850</v>
      </c>
      <c r="D88" s="24">
        <f t="shared" si="30"/>
        <v>221033640</v>
      </c>
      <c r="E88" s="31">
        <v>32876310</v>
      </c>
      <c r="F88" s="31">
        <v>72382610</v>
      </c>
      <c r="G88" s="2">
        <f t="shared" si="31"/>
        <v>105258920</v>
      </c>
      <c r="H88" s="2">
        <v>39830</v>
      </c>
      <c r="I88" s="2">
        <v>7254310</v>
      </c>
      <c r="J88" s="34">
        <v>6940220</v>
      </c>
      <c r="K88" s="24">
        <f t="shared" si="32"/>
        <v>333586700</v>
      </c>
      <c r="L88" s="34">
        <f t="shared" si="33"/>
        <v>333272610</v>
      </c>
      <c r="M88" s="42">
        <f>(J88-I88)*4.14/1000</f>
        <v>-1300.3326</v>
      </c>
    </row>
    <row r="89" spans="1:13" ht="14.1" customHeight="1" x14ac:dyDescent="0.15">
      <c r="A89" s="1" t="s">
        <v>39</v>
      </c>
      <c r="B89" s="31">
        <v>15190</v>
      </c>
      <c r="C89" s="31">
        <v>734540</v>
      </c>
      <c r="D89" s="24">
        <f t="shared" si="30"/>
        <v>749730</v>
      </c>
      <c r="E89" s="31">
        <v>0</v>
      </c>
      <c r="F89" s="31">
        <v>0</v>
      </c>
      <c r="G89" s="2">
        <f t="shared" si="31"/>
        <v>0</v>
      </c>
      <c r="H89" s="2">
        <v>0</v>
      </c>
      <c r="I89" s="2">
        <v>26580</v>
      </c>
      <c r="J89" s="34">
        <v>26580</v>
      </c>
      <c r="K89" s="24">
        <f t="shared" si="32"/>
        <v>776310</v>
      </c>
      <c r="L89" s="34">
        <f t="shared" si="33"/>
        <v>776310</v>
      </c>
      <c r="M89" s="42">
        <f>(J89-I89)*17.3/1000</f>
        <v>0</v>
      </c>
    </row>
    <row r="90" spans="1:13" ht="14.1" customHeight="1" x14ac:dyDescent="0.15">
      <c r="A90" s="1" t="s">
        <v>40</v>
      </c>
      <c r="B90" s="31">
        <v>558000</v>
      </c>
      <c r="C90" s="31">
        <v>113522710</v>
      </c>
      <c r="D90" s="24">
        <f t="shared" si="30"/>
        <v>114080710</v>
      </c>
      <c r="E90" s="31">
        <v>13977480</v>
      </c>
      <c r="F90" s="31">
        <v>41264750</v>
      </c>
      <c r="G90" s="2">
        <f t="shared" si="31"/>
        <v>55242230</v>
      </c>
      <c r="H90" s="2">
        <v>33580</v>
      </c>
      <c r="I90" s="2">
        <v>5910750</v>
      </c>
      <c r="J90" s="34">
        <v>5610650</v>
      </c>
      <c r="K90" s="24">
        <f t="shared" si="32"/>
        <v>175267270</v>
      </c>
      <c r="L90" s="34">
        <f t="shared" si="33"/>
        <v>174967170</v>
      </c>
      <c r="M90" s="42">
        <f>(J90-I90)*6.25/1000</f>
        <v>-1875.625</v>
      </c>
    </row>
    <row r="91" spans="1:13" ht="15.75" customHeight="1" x14ac:dyDescent="0.15">
      <c r="A91" s="26" t="s">
        <v>77</v>
      </c>
      <c r="B91" s="32">
        <f t="shared" ref="B91:C91" si="34">SUM(B69:B90)</f>
        <v>45467810</v>
      </c>
      <c r="C91" s="32">
        <f t="shared" si="34"/>
        <v>4667433780</v>
      </c>
      <c r="D91" s="28">
        <f>SUM(D69:D90)</f>
        <v>4712901590</v>
      </c>
      <c r="E91" s="32">
        <f t="shared" ref="E91:K91" si="35">SUM(E69:E90)</f>
        <v>247660730</v>
      </c>
      <c r="F91" s="32">
        <f t="shared" si="35"/>
        <v>1229735510</v>
      </c>
      <c r="G91" s="6">
        <f t="shared" si="35"/>
        <v>1477396240</v>
      </c>
      <c r="H91" s="6">
        <f t="shared" si="35"/>
        <v>2348630</v>
      </c>
      <c r="I91" s="6">
        <f t="shared" si="35"/>
        <v>310194440</v>
      </c>
      <c r="J91" s="35">
        <f>SUM(J69:J90)</f>
        <v>287253800</v>
      </c>
      <c r="K91" s="28">
        <f t="shared" si="35"/>
        <v>6502840900</v>
      </c>
      <c r="L91" s="35">
        <f t="shared" ref="L91" si="36">SUM(L69:L90)</f>
        <v>6479900260</v>
      </c>
      <c r="M91" s="43">
        <f>SUM(M69:M90)</f>
        <v>-191067.30719999995</v>
      </c>
    </row>
    <row r="92" spans="1:13" ht="18" customHeight="1" x14ac:dyDescent="0.15">
      <c r="A92" s="44" t="s">
        <v>78</v>
      </c>
      <c r="B92" s="40">
        <f t="shared" ref="B92:L92" si="37">SUM(B15:B36)</f>
        <v>197415370</v>
      </c>
      <c r="C92" s="40">
        <f t="shared" si="37"/>
        <v>6451966670</v>
      </c>
      <c r="D92" s="40">
        <f t="shared" si="37"/>
        <v>6649382040</v>
      </c>
      <c r="E92" s="40">
        <f t="shared" si="37"/>
        <v>279515810</v>
      </c>
      <c r="F92" s="40">
        <f t="shared" si="37"/>
        <v>1717859840</v>
      </c>
      <c r="G92" s="40">
        <f t="shared" si="37"/>
        <v>1997375650</v>
      </c>
      <c r="H92" s="40">
        <f t="shared" si="37"/>
        <v>2586690</v>
      </c>
      <c r="I92" s="40">
        <f t="shared" si="37"/>
        <v>379199400</v>
      </c>
      <c r="J92" s="40">
        <f t="shared" si="37"/>
        <v>352464230</v>
      </c>
      <c r="K92" s="40">
        <f t="shared" si="37"/>
        <v>9028543780</v>
      </c>
      <c r="L92" s="40">
        <f t="shared" si="37"/>
        <v>9001808610</v>
      </c>
      <c r="M92" s="40">
        <f>SUM(M15:M42)+M55+M67+M91+M9+M10+M11+M12+M13</f>
        <v>-3032668.6260000002</v>
      </c>
    </row>
    <row r="93" spans="1:13" ht="12.75" x14ac:dyDescent="0.15">
      <c r="A93" s="19"/>
      <c r="B93" s="20"/>
      <c r="C93" s="20"/>
      <c r="D93" s="20"/>
      <c r="E93" s="20"/>
      <c r="F93" s="20"/>
      <c r="G93" s="20"/>
      <c r="H93" s="21"/>
      <c r="I93" s="22"/>
      <c r="J93" s="22"/>
      <c r="K93" s="23"/>
      <c r="L93" s="22"/>
      <c r="M93" s="22"/>
    </row>
    <row r="94" spans="1:13" x14ac:dyDescent="0.15">
      <c r="D94" s="13"/>
      <c r="E94" s="13"/>
      <c r="F94" s="13"/>
      <c r="G94" s="13"/>
    </row>
    <row r="95" spans="1:13" x14ac:dyDescent="0.15">
      <c r="D95" s="13"/>
      <c r="E95" s="13"/>
      <c r="F95" s="13"/>
      <c r="G95" s="13"/>
    </row>
    <row r="96" spans="1:13" x14ac:dyDescent="0.15">
      <c r="D96" s="13"/>
      <c r="E96" s="13"/>
      <c r="F96" s="13"/>
      <c r="G96" s="13"/>
    </row>
    <row r="97" spans="4:7" x14ac:dyDescent="0.15">
      <c r="D97" s="13"/>
      <c r="E97" s="13"/>
      <c r="F97" s="13"/>
      <c r="G97" s="13"/>
    </row>
    <row r="98" spans="4:7" x14ac:dyDescent="0.15">
      <c r="D98" s="13"/>
      <c r="E98" s="13"/>
      <c r="F98" s="13"/>
      <c r="G98" s="13"/>
    </row>
  </sheetData>
  <customSheetViews>
    <customSheetView guid="{372C68E4-9DD9-439A-81C0-1FDD186C00B0}" showPageBreaks="1" showGridLines="0" outlineSymbols="0" printArea="1" hiddenColumns="1" showRuler="0" topLeftCell="B1">
      <pane xSplit="3" ySplit="6" topLeftCell="E71" activePane="bottomRight" state="frozen"/>
      <selection pane="bottomRight" activeCell="B93" sqref="B93"/>
      <rowBreaks count="2" manualBreakCount="2">
        <brk id="57" min="1" max="13" man="1"/>
        <brk id="151" min="3" max="11" man="1"/>
      </rowBreaks>
      <pageMargins left="0" right="0" top="0.5" bottom="0" header="0" footer="0"/>
      <printOptions horizontalCentered="1"/>
      <pageSetup scale="91" orientation="landscape" horizontalDpi="4294967292" r:id="rId1"/>
      <headerFooter alignWithMargins="0"/>
    </customSheetView>
    <customSheetView guid="{665D82DB-D8A5-4432-B5F7-412CE5F1BDB9}" showPageBreaks="1" showGridLines="0" outlineSymbols="0" printArea="1" hiddenColumns="1" showRuler="0" topLeftCell="B1">
      <pane xSplit="3" ySplit="6" topLeftCell="G7" activePane="bottomRight" state="frozen"/>
      <selection pane="bottomRight" activeCell="G7" sqref="G7"/>
      <rowBreaks count="1" manualBreakCount="1">
        <brk id="70" max="16383" man="1"/>
      </rowBreaks>
      <pageMargins left="0" right="0" top="0" bottom="0" header="0" footer="0"/>
      <printOptions horizontalCentered="1" verticalCentered="1"/>
      <pageSetup scale="69" orientation="portrait" horizontalDpi="4294967292" r:id="rId2"/>
      <headerFooter alignWithMargins="0"/>
    </customSheetView>
  </customSheetViews>
  <mergeCells count="15">
    <mergeCell ref="L6:L7"/>
    <mergeCell ref="M6:M7"/>
    <mergeCell ref="A6:A7"/>
    <mergeCell ref="D6:D7"/>
    <mergeCell ref="A3:A5"/>
    <mergeCell ref="H6:H7"/>
    <mergeCell ref="B3:K5"/>
    <mergeCell ref="B6:B7"/>
    <mergeCell ref="E6:E7"/>
    <mergeCell ref="F6:F7"/>
    <mergeCell ref="G6:G7"/>
    <mergeCell ref="K6:K7"/>
    <mergeCell ref="C6:C7"/>
    <mergeCell ref="I6:I7"/>
    <mergeCell ref="J6:J7"/>
  </mergeCells>
  <phoneticPr fontId="1" type="noConversion"/>
  <printOptions horizontalCentered="1"/>
  <pageMargins left="0" right="0" top="0.25" bottom="0" header="0" footer="0"/>
  <pageSetup scale="59" orientation="portrait" horizontalDpi="4294967292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2014-2015 Values</vt:lpstr>
      <vt:lpstr>'2014-2015 Values'!Print_Area</vt:lpstr>
      <vt:lpstr>Print_Area_MI</vt:lpstr>
      <vt:lpstr>'2014-2015 Values'!Print_Titles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Sam</dc:creator>
  <cp:lastModifiedBy>Braun, Sam</cp:lastModifiedBy>
  <cp:lastPrinted>2015-01-08T20:12:32Z</cp:lastPrinted>
  <dcterms:created xsi:type="dcterms:W3CDTF">2001-11-14T14:45:27Z</dcterms:created>
  <dcterms:modified xsi:type="dcterms:W3CDTF">2015-01-13T17:21:22Z</dcterms:modified>
</cp:coreProperties>
</file>