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pierson\Documents\State Funding\FTE detail\"/>
    </mc:Choice>
  </mc:AlternateContent>
  <bookViews>
    <workbookView xWindow="0" yWindow="0" windowWidth="23040" windowHeight="9960" activeTab="1"/>
  </bookViews>
  <sheets>
    <sheet name="FTE Detail" sheetId="8" r:id="rId1"/>
    <sheet name="SFPR" sheetId="4" r:id="rId2"/>
    <sheet name="COMM" sheetId="9" r:id="rId3"/>
    <sheet name="OE" sheetId="11" r:id="rId4"/>
    <sheet name="Other" sheetId="15" r:id="rId5"/>
    <sheet name="In Seat" sheetId="13" r:id="rId6"/>
    <sheet name="Bldg_Grade_Funding" sheetId="14" r:id="rId7"/>
    <sheet name="IRN" sheetId="10" r:id="rId8"/>
  </sheets>
  <definedNames>
    <definedName name="_xlnm._FilterDatabase" localSheetId="0" hidden="1">'FTE Detail'!$A$1:$AA$3052</definedName>
    <definedName name="_xlnm.Print_Area" localSheetId="1">SFPR!$A$1:$AF$102</definedName>
  </definedNames>
  <calcPr calcId="162913"/>
</workbook>
</file>

<file path=xl/calcChain.xml><?xml version="1.0" encoding="utf-8"?>
<calcChain xmlns="http://schemas.openxmlformats.org/spreadsheetml/2006/main">
  <c r="F6" i="14" l="1"/>
  <c r="G6" i="14"/>
  <c r="F7" i="14"/>
  <c r="G7" i="14"/>
  <c r="F8" i="14"/>
  <c r="G8" i="14"/>
  <c r="F9" i="14"/>
  <c r="G9" i="14"/>
  <c r="F10" i="14"/>
  <c r="G10" i="14"/>
  <c r="F11" i="14"/>
  <c r="G11" i="14"/>
  <c r="F14" i="14"/>
  <c r="G14" i="14"/>
  <c r="F15" i="14"/>
  <c r="G15" i="14"/>
  <c r="F16" i="14"/>
  <c r="G16" i="14"/>
  <c r="F17" i="14"/>
  <c r="G17" i="14"/>
  <c r="F18" i="14"/>
  <c r="G18" i="14"/>
  <c r="F19" i="14"/>
  <c r="G19" i="14"/>
  <c r="F22" i="14"/>
  <c r="G22" i="14"/>
  <c r="F23" i="14"/>
  <c r="G23" i="14"/>
  <c r="F24" i="14"/>
  <c r="G24" i="14"/>
  <c r="F25" i="14"/>
  <c r="G25" i="14"/>
  <c r="F26" i="14"/>
  <c r="G26" i="14"/>
  <c r="F29" i="14"/>
  <c r="G29" i="14"/>
  <c r="F30" i="14"/>
  <c r="G30" i="14"/>
  <c r="F31" i="14"/>
  <c r="G31" i="14"/>
  <c r="F32" i="14"/>
  <c r="G32" i="14"/>
  <c r="F33" i="14"/>
  <c r="G33" i="14"/>
  <c r="F36" i="14"/>
  <c r="G36" i="14"/>
  <c r="F37" i="14"/>
  <c r="G37" i="14"/>
  <c r="F38" i="14"/>
  <c r="G38" i="14"/>
  <c r="F39" i="14"/>
  <c r="G39" i="14"/>
  <c r="F40" i="14"/>
  <c r="G40" i="14"/>
  <c r="F41" i="14"/>
  <c r="G41" i="14"/>
  <c r="F42" i="14"/>
  <c r="G42" i="14"/>
  <c r="F43" i="14"/>
  <c r="G43" i="14"/>
  <c r="F44" i="14"/>
  <c r="G44" i="14"/>
  <c r="F45" i="14"/>
  <c r="G45" i="14"/>
  <c r="F46" i="14"/>
  <c r="G46" i="14"/>
  <c r="F47" i="14"/>
  <c r="G47" i="14"/>
  <c r="F48" i="14"/>
  <c r="G48" i="14"/>
  <c r="F49" i="14"/>
  <c r="G49" i="14"/>
  <c r="O3054" i="8" l="1"/>
  <c r="AA3052" i="8"/>
  <c r="W3052" i="8"/>
  <c r="U3052" i="8"/>
  <c r="P3052" i="8"/>
  <c r="M3052" i="8"/>
  <c r="J3052" i="8"/>
  <c r="H3052" i="8"/>
  <c r="B3052" i="8"/>
  <c r="A3052" i="8"/>
  <c r="AA3051" i="8"/>
  <c r="W3051" i="8"/>
  <c r="U3051" i="8"/>
  <c r="P3051" i="8"/>
  <c r="M3051" i="8"/>
  <c r="J3051" i="8"/>
  <c r="H3051" i="8"/>
  <c r="B3051" i="8"/>
  <c r="A3051" i="8"/>
  <c r="AA3050" i="8"/>
  <c r="W3050" i="8"/>
  <c r="U3050" i="8"/>
  <c r="P3050" i="8"/>
  <c r="M3050" i="8"/>
  <c r="J3050" i="8"/>
  <c r="H3050" i="8"/>
  <c r="B3050" i="8"/>
  <c r="A3050" i="8"/>
  <c r="AA3049" i="8"/>
  <c r="W3049" i="8"/>
  <c r="U3049" i="8"/>
  <c r="P3049" i="8"/>
  <c r="M3049" i="8"/>
  <c r="J3049" i="8"/>
  <c r="H3049" i="8"/>
  <c r="B3049" i="8"/>
  <c r="A3049" i="8"/>
  <c r="AA3048" i="8"/>
  <c r="W3048" i="8"/>
  <c r="U3048" i="8"/>
  <c r="P3048" i="8"/>
  <c r="M3048" i="8"/>
  <c r="J3048" i="8"/>
  <c r="H3048" i="8"/>
  <c r="B3048" i="8"/>
  <c r="A3048" i="8"/>
  <c r="AA3047" i="8"/>
  <c r="W3047" i="8"/>
  <c r="U3047" i="8"/>
  <c r="P3047" i="8"/>
  <c r="M3047" i="8"/>
  <c r="J3047" i="8"/>
  <c r="H3047" i="8"/>
  <c r="B3047" i="8"/>
  <c r="A3047" i="8"/>
  <c r="AA3046" i="8"/>
  <c r="W3046" i="8"/>
  <c r="U3046" i="8"/>
  <c r="P3046" i="8"/>
  <c r="M3046" i="8"/>
  <c r="J3046" i="8"/>
  <c r="H3046" i="8"/>
  <c r="B3046" i="8"/>
  <c r="A3046" i="8"/>
  <c r="AA3045" i="8"/>
  <c r="W3045" i="8"/>
  <c r="U3045" i="8"/>
  <c r="P3045" i="8"/>
  <c r="M3045" i="8"/>
  <c r="J3045" i="8"/>
  <c r="H3045" i="8"/>
  <c r="B3045" i="8"/>
  <c r="A3045" i="8"/>
  <c r="AA3044" i="8"/>
  <c r="W3044" i="8"/>
  <c r="U3044" i="8"/>
  <c r="P3044" i="8"/>
  <c r="M3044" i="8"/>
  <c r="J3044" i="8"/>
  <c r="H3044" i="8"/>
  <c r="B3044" i="8"/>
  <c r="A3044" i="8"/>
  <c r="AA3043" i="8"/>
  <c r="W3043" i="8"/>
  <c r="U3043" i="8"/>
  <c r="R3043" i="8"/>
  <c r="Q3043" i="8"/>
  <c r="P3043" i="8"/>
  <c r="M3043" i="8"/>
  <c r="J3043" i="8"/>
  <c r="H3043" i="8"/>
  <c r="B3043" i="8"/>
  <c r="A3043" i="8"/>
  <c r="AA3042" i="8"/>
  <c r="W3042" i="8"/>
  <c r="U3042" i="8"/>
  <c r="P3042" i="8"/>
  <c r="M3042" i="8"/>
  <c r="J3042" i="8"/>
  <c r="H3042" i="8"/>
  <c r="B3042" i="8"/>
  <c r="A3042" i="8"/>
  <c r="AA3041" i="8"/>
  <c r="W3041" i="8"/>
  <c r="U3041" i="8"/>
  <c r="P3041" i="8"/>
  <c r="M3041" i="8"/>
  <c r="J3041" i="8"/>
  <c r="H3041" i="8"/>
  <c r="B3041" i="8"/>
  <c r="A3041" i="8"/>
  <c r="AA3040" i="8"/>
  <c r="W3040" i="8"/>
  <c r="U3040" i="8"/>
  <c r="P3040" i="8"/>
  <c r="M3040" i="8"/>
  <c r="J3040" i="8"/>
  <c r="H3040" i="8"/>
  <c r="B3040" i="8"/>
  <c r="A3040" i="8"/>
  <c r="AA3039" i="8"/>
  <c r="W3039" i="8"/>
  <c r="U3039" i="8"/>
  <c r="R3039" i="8"/>
  <c r="Q3039" i="8"/>
  <c r="P3039" i="8"/>
  <c r="M3039" i="8"/>
  <c r="J3039" i="8"/>
  <c r="H3039" i="8"/>
  <c r="B3039" i="8"/>
  <c r="A3039" i="8"/>
  <c r="AA3038" i="8"/>
  <c r="W3038" i="8"/>
  <c r="U3038" i="8"/>
  <c r="R3038" i="8"/>
  <c r="Q3038" i="8"/>
  <c r="P3038" i="8"/>
  <c r="M3038" i="8"/>
  <c r="J3038" i="8"/>
  <c r="H3038" i="8"/>
  <c r="B3038" i="8"/>
  <c r="A3038" i="8"/>
  <c r="AA3037" i="8"/>
  <c r="W3037" i="8"/>
  <c r="U3037" i="8"/>
  <c r="P3037" i="8"/>
  <c r="M3037" i="8"/>
  <c r="J3037" i="8"/>
  <c r="H3037" i="8"/>
  <c r="B3037" i="8"/>
  <c r="A3037" i="8"/>
  <c r="AA3036" i="8"/>
  <c r="W3036" i="8"/>
  <c r="U3036" i="8"/>
  <c r="P3036" i="8"/>
  <c r="M3036" i="8"/>
  <c r="J3036" i="8"/>
  <c r="H3036" i="8"/>
  <c r="B3036" i="8"/>
  <c r="A3036" i="8"/>
  <c r="AA3035" i="8"/>
  <c r="W3035" i="8"/>
  <c r="U3035" i="8"/>
  <c r="P3035" i="8"/>
  <c r="M3035" i="8"/>
  <c r="J3035" i="8"/>
  <c r="H3035" i="8"/>
  <c r="B3035" i="8"/>
  <c r="A3035" i="8"/>
  <c r="AA3034" i="8"/>
  <c r="W3034" i="8"/>
  <c r="U3034" i="8"/>
  <c r="P3034" i="8"/>
  <c r="M3034" i="8"/>
  <c r="J3034" i="8"/>
  <c r="H3034" i="8"/>
  <c r="B3034" i="8"/>
  <c r="A3034" i="8"/>
  <c r="AA3033" i="8"/>
  <c r="W3033" i="8"/>
  <c r="U3033" i="8"/>
  <c r="P3033" i="8"/>
  <c r="M3033" i="8"/>
  <c r="J3033" i="8"/>
  <c r="H3033" i="8"/>
  <c r="B3033" i="8"/>
  <c r="A3033" i="8"/>
  <c r="AA3032" i="8"/>
  <c r="W3032" i="8"/>
  <c r="U3032" i="8"/>
  <c r="P3032" i="8"/>
  <c r="M3032" i="8"/>
  <c r="J3032" i="8"/>
  <c r="H3032" i="8"/>
  <c r="B3032" i="8"/>
  <c r="A3032" i="8"/>
  <c r="AA3031" i="8"/>
  <c r="W3031" i="8"/>
  <c r="U3031" i="8"/>
  <c r="P3031" i="8"/>
  <c r="M3031" i="8"/>
  <c r="J3031" i="8"/>
  <c r="H3031" i="8"/>
  <c r="B3031" i="8"/>
  <c r="A3031" i="8"/>
  <c r="AA3030" i="8"/>
  <c r="W3030" i="8"/>
  <c r="U3030" i="8"/>
  <c r="R3030" i="8"/>
  <c r="Q3030" i="8"/>
  <c r="P3030" i="8"/>
  <c r="M3030" i="8"/>
  <c r="J3030" i="8"/>
  <c r="H3030" i="8"/>
  <c r="B3030" i="8"/>
  <c r="A3030" i="8"/>
  <c r="AA3029" i="8"/>
  <c r="W3029" i="8"/>
  <c r="U3029" i="8"/>
  <c r="R3029" i="8"/>
  <c r="Q3029" i="8"/>
  <c r="P3029" i="8"/>
  <c r="M3029" i="8"/>
  <c r="J3029" i="8"/>
  <c r="H3029" i="8"/>
  <c r="B3029" i="8"/>
  <c r="A3029" i="8"/>
  <c r="AA3028" i="8"/>
  <c r="W3028" i="8"/>
  <c r="U3028" i="8"/>
  <c r="R3028" i="8"/>
  <c r="Q3028" i="8"/>
  <c r="P3028" i="8"/>
  <c r="M3028" i="8"/>
  <c r="J3028" i="8"/>
  <c r="H3028" i="8"/>
  <c r="B3028" i="8"/>
  <c r="A3028" i="8"/>
  <c r="AA3027" i="8"/>
  <c r="W3027" i="8"/>
  <c r="U3027" i="8"/>
  <c r="P3027" i="8"/>
  <c r="M3027" i="8"/>
  <c r="J3027" i="8"/>
  <c r="H3027" i="8"/>
  <c r="B3027" i="8"/>
  <c r="A3027" i="8"/>
  <c r="AA3026" i="8"/>
  <c r="W3026" i="8"/>
  <c r="U3026" i="8"/>
  <c r="P3026" i="8"/>
  <c r="M3026" i="8"/>
  <c r="J3026" i="8"/>
  <c r="H3026" i="8"/>
  <c r="B3026" i="8"/>
  <c r="A3026" i="8"/>
  <c r="AA3025" i="8"/>
  <c r="W3025" i="8"/>
  <c r="U3025" i="8"/>
  <c r="P3025" i="8"/>
  <c r="M3025" i="8"/>
  <c r="J3025" i="8"/>
  <c r="H3025" i="8"/>
  <c r="B3025" i="8"/>
  <c r="A3025" i="8"/>
  <c r="AA3024" i="8"/>
  <c r="W3024" i="8"/>
  <c r="U3024" i="8"/>
  <c r="P3024" i="8"/>
  <c r="M3024" i="8"/>
  <c r="J3024" i="8"/>
  <c r="H3024" i="8"/>
  <c r="B3024" i="8"/>
  <c r="A3024" i="8"/>
  <c r="AA3023" i="8"/>
  <c r="W3023" i="8"/>
  <c r="U3023" i="8"/>
  <c r="P3023" i="8"/>
  <c r="M3023" i="8"/>
  <c r="J3023" i="8"/>
  <c r="H3023" i="8"/>
  <c r="B3023" i="8"/>
  <c r="A3023" i="8"/>
  <c r="AA3022" i="8"/>
  <c r="W3022" i="8"/>
  <c r="U3022" i="8"/>
  <c r="P3022" i="8"/>
  <c r="M3022" i="8"/>
  <c r="J3022" i="8"/>
  <c r="H3022" i="8"/>
  <c r="B3022" i="8"/>
  <c r="A3022" i="8"/>
  <c r="AA3021" i="8"/>
  <c r="W3021" i="8"/>
  <c r="U3021" i="8"/>
  <c r="R3021" i="8"/>
  <c r="Q3021" i="8"/>
  <c r="P3021" i="8"/>
  <c r="M3021" i="8"/>
  <c r="J3021" i="8"/>
  <c r="H3021" i="8"/>
  <c r="B3021" i="8"/>
  <c r="A3021" i="8"/>
  <c r="AA3020" i="8"/>
  <c r="W3020" i="8"/>
  <c r="U3020" i="8"/>
  <c r="P3020" i="8"/>
  <c r="M3020" i="8"/>
  <c r="J3020" i="8"/>
  <c r="H3020" i="8"/>
  <c r="B3020" i="8"/>
  <c r="A3020" i="8"/>
  <c r="AA3019" i="8"/>
  <c r="W3019" i="8"/>
  <c r="U3019" i="8"/>
  <c r="P3019" i="8"/>
  <c r="M3019" i="8"/>
  <c r="J3019" i="8"/>
  <c r="H3019" i="8"/>
  <c r="B3019" i="8"/>
  <c r="A3019" i="8"/>
  <c r="AA3018" i="8"/>
  <c r="W3018" i="8"/>
  <c r="U3018" i="8"/>
  <c r="P3018" i="8"/>
  <c r="M3018" i="8"/>
  <c r="J3018" i="8"/>
  <c r="H3018" i="8"/>
  <c r="B3018" i="8"/>
  <c r="A3018" i="8"/>
  <c r="AA3017" i="8"/>
  <c r="W3017" i="8"/>
  <c r="U3017" i="8"/>
  <c r="R3017" i="8"/>
  <c r="Q3017" i="8"/>
  <c r="P3017" i="8"/>
  <c r="M3017" i="8"/>
  <c r="J3017" i="8"/>
  <c r="H3017" i="8"/>
  <c r="B3017" i="8"/>
  <c r="A3017" i="8"/>
  <c r="AA3016" i="8"/>
  <c r="W3016" i="8"/>
  <c r="U3016" i="8"/>
  <c r="R3016" i="8"/>
  <c r="Q3016" i="8"/>
  <c r="P3016" i="8"/>
  <c r="M3016" i="8"/>
  <c r="J3016" i="8"/>
  <c r="H3016" i="8"/>
  <c r="B3016" i="8"/>
  <c r="A3016" i="8"/>
  <c r="AA3015" i="8"/>
  <c r="W3015" i="8"/>
  <c r="U3015" i="8"/>
  <c r="P3015" i="8"/>
  <c r="M3015" i="8"/>
  <c r="J3015" i="8"/>
  <c r="H3015" i="8"/>
  <c r="B3015" i="8"/>
  <c r="A3015" i="8"/>
  <c r="AA3014" i="8"/>
  <c r="W3014" i="8"/>
  <c r="U3014" i="8"/>
  <c r="P3014" i="8"/>
  <c r="M3014" i="8"/>
  <c r="J3014" i="8"/>
  <c r="H3014" i="8"/>
  <c r="B3014" i="8"/>
  <c r="A3014" i="8"/>
  <c r="AA3013" i="8"/>
  <c r="W3013" i="8"/>
  <c r="U3013" i="8"/>
  <c r="R3013" i="8"/>
  <c r="Q3013" i="8"/>
  <c r="P3013" i="8"/>
  <c r="M3013" i="8"/>
  <c r="J3013" i="8"/>
  <c r="H3013" i="8"/>
  <c r="B3013" i="8"/>
  <c r="A3013" i="8"/>
  <c r="AA3012" i="8"/>
  <c r="W3012" i="8"/>
  <c r="U3012" i="8"/>
  <c r="P3012" i="8"/>
  <c r="M3012" i="8"/>
  <c r="J3012" i="8"/>
  <c r="H3012" i="8"/>
  <c r="B3012" i="8"/>
  <c r="A3012" i="8"/>
  <c r="AA3011" i="8"/>
  <c r="W3011" i="8"/>
  <c r="U3011" i="8"/>
  <c r="P3011" i="8"/>
  <c r="M3011" i="8"/>
  <c r="J3011" i="8"/>
  <c r="H3011" i="8"/>
  <c r="B3011" i="8"/>
  <c r="A3011" i="8"/>
  <c r="AA3010" i="8"/>
  <c r="W3010" i="8"/>
  <c r="U3010" i="8"/>
  <c r="P3010" i="8"/>
  <c r="M3010" i="8"/>
  <c r="J3010" i="8"/>
  <c r="H3010" i="8"/>
  <c r="B3010" i="8"/>
  <c r="A3010" i="8"/>
  <c r="AA3009" i="8"/>
  <c r="W3009" i="8"/>
  <c r="U3009" i="8"/>
  <c r="P3009" i="8"/>
  <c r="M3009" i="8"/>
  <c r="J3009" i="8"/>
  <c r="H3009" i="8"/>
  <c r="B3009" i="8"/>
  <c r="A3009" i="8"/>
  <c r="AA3008" i="8"/>
  <c r="W3008" i="8"/>
  <c r="U3008" i="8"/>
  <c r="P3008" i="8"/>
  <c r="M3008" i="8"/>
  <c r="J3008" i="8"/>
  <c r="H3008" i="8"/>
  <c r="B3008" i="8"/>
  <c r="A3008" i="8"/>
  <c r="AA3007" i="8"/>
  <c r="W3007" i="8"/>
  <c r="U3007" i="8"/>
  <c r="P3007" i="8"/>
  <c r="M3007" i="8"/>
  <c r="J3007" i="8"/>
  <c r="H3007" i="8"/>
  <c r="B3007" i="8"/>
  <c r="A3007" i="8"/>
  <c r="AA3006" i="8"/>
  <c r="W3006" i="8"/>
  <c r="U3006" i="8"/>
  <c r="P3006" i="8"/>
  <c r="M3006" i="8"/>
  <c r="J3006" i="8"/>
  <c r="H3006" i="8"/>
  <c r="B3006" i="8"/>
  <c r="A3006" i="8"/>
  <c r="AA3005" i="8"/>
  <c r="W3005" i="8"/>
  <c r="U3005" i="8"/>
  <c r="P3005" i="8"/>
  <c r="M3005" i="8"/>
  <c r="J3005" i="8"/>
  <c r="H3005" i="8"/>
  <c r="B3005" i="8"/>
  <c r="A3005" i="8"/>
  <c r="AA3004" i="8"/>
  <c r="W3004" i="8"/>
  <c r="U3004" i="8"/>
  <c r="P3004" i="8"/>
  <c r="M3004" i="8"/>
  <c r="J3004" i="8"/>
  <c r="H3004" i="8"/>
  <c r="B3004" i="8"/>
  <c r="A3004" i="8"/>
  <c r="AA3003" i="8"/>
  <c r="W3003" i="8"/>
  <c r="U3003" i="8"/>
  <c r="P3003" i="8"/>
  <c r="M3003" i="8"/>
  <c r="J3003" i="8"/>
  <c r="H3003" i="8"/>
  <c r="B3003" i="8"/>
  <c r="A3003" i="8"/>
  <c r="AA3002" i="8"/>
  <c r="W3002" i="8"/>
  <c r="U3002" i="8"/>
  <c r="P3002" i="8"/>
  <c r="M3002" i="8"/>
  <c r="J3002" i="8"/>
  <c r="H3002" i="8"/>
  <c r="B3002" i="8"/>
  <c r="A3002" i="8"/>
  <c r="AA3001" i="8"/>
  <c r="W3001" i="8"/>
  <c r="U3001" i="8"/>
  <c r="R3001" i="8"/>
  <c r="Q3001" i="8"/>
  <c r="P3001" i="8"/>
  <c r="M3001" i="8"/>
  <c r="J3001" i="8"/>
  <c r="H3001" i="8"/>
  <c r="B3001" i="8"/>
  <c r="A3001" i="8"/>
  <c r="AA3000" i="8"/>
  <c r="W3000" i="8"/>
  <c r="U3000" i="8"/>
  <c r="P3000" i="8"/>
  <c r="M3000" i="8"/>
  <c r="J3000" i="8"/>
  <c r="H3000" i="8"/>
  <c r="B3000" i="8"/>
  <c r="A3000" i="8"/>
  <c r="AA2999" i="8"/>
  <c r="W2999" i="8"/>
  <c r="U2999" i="8"/>
  <c r="R2999" i="8"/>
  <c r="Q2999" i="8"/>
  <c r="P2999" i="8"/>
  <c r="M2999" i="8"/>
  <c r="J2999" i="8"/>
  <c r="H2999" i="8"/>
  <c r="B2999" i="8"/>
  <c r="A2999" i="8"/>
  <c r="AA2998" i="8"/>
  <c r="W2998" i="8"/>
  <c r="U2998" i="8"/>
  <c r="P2998" i="8"/>
  <c r="M2998" i="8"/>
  <c r="J2998" i="8"/>
  <c r="H2998" i="8"/>
  <c r="B2998" i="8"/>
  <c r="A2998" i="8"/>
  <c r="AA2997" i="8"/>
  <c r="W2997" i="8"/>
  <c r="U2997" i="8"/>
  <c r="P2997" i="8"/>
  <c r="M2997" i="8"/>
  <c r="J2997" i="8"/>
  <c r="H2997" i="8"/>
  <c r="B2997" i="8"/>
  <c r="A2997" i="8"/>
  <c r="AA2996" i="8"/>
  <c r="W2996" i="8"/>
  <c r="U2996" i="8"/>
  <c r="P2996" i="8"/>
  <c r="M2996" i="8"/>
  <c r="J2996" i="8"/>
  <c r="H2996" i="8"/>
  <c r="B2996" i="8"/>
  <c r="A2996" i="8"/>
  <c r="AA2995" i="8"/>
  <c r="W2995" i="8"/>
  <c r="U2995" i="8"/>
  <c r="P2995" i="8"/>
  <c r="M2995" i="8"/>
  <c r="J2995" i="8"/>
  <c r="H2995" i="8"/>
  <c r="B2995" i="8"/>
  <c r="A2995" i="8"/>
  <c r="AA2994" i="8"/>
  <c r="W2994" i="8"/>
  <c r="U2994" i="8"/>
  <c r="P2994" i="8"/>
  <c r="M2994" i="8"/>
  <c r="J2994" i="8"/>
  <c r="H2994" i="8"/>
  <c r="B2994" i="8"/>
  <c r="A2994" i="8"/>
  <c r="AA2993" i="8"/>
  <c r="W2993" i="8"/>
  <c r="U2993" i="8"/>
  <c r="P2993" i="8"/>
  <c r="M2993" i="8"/>
  <c r="J2993" i="8"/>
  <c r="H2993" i="8"/>
  <c r="B2993" i="8"/>
  <c r="A2993" i="8"/>
  <c r="AA2992" i="8"/>
  <c r="W2992" i="8"/>
  <c r="U2992" i="8"/>
  <c r="P2992" i="8"/>
  <c r="M2992" i="8"/>
  <c r="J2992" i="8"/>
  <c r="H2992" i="8"/>
  <c r="B2992" i="8"/>
  <c r="A2992" i="8"/>
  <c r="AA2991" i="8"/>
  <c r="W2991" i="8"/>
  <c r="U2991" i="8"/>
  <c r="P2991" i="8"/>
  <c r="M2991" i="8"/>
  <c r="J2991" i="8"/>
  <c r="H2991" i="8"/>
  <c r="B2991" i="8"/>
  <c r="A2991" i="8"/>
  <c r="AA2990" i="8"/>
  <c r="W2990" i="8"/>
  <c r="U2990" i="8"/>
  <c r="P2990" i="8"/>
  <c r="M2990" i="8"/>
  <c r="J2990" i="8"/>
  <c r="H2990" i="8"/>
  <c r="B2990" i="8"/>
  <c r="A2990" i="8"/>
  <c r="AA2989" i="8"/>
  <c r="W2989" i="8"/>
  <c r="U2989" i="8"/>
  <c r="P2989" i="8"/>
  <c r="M2989" i="8"/>
  <c r="J2989" i="8"/>
  <c r="H2989" i="8"/>
  <c r="B2989" i="8"/>
  <c r="A2989" i="8"/>
  <c r="AA2988" i="8"/>
  <c r="W2988" i="8"/>
  <c r="U2988" i="8"/>
  <c r="P2988" i="8"/>
  <c r="M2988" i="8"/>
  <c r="J2988" i="8"/>
  <c r="H2988" i="8"/>
  <c r="B2988" i="8"/>
  <c r="A2988" i="8"/>
  <c r="AA2987" i="8"/>
  <c r="W2987" i="8"/>
  <c r="U2987" i="8"/>
  <c r="P2987" i="8"/>
  <c r="M2987" i="8"/>
  <c r="J2987" i="8"/>
  <c r="H2987" i="8"/>
  <c r="B2987" i="8"/>
  <c r="A2987" i="8"/>
  <c r="AA2986" i="8"/>
  <c r="W2986" i="8"/>
  <c r="U2986" i="8"/>
  <c r="P2986" i="8"/>
  <c r="M2986" i="8"/>
  <c r="J2986" i="8"/>
  <c r="H2986" i="8"/>
  <c r="B2986" i="8"/>
  <c r="A2986" i="8"/>
  <c r="AA2985" i="8"/>
  <c r="W2985" i="8"/>
  <c r="U2985" i="8"/>
  <c r="P2985" i="8"/>
  <c r="M2985" i="8"/>
  <c r="J2985" i="8"/>
  <c r="H2985" i="8"/>
  <c r="B2985" i="8"/>
  <c r="A2985" i="8"/>
  <c r="AA2984" i="8"/>
  <c r="W2984" i="8"/>
  <c r="U2984" i="8"/>
  <c r="P2984" i="8"/>
  <c r="M2984" i="8"/>
  <c r="J2984" i="8"/>
  <c r="H2984" i="8"/>
  <c r="B2984" i="8"/>
  <c r="A2984" i="8"/>
  <c r="AA2983" i="8"/>
  <c r="W2983" i="8"/>
  <c r="U2983" i="8"/>
  <c r="P2983" i="8"/>
  <c r="M2983" i="8"/>
  <c r="J2983" i="8"/>
  <c r="H2983" i="8"/>
  <c r="B2983" i="8"/>
  <c r="A2983" i="8"/>
  <c r="AA2982" i="8"/>
  <c r="W2982" i="8"/>
  <c r="U2982" i="8"/>
  <c r="P2982" i="8"/>
  <c r="M2982" i="8"/>
  <c r="J2982" i="8"/>
  <c r="H2982" i="8"/>
  <c r="B2982" i="8"/>
  <c r="A2982" i="8"/>
  <c r="AA2981" i="8"/>
  <c r="W2981" i="8"/>
  <c r="U2981" i="8"/>
  <c r="P2981" i="8"/>
  <c r="M2981" i="8"/>
  <c r="J2981" i="8"/>
  <c r="H2981" i="8"/>
  <c r="B2981" i="8"/>
  <c r="A2981" i="8"/>
  <c r="AA2980" i="8"/>
  <c r="W2980" i="8"/>
  <c r="U2980" i="8"/>
  <c r="P2980" i="8"/>
  <c r="M2980" i="8"/>
  <c r="J2980" i="8"/>
  <c r="H2980" i="8"/>
  <c r="B2980" i="8"/>
  <c r="A2980" i="8"/>
  <c r="AA2979" i="8"/>
  <c r="W2979" i="8"/>
  <c r="U2979" i="8"/>
  <c r="P2979" i="8"/>
  <c r="M2979" i="8"/>
  <c r="J2979" i="8"/>
  <c r="H2979" i="8"/>
  <c r="B2979" i="8"/>
  <c r="A2979" i="8"/>
  <c r="AA2978" i="8"/>
  <c r="W2978" i="8"/>
  <c r="U2978" i="8"/>
  <c r="P2978" i="8"/>
  <c r="M2978" i="8"/>
  <c r="J2978" i="8"/>
  <c r="H2978" i="8"/>
  <c r="B2978" i="8"/>
  <c r="A2978" i="8"/>
  <c r="AA2977" i="8"/>
  <c r="W2977" i="8"/>
  <c r="U2977" i="8"/>
  <c r="P2977" i="8"/>
  <c r="M2977" i="8"/>
  <c r="J2977" i="8"/>
  <c r="H2977" i="8"/>
  <c r="B2977" i="8"/>
  <c r="A2977" i="8"/>
  <c r="AA2976" i="8"/>
  <c r="W2976" i="8"/>
  <c r="U2976" i="8"/>
  <c r="P2976" i="8"/>
  <c r="M2976" i="8"/>
  <c r="J2976" i="8"/>
  <c r="H2976" i="8"/>
  <c r="B2976" i="8"/>
  <c r="A2976" i="8"/>
  <c r="AA2975" i="8"/>
  <c r="W2975" i="8"/>
  <c r="U2975" i="8"/>
  <c r="P2975" i="8"/>
  <c r="M2975" i="8"/>
  <c r="J2975" i="8"/>
  <c r="H2975" i="8"/>
  <c r="B2975" i="8"/>
  <c r="A2975" i="8"/>
  <c r="AA2974" i="8"/>
  <c r="W2974" i="8"/>
  <c r="U2974" i="8"/>
  <c r="P2974" i="8"/>
  <c r="M2974" i="8"/>
  <c r="J2974" i="8"/>
  <c r="H2974" i="8"/>
  <c r="B2974" i="8"/>
  <c r="A2974" i="8"/>
  <c r="AA2973" i="8"/>
  <c r="W2973" i="8"/>
  <c r="U2973" i="8"/>
  <c r="R2973" i="8"/>
  <c r="Q2973" i="8"/>
  <c r="P2973" i="8"/>
  <c r="M2973" i="8"/>
  <c r="J2973" i="8"/>
  <c r="H2973" i="8"/>
  <c r="B2973" i="8"/>
  <c r="A2973" i="8"/>
  <c r="AA2972" i="8"/>
  <c r="W2972" i="8"/>
  <c r="U2972" i="8"/>
  <c r="P2972" i="8"/>
  <c r="M2972" i="8"/>
  <c r="J2972" i="8"/>
  <c r="H2972" i="8"/>
  <c r="B2972" i="8"/>
  <c r="A2972" i="8"/>
  <c r="AA2971" i="8"/>
  <c r="W2971" i="8"/>
  <c r="U2971" i="8"/>
  <c r="P2971" i="8"/>
  <c r="M2971" i="8"/>
  <c r="J2971" i="8"/>
  <c r="H2971" i="8"/>
  <c r="B2971" i="8"/>
  <c r="A2971" i="8"/>
  <c r="AA2970" i="8"/>
  <c r="W2970" i="8"/>
  <c r="U2970" i="8"/>
  <c r="P2970" i="8"/>
  <c r="M2970" i="8"/>
  <c r="J2970" i="8"/>
  <c r="H2970" i="8"/>
  <c r="B2970" i="8"/>
  <c r="A2970" i="8"/>
  <c r="AA2969" i="8"/>
  <c r="W2969" i="8"/>
  <c r="U2969" i="8"/>
  <c r="P2969" i="8"/>
  <c r="M2969" i="8"/>
  <c r="J2969" i="8"/>
  <c r="H2969" i="8"/>
  <c r="B2969" i="8"/>
  <c r="A2969" i="8"/>
  <c r="AA2968" i="8"/>
  <c r="W2968" i="8"/>
  <c r="U2968" i="8"/>
  <c r="P2968" i="8"/>
  <c r="M2968" i="8"/>
  <c r="J2968" i="8"/>
  <c r="H2968" i="8"/>
  <c r="B2968" i="8"/>
  <c r="A2968" i="8"/>
  <c r="AA2967" i="8"/>
  <c r="W2967" i="8"/>
  <c r="U2967" i="8"/>
  <c r="P2967" i="8"/>
  <c r="M2967" i="8"/>
  <c r="J2967" i="8"/>
  <c r="H2967" i="8"/>
  <c r="B2967" i="8"/>
  <c r="A2967" i="8"/>
  <c r="AA2966" i="8"/>
  <c r="W2966" i="8"/>
  <c r="U2966" i="8"/>
  <c r="P2966" i="8"/>
  <c r="M2966" i="8"/>
  <c r="J2966" i="8"/>
  <c r="H2966" i="8"/>
  <c r="B2966" i="8"/>
  <c r="A2966" i="8"/>
  <c r="AA2965" i="8"/>
  <c r="W2965" i="8"/>
  <c r="U2965" i="8"/>
  <c r="P2965" i="8"/>
  <c r="M2965" i="8"/>
  <c r="J2965" i="8"/>
  <c r="H2965" i="8"/>
  <c r="B2965" i="8"/>
  <c r="A2965" i="8"/>
  <c r="AA2964" i="8"/>
  <c r="W2964" i="8"/>
  <c r="U2964" i="8"/>
  <c r="P2964" i="8"/>
  <c r="M2964" i="8"/>
  <c r="J2964" i="8"/>
  <c r="H2964" i="8"/>
  <c r="B2964" i="8"/>
  <c r="A2964" i="8"/>
  <c r="AA2963" i="8"/>
  <c r="W2963" i="8"/>
  <c r="U2963" i="8"/>
  <c r="P2963" i="8"/>
  <c r="M2963" i="8"/>
  <c r="J2963" i="8"/>
  <c r="H2963" i="8"/>
  <c r="B2963" i="8"/>
  <c r="A2963" i="8"/>
  <c r="AA2962" i="8"/>
  <c r="W2962" i="8"/>
  <c r="U2962" i="8"/>
  <c r="R2962" i="8"/>
  <c r="Q2962" i="8"/>
  <c r="P2962" i="8"/>
  <c r="M2962" i="8"/>
  <c r="J2962" i="8"/>
  <c r="H2962" i="8"/>
  <c r="B2962" i="8"/>
  <c r="A2962" i="8"/>
  <c r="AA2961" i="8"/>
  <c r="W2961" i="8"/>
  <c r="U2961" i="8"/>
  <c r="P2961" i="8"/>
  <c r="M2961" i="8"/>
  <c r="J2961" i="8"/>
  <c r="H2961" i="8"/>
  <c r="B2961" i="8"/>
  <c r="A2961" i="8"/>
  <c r="AA2960" i="8"/>
  <c r="W2960" i="8"/>
  <c r="U2960" i="8"/>
  <c r="P2960" i="8"/>
  <c r="M2960" i="8"/>
  <c r="J2960" i="8"/>
  <c r="H2960" i="8"/>
  <c r="B2960" i="8"/>
  <c r="A2960" i="8"/>
  <c r="AA2959" i="8"/>
  <c r="W2959" i="8"/>
  <c r="U2959" i="8"/>
  <c r="P2959" i="8"/>
  <c r="M2959" i="8"/>
  <c r="J2959" i="8"/>
  <c r="H2959" i="8"/>
  <c r="B2959" i="8"/>
  <c r="A2959" i="8"/>
  <c r="AA2958" i="8"/>
  <c r="W2958" i="8"/>
  <c r="U2958" i="8"/>
  <c r="P2958" i="8"/>
  <c r="M2958" i="8"/>
  <c r="J2958" i="8"/>
  <c r="H2958" i="8"/>
  <c r="B2958" i="8"/>
  <c r="A2958" i="8"/>
  <c r="AA2957" i="8"/>
  <c r="W2957" i="8"/>
  <c r="U2957" i="8"/>
  <c r="P2957" i="8"/>
  <c r="M2957" i="8"/>
  <c r="J2957" i="8"/>
  <c r="H2957" i="8"/>
  <c r="B2957" i="8"/>
  <c r="A2957" i="8"/>
  <c r="AA2956" i="8"/>
  <c r="W2956" i="8"/>
  <c r="U2956" i="8"/>
  <c r="P2956" i="8"/>
  <c r="M2956" i="8"/>
  <c r="J2956" i="8"/>
  <c r="H2956" i="8"/>
  <c r="B2956" i="8"/>
  <c r="A2956" i="8"/>
  <c r="AA2955" i="8"/>
  <c r="W2955" i="8"/>
  <c r="U2955" i="8"/>
  <c r="P2955" i="8"/>
  <c r="M2955" i="8"/>
  <c r="J2955" i="8"/>
  <c r="H2955" i="8"/>
  <c r="B2955" i="8"/>
  <c r="A2955" i="8"/>
  <c r="AA2954" i="8"/>
  <c r="W2954" i="8"/>
  <c r="U2954" i="8"/>
  <c r="P2954" i="8"/>
  <c r="M2954" i="8"/>
  <c r="J2954" i="8"/>
  <c r="H2954" i="8"/>
  <c r="B2954" i="8"/>
  <c r="A2954" i="8"/>
  <c r="AA2953" i="8"/>
  <c r="W2953" i="8"/>
  <c r="U2953" i="8"/>
  <c r="R2953" i="8"/>
  <c r="Q2953" i="8"/>
  <c r="P2953" i="8"/>
  <c r="M2953" i="8"/>
  <c r="J2953" i="8"/>
  <c r="H2953" i="8"/>
  <c r="B2953" i="8"/>
  <c r="A2953" i="8"/>
  <c r="AA2952" i="8"/>
  <c r="W2952" i="8"/>
  <c r="U2952" i="8"/>
  <c r="P2952" i="8"/>
  <c r="M2952" i="8"/>
  <c r="J2952" i="8"/>
  <c r="H2952" i="8"/>
  <c r="B2952" i="8"/>
  <c r="A2952" i="8"/>
  <c r="AA2951" i="8"/>
  <c r="W2951" i="8"/>
  <c r="U2951" i="8"/>
  <c r="P2951" i="8"/>
  <c r="M2951" i="8"/>
  <c r="J2951" i="8"/>
  <c r="H2951" i="8"/>
  <c r="B2951" i="8"/>
  <c r="A2951" i="8"/>
  <c r="AA2950" i="8"/>
  <c r="W2950" i="8"/>
  <c r="U2950" i="8"/>
  <c r="P2950" i="8"/>
  <c r="M2950" i="8"/>
  <c r="J2950" i="8"/>
  <c r="H2950" i="8"/>
  <c r="B2950" i="8"/>
  <c r="A2950" i="8"/>
  <c r="AA2949" i="8"/>
  <c r="W2949" i="8"/>
  <c r="U2949" i="8"/>
  <c r="P2949" i="8"/>
  <c r="M2949" i="8"/>
  <c r="J2949" i="8"/>
  <c r="H2949" i="8"/>
  <c r="B2949" i="8"/>
  <c r="A2949" i="8"/>
  <c r="AA2948" i="8"/>
  <c r="W2948" i="8"/>
  <c r="U2948" i="8"/>
  <c r="P2948" i="8"/>
  <c r="M2948" i="8"/>
  <c r="J2948" i="8"/>
  <c r="H2948" i="8"/>
  <c r="B2948" i="8"/>
  <c r="A2948" i="8"/>
  <c r="AA2947" i="8"/>
  <c r="W2947" i="8"/>
  <c r="U2947" i="8"/>
  <c r="P2947" i="8"/>
  <c r="M2947" i="8"/>
  <c r="J2947" i="8"/>
  <c r="H2947" i="8"/>
  <c r="B2947" i="8"/>
  <c r="A2947" i="8"/>
  <c r="AA2946" i="8"/>
  <c r="W2946" i="8"/>
  <c r="U2946" i="8"/>
  <c r="P2946" i="8"/>
  <c r="M2946" i="8"/>
  <c r="J2946" i="8"/>
  <c r="H2946" i="8"/>
  <c r="B2946" i="8"/>
  <c r="A2946" i="8"/>
  <c r="AA2945" i="8"/>
  <c r="W2945" i="8"/>
  <c r="U2945" i="8"/>
  <c r="P2945" i="8"/>
  <c r="M2945" i="8"/>
  <c r="J2945" i="8"/>
  <c r="H2945" i="8"/>
  <c r="B2945" i="8"/>
  <c r="A2945" i="8"/>
  <c r="AA2944" i="8"/>
  <c r="W2944" i="8"/>
  <c r="U2944" i="8"/>
  <c r="P2944" i="8"/>
  <c r="M2944" i="8"/>
  <c r="J2944" i="8"/>
  <c r="H2944" i="8"/>
  <c r="B2944" i="8"/>
  <c r="A2944" i="8"/>
  <c r="AA2943" i="8"/>
  <c r="W2943" i="8"/>
  <c r="U2943" i="8"/>
  <c r="R2943" i="8"/>
  <c r="Q2943" i="8"/>
  <c r="P2943" i="8"/>
  <c r="M2943" i="8"/>
  <c r="J2943" i="8"/>
  <c r="H2943" i="8"/>
  <c r="B2943" i="8"/>
  <c r="A2943" i="8"/>
  <c r="AA2942" i="8"/>
  <c r="W2942" i="8"/>
  <c r="U2942" i="8"/>
  <c r="P2942" i="8"/>
  <c r="M2942" i="8"/>
  <c r="J2942" i="8"/>
  <c r="H2942" i="8"/>
  <c r="B2942" i="8"/>
  <c r="A2942" i="8"/>
  <c r="AA2941" i="8"/>
  <c r="W2941" i="8"/>
  <c r="U2941" i="8"/>
  <c r="P2941" i="8"/>
  <c r="M2941" i="8"/>
  <c r="J2941" i="8"/>
  <c r="H2941" i="8"/>
  <c r="B2941" i="8"/>
  <c r="A2941" i="8"/>
  <c r="AA2940" i="8"/>
  <c r="W2940" i="8"/>
  <c r="U2940" i="8"/>
  <c r="P2940" i="8"/>
  <c r="M2940" i="8"/>
  <c r="J2940" i="8"/>
  <c r="H2940" i="8"/>
  <c r="B2940" i="8"/>
  <c r="A2940" i="8"/>
  <c r="AA2939" i="8"/>
  <c r="W2939" i="8"/>
  <c r="U2939" i="8"/>
  <c r="R2939" i="8"/>
  <c r="Q2939" i="8"/>
  <c r="P2939" i="8"/>
  <c r="M2939" i="8"/>
  <c r="J2939" i="8"/>
  <c r="H2939" i="8"/>
  <c r="B2939" i="8"/>
  <c r="A2939" i="8"/>
  <c r="AA2938" i="8"/>
  <c r="W2938" i="8"/>
  <c r="U2938" i="8"/>
  <c r="P2938" i="8"/>
  <c r="M2938" i="8"/>
  <c r="J2938" i="8"/>
  <c r="H2938" i="8"/>
  <c r="B2938" i="8"/>
  <c r="A2938" i="8"/>
  <c r="AA2937" i="8"/>
  <c r="W2937" i="8"/>
  <c r="U2937" i="8"/>
  <c r="P2937" i="8"/>
  <c r="M2937" i="8"/>
  <c r="J2937" i="8"/>
  <c r="H2937" i="8"/>
  <c r="B2937" i="8"/>
  <c r="A2937" i="8"/>
  <c r="AA2936" i="8"/>
  <c r="W2936" i="8"/>
  <c r="U2936" i="8"/>
  <c r="P2936" i="8"/>
  <c r="M2936" i="8"/>
  <c r="J2936" i="8"/>
  <c r="H2936" i="8"/>
  <c r="B2936" i="8"/>
  <c r="A2936" i="8"/>
  <c r="AA2935" i="8"/>
  <c r="W2935" i="8"/>
  <c r="U2935" i="8"/>
  <c r="P2935" i="8"/>
  <c r="M2935" i="8"/>
  <c r="J2935" i="8"/>
  <c r="H2935" i="8"/>
  <c r="B2935" i="8"/>
  <c r="A2935" i="8"/>
  <c r="AA2934" i="8"/>
  <c r="W2934" i="8"/>
  <c r="U2934" i="8"/>
  <c r="P2934" i="8"/>
  <c r="M2934" i="8"/>
  <c r="J2934" i="8"/>
  <c r="H2934" i="8"/>
  <c r="B2934" i="8"/>
  <c r="A2934" i="8"/>
  <c r="AA2933" i="8"/>
  <c r="W2933" i="8"/>
  <c r="U2933" i="8"/>
  <c r="P2933" i="8"/>
  <c r="M2933" i="8"/>
  <c r="J2933" i="8"/>
  <c r="H2933" i="8"/>
  <c r="B2933" i="8"/>
  <c r="A2933" i="8"/>
  <c r="AA2932" i="8"/>
  <c r="W2932" i="8"/>
  <c r="U2932" i="8"/>
  <c r="P2932" i="8"/>
  <c r="M2932" i="8"/>
  <c r="J2932" i="8"/>
  <c r="H2932" i="8"/>
  <c r="B2932" i="8"/>
  <c r="A2932" i="8"/>
  <c r="AA2931" i="8"/>
  <c r="W2931" i="8"/>
  <c r="U2931" i="8"/>
  <c r="P2931" i="8"/>
  <c r="M2931" i="8"/>
  <c r="J2931" i="8"/>
  <c r="H2931" i="8"/>
  <c r="B2931" i="8"/>
  <c r="A2931" i="8"/>
  <c r="AA2930" i="8"/>
  <c r="W2930" i="8"/>
  <c r="U2930" i="8"/>
  <c r="P2930" i="8"/>
  <c r="M2930" i="8"/>
  <c r="J2930" i="8"/>
  <c r="H2930" i="8"/>
  <c r="B2930" i="8"/>
  <c r="A2930" i="8"/>
  <c r="AA2929" i="8"/>
  <c r="W2929" i="8"/>
  <c r="U2929" i="8"/>
  <c r="P2929" i="8"/>
  <c r="M2929" i="8"/>
  <c r="J2929" i="8"/>
  <c r="H2929" i="8"/>
  <c r="B2929" i="8"/>
  <c r="A2929" i="8"/>
  <c r="AA2928" i="8"/>
  <c r="W2928" i="8"/>
  <c r="U2928" i="8"/>
  <c r="P2928" i="8"/>
  <c r="M2928" i="8"/>
  <c r="J2928" i="8"/>
  <c r="H2928" i="8"/>
  <c r="B2928" i="8"/>
  <c r="A2928" i="8"/>
  <c r="AA2927" i="8"/>
  <c r="W2927" i="8"/>
  <c r="U2927" i="8"/>
  <c r="P2927" i="8"/>
  <c r="M2927" i="8"/>
  <c r="J2927" i="8"/>
  <c r="H2927" i="8"/>
  <c r="B2927" i="8"/>
  <c r="A2927" i="8"/>
  <c r="AA2926" i="8"/>
  <c r="W2926" i="8"/>
  <c r="U2926" i="8"/>
  <c r="P2926" i="8"/>
  <c r="M2926" i="8"/>
  <c r="J2926" i="8"/>
  <c r="H2926" i="8"/>
  <c r="B2926" i="8"/>
  <c r="A2926" i="8"/>
  <c r="AA2925" i="8"/>
  <c r="W2925" i="8"/>
  <c r="U2925" i="8"/>
  <c r="P2925" i="8"/>
  <c r="M2925" i="8"/>
  <c r="J2925" i="8"/>
  <c r="H2925" i="8"/>
  <c r="B2925" i="8"/>
  <c r="A2925" i="8"/>
  <c r="AA2924" i="8"/>
  <c r="W2924" i="8"/>
  <c r="U2924" i="8"/>
  <c r="P2924" i="8"/>
  <c r="M2924" i="8"/>
  <c r="J2924" i="8"/>
  <c r="H2924" i="8"/>
  <c r="B2924" i="8"/>
  <c r="A2924" i="8"/>
  <c r="AA2923" i="8"/>
  <c r="W2923" i="8"/>
  <c r="U2923" i="8"/>
  <c r="P2923" i="8"/>
  <c r="M2923" i="8"/>
  <c r="J2923" i="8"/>
  <c r="H2923" i="8"/>
  <c r="B2923" i="8"/>
  <c r="A2923" i="8"/>
  <c r="AA2922" i="8"/>
  <c r="W2922" i="8"/>
  <c r="U2922" i="8"/>
  <c r="P2922" i="8"/>
  <c r="M2922" i="8"/>
  <c r="J2922" i="8"/>
  <c r="H2922" i="8"/>
  <c r="B2922" i="8"/>
  <c r="A2922" i="8"/>
  <c r="AA2921" i="8"/>
  <c r="W2921" i="8"/>
  <c r="U2921" i="8"/>
  <c r="P2921" i="8"/>
  <c r="M2921" i="8"/>
  <c r="J2921" i="8"/>
  <c r="H2921" i="8"/>
  <c r="B2921" i="8"/>
  <c r="A2921" i="8"/>
  <c r="AA2920" i="8"/>
  <c r="W2920" i="8"/>
  <c r="U2920" i="8"/>
  <c r="P2920" i="8"/>
  <c r="M2920" i="8"/>
  <c r="J2920" i="8"/>
  <c r="H2920" i="8"/>
  <c r="B2920" i="8"/>
  <c r="A2920" i="8"/>
  <c r="AA2919" i="8"/>
  <c r="W2919" i="8"/>
  <c r="U2919" i="8"/>
  <c r="P2919" i="8"/>
  <c r="M2919" i="8"/>
  <c r="J2919" i="8"/>
  <c r="H2919" i="8"/>
  <c r="B2919" i="8"/>
  <c r="A2919" i="8"/>
  <c r="AA2918" i="8"/>
  <c r="W2918" i="8"/>
  <c r="U2918" i="8"/>
  <c r="P2918" i="8"/>
  <c r="M2918" i="8"/>
  <c r="J2918" i="8"/>
  <c r="H2918" i="8"/>
  <c r="B2918" i="8"/>
  <c r="A2918" i="8"/>
  <c r="AA2917" i="8"/>
  <c r="W2917" i="8"/>
  <c r="U2917" i="8"/>
  <c r="P2917" i="8"/>
  <c r="M2917" i="8"/>
  <c r="J2917" i="8"/>
  <c r="H2917" i="8"/>
  <c r="B2917" i="8"/>
  <c r="A2917" i="8"/>
  <c r="AA2916" i="8"/>
  <c r="W2916" i="8"/>
  <c r="U2916" i="8"/>
  <c r="P2916" i="8"/>
  <c r="M2916" i="8"/>
  <c r="J2916" i="8"/>
  <c r="H2916" i="8"/>
  <c r="B2916" i="8"/>
  <c r="A2916" i="8"/>
  <c r="AA2915" i="8"/>
  <c r="W2915" i="8"/>
  <c r="U2915" i="8"/>
  <c r="P2915" i="8"/>
  <c r="M2915" i="8"/>
  <c r="J2915" i="8"/>
  <c r="H2915" i="8"/>
  <c r="B2915" i="8"/>
  <c r="A2915" i="8"/>
  <c r="AA2914" i="8"/>
  <c r="W2914" i="8"/>
  <c r="U2914" i="8"/>
  <c r="R2914" i="8"/>
  <c r="Q2914" i="8"/>
  <c r="P2914" i="8"/>
  <c r="M2914" i="8"/>
  <c r="J2914" i="8"/>
  <c r="H2914" i="8"/>
  <c r="B2914" i="8"/>
  <c r="A2914" i="8"/>
  <c r="AA2913" i="8"/>
  <c r="W2913" i="8"/>
  <c r="U2913" i="8"/>
  <c r="P2913" i="8"/>
  <c r="M2913" i="8"/>
  <c r="J2913" i="8"/>
  <c r="H2913" i="8"/>
  <c r="B2913" i="8"/>
  <c r="A2913" i="8"/>
  <c r="AA2912" i="8"/>
  <c r="W2912" i="8"/>
  <c r="U2912" i="8"/>
  <c r="P2912" i="8"/>
  <c r="M2912" i="8"/>
  <c r="J2912" i="8"/>
  <c r="H2912" i="8"/>
  <c r="B2912" i="8"/>
  <c r="A2912" i="8"/>
  <c r="AA2911" i="8"/>
  <c r="W2911" i="8"/>
  <c r="U2911" i="8"/>
  <c r="P2911" i="8"/>
  <c r="M2911" i="8"/>
  <c r="J2911" i="8"/>
  <c r="H2911" i="8"/>
  <c r="B2911" i="8"/>
  <c r="A2911" i="8"/>
  <c r="AA2910" i="8"/>
  <c r="W2910" i="8"/>
  <c r="U2910" i="8"/>
  <c r="P2910" i="8"/>
  <c r="M2910" i="8"/>
  <c r="J2910" i="8"/>
  <c r="H2910" i="8"/>
  <c r="B2910" i="8"/>
  <c r="A2910" i="8"/>
  <c r="AA2909" i="8"/>
  <c r="W2909" i="8"/>
  <c r="U2909" i="8"/>
  <c r="P2909" i="8"/>
  <c r="M2909" i="8"/>
  <c r="J2909" i="8"/>
  <c r="H2909" i="8"/>
  <c r="B2909" i="8"/>
  <c r="A2909" i="8"/>
  <c r="AA2908" i="8"/>
  <c r="W2908" i="8"/>
  <c r="U2908" i="8"/>
  <c r="P2908" i="8"/>
  <c r="M2908" i="8"/>
  <c r="J2908" i="8"/>
  <c r="H2908" i="8"/>
  <c r="B2908" i="8"/>
  <c r="A2908" i="8"/>
  <c r="AA2907" i="8"/>
  <c r="W2907" i="8"/>
  <c r="U2907" i="8"/>
  <c r="P2907" i="8"/>
  <c r="M2907" i="8"/>
  <c r="J2907" i="8"/>
  <c r="H2907" i="8"/>
  <c r="B2907" i="8"/>
  <c r="A2907" i="8"/>
  <c r="AA2906" i="8"/>
  <c r="W2906" i="8"/>
  <c r="U2906" i="8"/>
  <c r="P2906" i="8"/>
  <c r="M2906" i="8"/>
  <c r="J2906" i="8"/>
  <c r="H2906" i="8"/>
  <c r="B2906" i="8"/>
  <c r="A2906" i="8"/>
  <c r="AA2905" i="8"/>
  <c r="W2905" i="8"/>
  <c r="U2905" i="8"/>
  <c r="P2905" i="8"/>
  <c r="M2905" i="8"/>
  <c r="J2905" i="8"/>
  <c r="H2905" i="8"/>
  <c r="B2905" i="8"/>
  <c r="A2905" i="8"/>
  <c r="AA2904" i="8"/>
  <c r="W2904" i="8"/>
  <c r="U2904" i="8"/>
  <c r="P2904" i="8"/>
  <c r="M2904" i="8"/>
  <c r="J2904" i="8"/>
  <c r="H2904" i="8"/>
  <c r="B2904" i="8"/>
  <c r="A2904" i="8"/>
  <c r="AA2903" i="8"/>
  <c r="W2903" i="8"/>
  <c r="U2903" i="8"/>
  <c r="P2903" i="8"/>
  <c r="M2903" i="8"/>
  <c r="J2903" i="8"/>
  <c r="H2903" i="8"/>
  <c r="B2903" i="8"/>
  <c r="A2903" i="8"/>
  <c r="AA2902" i="8"/>
  <c r="W2902" i="8"/>
  <c r="U2902" i="8"/>
  <c r="P2902" i="8"/>
  <c r="M2902" i="8"/>
  <c r="J2902" i="8"/>
  <c r="H2902" i="8"/>
  <c r="B2902" i="8"/>
  <c r="A2902" i="8"/>
  <c r="AA2901" i="8"/>
  <c r="W2901" i="8"/>
  <c r="U2901" i="8"/>
  <c r="R2901" i="8"/>
  <c r="Q2901" i="8"/>
  <c r="P2901" i="8"/>
  <c r="M2901" i="8"/>
  <c r="J2901" i="8"/>
  <c r="H2901" i="8"/>
  <c r="B2901" i="8"/>
  <c r="A2901" i="8"/>
  <c r="AA2900" i="8"/>
  <c r="W2900" i="8"/>
  <c r="U2900" i="8"/>
  <c r="P2900" i="8"/>
  <c r="M2900" i="8"/>
  <c r="J2900" i="8"/>
  <c r="H2900" i="8"/>
  <c r="B2900" i="8"/>
  <c r="A2900" i="8"/>
  <c r="AA2899" i="8"/>
  <c r="W2899" i="8"/>
  <c r="U2899" i="8"/>
  <c r="P2899" i="8"/>
  <c r="M2899" i="8"/>
  <c r="J2899" i="8"/>
  <c r="H2899" i="8"/>
  <c r="B2899" i="8"/>
  <c r="A2899" i="8"/>
  <c r="AA2898" i="8"/>
  <c r="W2898" i="8"/>
  <c r="U2898" i="8"/>
  <c r="P2898" i="8"/>
  <c r="M2898" i="8"/>
  <c r="J2898" i="8"/>
  <c r="H2898" i="8"/>
  <c r="B2898" i="8"/>
  <c r="A2898" i="8"/>
  <c r="AA2897" i="8"/>
  <c r="W2897" i="8"/>
  <c r="U2897" i="8"/>
  <c r="P2897" i="8"/>
  <c r="M2897" i="8"/>
  <c r="J2897" i="8"/>
  <c r="H2897" i="8"/>
  <c r="B2897" i="8"/>
  <c r="A2897" i="8"/>
  <c r="AA2896" i="8"/>
  <c r="W2896" i="8"/>
  <c r="U2896" i="8"/>
  <c r="R2896" i="8"/>
  <c r="Q2896" i="8"/>
  <c r="P2896" i="8"/>
  <c r="M2896" i="8"/>
  <c r="J2896" i="8"/>
  <c r="H2896" i="8"/>
  <c r="B2896" i="8"/>
  <c r="A2896" i="8"/>
  <c r="AA2895" i="8"/>
  <c r="W2895" i="8"/>
  <c r="U2895" i="8"/>
  <c r="P2895" i="8"/>
  <c r="M2895" i="8"/>
  <c r="J2895" i="8"/>
  <c r="H2895" i="8"/>
  <c r="B2895" i="8"/>
  <c r="A2895" i="8"/>
  <c r="AA2894" i="8"/>
  <c r="W2894" i="8"/>
  <c r="U2894" i="8"/>
  <c r="P2894" i="8"/>
  <c r="M2894" i="8"/>
  <c r="J2894" i="8"/>
  <c r="H2894" i="8"/>
  <c r="B2894" i="8"/>
  <c r="A2894" i="8"/>
  <c r="AA2893" i="8"/>
  <c r="W2893" i="8"/>
  <c r="U2893" i="8"/>
  <c r="P2893" i="8"/>
  <c r="M2893" i="8"/>
  <c r="J2893" i="8"/>
  <c r="H2893" i="8"/>
  <c r="B2893" i="8"/>
  <c r="A2893" i="8"/>
  <c r="AA2892" i="8"/>
  <c r="W2892" i="8"/>
  <c r="U2892" i="8"/>
  <c r="P2892" i="8"/>
  <c r="M2892" i="8"/>
  <c r="J2892" i="8"/>
  <c r="H2892" i="8"/>
  <c r="B2892" i="8"/>
  <c r="A2892" i="8"/>
  <c r="AA2891" i="8"/>
  <c r="W2891" i="8"/>
  <c r="U2891" i="8"/>
  <c r="P2891" i="8"/>
  <c r="M2891" i="8"/>
  <c r="J2891" i="8"/>
  <c r="H2891" i="8"/>
  <c r="B2891" i="8"/>
  <c r="A2891" i="8"/>
  <c r="AA2890" i="8"/>
  <c r="W2890" i="8"/>
  <c r="U2890" i="8"/>
  <c r="P2890" i="8"/>
  <c r="M2890" i="8"/>
  <c r="J2890" i="8"/>
  <c r="H2890" i="8"/>
  <c r="B2890" i="8"/>
  <c r="A2890" i="8"/>
  <c r="AA2889" i="8"/>
  <c r="W2889" i="8"/>
  <c r="U2889" i="8"/>
  <c r="P2889" i="8"/>
  <c r="M2889" i="8"/>
  <c r="J2889" i="8"/>
  <c r="H2889" i="8"/>
  <c r="B2889" i="8"/>
  <c r="A2889" i="8"/>
  <c r="AA2888" i="8"/>
  <c r="W2888" i="8"/>
  <c r="U2888" i="8"/>
  <c r="P2888" i="8"/>
  <c r="M2888" i="8"/>
  <c r="J2888" i="8"/>
  <c r="H2888" i="8"/>
  <c r="B2888" i="8"/>
  <c r="A2888" i="8"/>
  <c r="AA2887" i="8"/>
  <c r="W2887" i="8"/>
  <c r="U2887" i="8"/>
  <c r="P2887" i="8"/>
  <c r="M2887" i="8"/>
  <c r="J2887" i="8"/>
  <c r="H2887" i="8"/>
  <c r="B2887" i="8"/>
  <c r="A2887" i="8"/>
  <c r="AA2886" i="8"/>
  <c r="W2886" i="8"/>
  <c r="U2886" i="8"/>
  <c r="P2886" i="8"/>
  <c r="M2886" i="8"/>
  <c r="J2886" i="8"/>
  <c r="H2886" i="8"/>
  <c r="B2886" i="8"/>
  <c r="A2886" i="8"/>
  <c r="AA2885" i="8"/>
  <c r="W2885" i="8"/>
  <c r="U2885" i="8"/>
  <c r="P2885" i="8"/>
  <c r="M2885" i="8"/>
  <c r="J2885" i="8"/>
  <c r="H2885" i="8"/>
  <c r="B2885" i="8"/>
  <c r="A2885" i="8"/>
  <c r="AA2884" i="8"/>
  <c r="W2884" i="8"/>
  <c r="U2884" i="8"/>
  <c r="P2884" i="8"/>
  <c r="M2884" i="8"/>
  <c r="J2884" i="8"/>
  <c r="H2884" i="8"/>
  <c r="B2884" i="8"/>
  <c r="A2884" i="8"/>
  <c r="AA2883" i="8"/>
  <c r="W2883" i="8"/>
  <c r="U2883" i="8"/>
  <c r="P2883" i="8"/>
  <c r="M2883" i="8"/>
  <c r="J2883" i="8"/>
  <c r="H2883" i="8"/>
  <c r="B2883" i="8"/>
  <c r="A2883" i="8"/>
  <c r="AA2882" i="8"/>
  <c r="W2882" i="8"/>
  <c r="U2882" i="8"/>
  <c r="P2882" i="8"/>
  <c r="M2882" i="8"/>
  <c r="J2882" i="8"/>
  <c r="H2882" i="8"/>
  <c r="B2882" i="8"/>
  <c r="A2882" i="8"/>
  <c r="AA2881" i="8"/>
  <c r="W2881" i="8"/>
  <c r="U2881" i="8"/>
  <c r="P2881" i="8"/>
  <c r="M2881" i="8"/>
  <c r="J2881" i="8"/>
  <c r="H2881" i="8"/>
  <c r="B2881" i="8"/>
  <c r="A2881" i="8"/>
  <c r="AA2880" i="8"/>
  <c r="W2880" i="8"/>
  <c r="U2880" i="8"/>
  <c r="P2880" i="8"/>
  <c r="M2880" i="8"/>
  <c r="J2880" i="8"/>
  <c r="H2880" i="8"/>
  <c r="B2880" i="8"/>
  <c r="A2880" i="8"/>
  <c r="AA2879" i="8"/>
  <c r="W2879" i="8"/>
  <c r="U2879" i="8"/>
  <c r="P2879" i="8"/>
  <c r="M2879" i="8"/>
  <c r="J2879" i="8"/>
  <c r="H2879" i="8"/>
  <c r="B2879" i="8"/>
  <c r="A2879" i="8"/>
  <c r="AA2878" i="8"/>
  <c r="W2878" i="8"/>
  <c r="U2878" i="8"/>
  <c r="P2878" i="8"/>
  <c r="M2878" i="8"/>
  <c r="J2878" i="8"/>
  <c r="H2878" i="8"/>
  <c r="B2878" i="8"/>
  <c r="A2878" i="8"/>
  <c r="AA2877" i="8"/>
  <c r="W2877" i="8"/>
  <c r="U2877" i="8"/>
  <c r="P2877" i="8"/>
  <c r="M2877" i="8"/>
  <c r="J2877" i="8"/>
  <c r="H2877" i="8"/>
  <c r="B2877" i="8"/>
  <c r="A2877" i="8"/>
  <c r="AA2876" i="8"/>
  <c r="W2876" i="8"/>
  <c r="U2876" i="8"/>
  <c r="P2876" i="8"/>
  <c r="M2876" i="8"/>
  <c r="J2876" i="8"/>
  <c r="H2876" i="8"/>
  <c r="B2876" i="8"/>
  <c r="A2876" i="8"/>
  <c r="AA2875" i="8"/>
  <c r="W2875" i="8"/>
  <c r="U2875" i="8"/>
  <c r="P2875" i="8"/>
  <c r="M2875" i="8"/>
  <c r="J2875" i="8"/>
  <c r="H2875" i="8"/>
  <c r="B2875" i="8"/>
  <c r="A2875" i="8"/>
  <c r="AA2874" i="8"/>
  <c r="W2874" i="8"/>
  <c r="U2874" i="8"/>
  <c r="P2874" i="8"/>
  <c r="M2874" i="8"/>
  <c r="J2874" i="8"/>
  <c r="H2874" i="8"/>
  <c r="B2874" i="8"/>
  <c r="A2874" i="8"/>
  <c r="AA2873" i="8"/>
  <c r="W2873" i="8"/>
  <c r="U2873" i="8"/>
  <c r="P2873" i="8"/>
  <c r="M2873" i="8"/>
  <c r="J2873" i="8"/>
  <c r="H2873" i="8"/>
  <c r="B2873" i="8"/>
  <c r="A2873" i="8"/>
  <c r="AA2872" i="8"/>
  <c r="W2872" i="8"/>
  <c r="U2872" i="8"/>
  <c r="P2872" i="8"/>
  <c r="M2872" i="8"/>
  <c r="J2872" i="8"/>
  <c r="H2872" i="8"/>
  <c r="B2872" i="8"/>
  <c r="A2872" i="8"/>
  <c r="AA2871" i="8"/>
  <c r="W2871" i="8"/>
  <c r="U2871" i="8"/>
  <c r="P2871" i="8"/>
  <c r="M2871" i="8"/>
  <c r="J2871" i="8"/>
  <c r="H2871" i="8"/>
  <c r="B2871" i="8"/>
  <c r="A2871" i="8"/>
  <c r="AA2870" i="8"/>
  <c r="W2870" i="8"/>
  <c r="U2870" i="8"/>
  <c r="P2870" i="8"/>
  <c r="M2870" i="8"/>
  <c r="J2870" i="8"/>
  <c r="H2870" i="8"/>
  <c r="B2870" i="8"/>
  <c r="A2870" i="8"/>
  <c r="AA2869" i="8"/>
  <c r="W2869" i="8"/>
  <c r="U2869" i="8"/>
  <c r="P2869" i="8"/>
  <c r="M2869" i="8"/>
  <c r="J2869" i="8"/>
  <c r="H2869" i="8"/>
  <c r="B2869" i="8"/>
  <c r="A2869" i="8"/>
  <c r="AA2868" i="8"/>
  <c r="W2868" i="8"/>
  <c r="U2868" i="8"/>
  <c r="P2868" i="8"/>
  <c r="M2868" i="8"/>
  <c r="J2868" i="8"/>
  <c r="H2868" i="8"/>
  <c r="B2868" i="8"/>
  <c r="A2868" i="8"/>
  <c r="AA2867" i="8"/>
  <c r="W2867" i="8"/>
  <c r="U2867" i="8"/>
  <c r="P2867" i="8"/>
  <c r="M2867" i="8"/>
  <c r="J2867" i="8"/>
  <c r="H2867" i="8"/>
  <c r="B2867" i="8"/>
  <c r="A2867" i="8"/>
  <c r="AA2866" i="8"/>
  <c r="W2866" i="8"/>
  <c r="U2866" i="8"/>
  <c r="P2866" i="8"/>
  <c r="M2866" i="8"/>
  <c r="J2866" i="8"/>
  <c r="H2866" i="8"/>
  <c r="B2866" i="8"/>
  <c r="A2866" i="8"/>
  <c r="AA2865" i="8"/>
  <c r="W2865" i="8"/>
  <c r="U2865" i="8"/>
  <c r="P2865" i="8"/>
  <c r="M2865" i="8"/>
  <c r="J2865" i="8"/>
  <c r="H2865" i="8"/>
  <c r="B2865" i="8"/>
  <c r="A2865" i="8"/>
  <c r="AA2864" i="8"/>
  <c r="W2864" i="8"/>
  <c r="U2864" i="8"/>
  <c r="P2864" i="8"/>
  <c r="M2864" i="8"/>
  <c r="J2864" i="8"/>
  <c r="H2864" i="8"/>
  <c r="B2864" i="8"/>
  <c r="A2864" i="8"/>
  <c r="AA2863" i="8"/>
  <c r="W2863" i="8"/>
  <c r="U2863" i="8"/>
  <c r="P2863" i="8"/>
  <c r="M2863" i="8"/>
  <c r="J2863" i="8"/>
  <c r="H2863" i="8"/>
  <c r="B2863" i="8"/>
  <c r="A2863" i="8"/>
  <c r="AA2862" i="8"/>
  <c r="W2862" i="8"/>
  <c r="U2862" i="8"/>
  <c r="P2862" i="8"/>
  <c r="M2862" i="8"/>
  <c r="J2862" i="8"/>
  <c r="H2862" i="8"/>
  <c r="B2862" i="8"/>
  <c r="A2862" i="8"/>
  <c r="AA2861" i="8"/>
  <c r="W2861" i="8"/>
  <c r="U2861" i="8"/>
  <c r="R2861" i="8"/>
  <c r="Q2861" i="8"/>
  <c r="P2861" i="8"/>
  <c r="M2861" i="8"/>
  <c r="J2861" i="8"/>
  <c r="H2861" i="8"/>
  <c r="B2861" i="8"/>
  <c r="A2861" i="8"/>
  <c r="AA2860" i="8"/>
  <c r="W2860" i="8"/>
  <c r="U2860" i="8"/>
  <c r="R2860" i="8"/>
  <c r="Q2860" i="8"/>
  <c r="P2860" i="8"/>
  <c r="M2860" i="8"/>
  <c r="J2860" i="8"/>
  <c r="H2860" i="8"/>
  <c r="B2860" i="8"/>
  <c r="A2860" i="8"/>
  <c r="AA2859" i="8"/>
  <c r="W2859" i="8"/>
  <c r="U2859" i="8"/>
  <c r="P2859" i="8"/>
  <c r="M2859" i="8"/>
  <c r="J2859" i="8"/>
  <c r="H2859" i="8"/>
  <c r="B2859" i="8"/>
  <c r="A2859" i="8"/>
  <c r="AA2858" i="8"/>
  <c r="W2858" i="8"/>
  <c r="U2858" i="8"/>
  <c r="P2858" i="8"/>
  <c r="M2858" i="8"/>
  <c r="J2858" i="8"/>
  <c r="H2858" i="8"/>
  <c r="B2858" i="8"/>
  <c r="A2858" i="8"/>
  <c r="AA2857" i="8"/>
  <c r="W2857" i="8"/>
  <c r="U2857" i="8"/>
  <c r="P2857" i="8"/>
  <c r="M2857" i="8"/>
  <c r="J2857" i="8"/>
  <c r="H2857" i="8"/>
  <c r="B2857" i="8"/>
  <c r="A2857" i="8"/>
  <c r="AA2856" i="8"/>
  <c r="W2856" i="8"/>
  <c r="U2856" i="8"/>
  <c r="P2856" i="8"/>
  <c r="M2856" i="8"/>
  <c r="J2856" i="8"/>
  <c r="H2856" i="8"/>
  <c r="B2856" i="8"/>
  <c r="A2856" i="8"/>
  <c r="AA2855" i="8"/>
  <c r="W2855" i="8"/>
  <c r="U2855" i="8"/>
  <c r="P2855" i="8"/>
  <c r="M2855" i="8"/>
  <c r="J2855" i="8"/>
  <c r="H2855" i="8"/>
  <c r="B2855" i="8"/>
  <c r="A2855" i="8"/>
  <c r="AA2854" i="8"/>
  <c r="W2854" i="8"/>
  <c r="U2854" i="8"/>
  <c r="P2854" i="8"/>
  <c r="M2854" i="8"/>
  <c r="J2854" i="8"/>
  <c r="H2854" i="8"/>
  <c r="B2854" i="8"/>
  <c r="A2854" i="8"/>
  <c r="AA2853" i="8"/>
  <c r="W2853" i="8"/>
  <c r="U2853" i="8"/>
  <c r="P2853" i="8"/>
  <c r="M2853" i="8"/>
  <c r="J2853" i="8"/>
  <c r="H2853" i="8"/>
  <c r="B2853" i="8"/>
  <c r="A2853" i="8"/>
  <c r="AA2852" i="8"/>
  <c r="W2852" i="8"/>
  <c r="U2852" i="8"/>
  <c r="P2852" i="8"/>
  <c r="M2852" i="8"/>
  <c r="J2852" i="8"/>
  <c r="H2852" i="8"/>
  <c r="B2852" i="8"/>
  <c r="A2852" i="8"/>
  <c r="AA2851" i="8"/>
  <c r="W2851" i="8"/>
  <c r="U2851" i="8"/>
  <c r="P2851" i="8"/>
  <c r="M2851" i="8"/>
  <c r="J2851" i="8"/>
  <c r="H2851" i="8"/>
  <c r="B2851" i="8"/>
  <c r="A2851" i="8"/>
  <c r="AA2850" i="8"/>
  <c r="W2850" i="8"/>
  <c r="U2850" i="8"/>
  <c r="P2850" i="8"/>
  <c r="M2850" i="8"/>
  <c r="J2850" i="8"/>
  <c r="H2850" i="8"/>
  <c r="B2850" i="8"/>
  <c r="A2850" i="8"/>
  <c r="AA2849" i="8"/>
  <c r="W2849" i="8"/>
  <c r="U2849" i="8"/>
  <c r="P2849" i="8"/>
  <c r="M2849" i="8"/>
  <c r="J2849" i="8"/>
  <c r="H2849" i="8"/>
  <c r="B2849" i="8"/>
  <c r="A2849" i="8"/>
  <c r="AA2848" i="8"/>
  <c r="W2848" i="8"/>
  <c r="U2848" i="8"/>
  <c r="R2848" i="8"/>
  <c r="Q2848" i="8"/>
  <c r="P2848" i="8"/>
  <c r="M2848" i="8"/>
  <c r="J2848" i="8"/>
  <c r="H2848" i="8"/>
  <c r="B2848" i="8"/>
  <c r="A2848" i="8"/>
  <c r="AA2847" i="8"/>
  <c r="W2847" i="8"/>
  <c r="U2847" i="8"/>
  <c r="P2847" i="8"/>
  <c r="M2847" i="8"/>
  <c r="J2847" i="8"/>
  <c r="H2847" i="8"/>
  <c r="B2847" i="8"/>
  <c r="A2847" i="8"/>
  <c r="AA2846" i="8"/>
  <c r="W2846" i="8"/>
  <c r="U2846" i="8"/>
  <c r="P2846" i="8"/>
  <c r="M2846" i="8"/>
  <c r="J2846" i="8"/>
  <c r="H2846" i="8"/>
  <c r="B2846" i="8"/>
  <c r="A2846" i="8"/>
  <c r="AA2845" i="8"/>
  <c r="W2845" i="8"/>
  <c r="U2845" i="8"/>
  <c r="R2845" i="8"/>
  <c r="Q2845" i="8"/>
  <c r="P2845" i="8"/>
  <c r="M2845" i="8"/>
  <c r="J2845" i="8"/>
  <c r="H2845" i="8"/>
  <c r="B2845" i="8"/>
  <c r="A2845" i="8"/>
  <c r="AA2844" i="8"/>
  <c r="W2844" i="8"/>
  <c r="U2844" i="8"/>
  <c r="P2844" i="8"/>
  <c r="M2844" i="8"/>
  <c r="J2844" i="8"/>
  <c r="H2844" i="8"/>
  <c r="B2844" i="8"/>
  <c r="A2844" i="8"/>
  <c r="AA2843" i="8"/>
  <c r="W2843" i="8"/>
  <c r="U2843" i="8"/>
  <c r="P2843" i="8"/>
  <c r="M2843" i="8"/>
  <c r="J2843" i="8"/>
  <c r="H2843" i="8"/>
  <c r="B2843" i="8"/>
  <c r="A2843" i="8"/>
  <c r="AA2842" i="8"/>
  <c r="W2842" i="8"/>
  <c r="U2842" i="8"/>
  <c r="P2842" i="8"/>
  <c r="M2842" i="8"/>
  <c r="J2842" i="8"/>
  <c r="H2842" i="8"/>
  <c r="B2842" i="8"/>
  <c r="A2842" i="8"/>
  <c r="AA2841" i="8"/>
  <c r="W2841" i="8"/>
  <c r="U2841" i="8"/>
  <c r="P2841" i="8"/>
  <c r="M2841" i="8"/>
  <c r="J2841" i="8"/>
  <c r="H2841" i="8"/>
  <c r="B2841" i="8"/>
  <c r="A2841" i="8"/>
  <c r="AA2840" i="8"/>
  <c r="W2840" i="8"/>
  <c r="U2840" i="8"/>
  <c r="P2840" i="8"/>
  <c r="M2840" i="8"/>
  <c r="J2840" i="8"/>
  <c r="H2840" i="8"/>
  <c r="B2840" i="8"/>
  <c r="A2840" i="8"/>
  <c r="AA2839" i="8"/>
  <c r="W2839" i="8"/>
  <c r="U2839" i="8"/>
  <c r="P2839" i="8"/>
  <c r="M2839" i="8"/>
  <c r="J2839" i="8"/>
  <c r="H2839" i="8"/>
  <c r="B2839" i="8"/>
  <c r="A2839" i="8"/>
  <c r="AA2838" i="8"/>
  <c r="W2838" i="8"/>
  <c r="U2838" i="8"/>
  <c r="P2838" i="8"/>
  <c r="M2838" i="8"/>
  <c r="J2838" i="8"/>
  <c r="H2838" i="8"/>
  <c r="B2838" i="8"/>
  <c r="A2838" i="8"/>
  <c r="AA2837" i="8"/>
  <c r="W2837" i="8"/>
  <c r="U2837" i="8"/>
  <c r="P2837" i="8"/>
  <c r="M2837" i="8"/>
  <c r="J2837" i="8"/>
  <c r="H2837" i="8"/>
  <c r="B2837" i="8"/>
  <c r="A2837" i="8"/>
  <c r="AA2836" i="8"/>
  <c r="W2836" i="8"/>
  <c r="U2836" i="8"/>
  <c r="P2836" i="8"/>
  <c r="M2836" i="8"/>
  <c r="J2836" i="8"/>
  <c r="H2836" i="8"/>
  <c r="B2836" i="8"/>
  <c r="A2836" i="8"/>
  <c r="AA2835" i="8"/>
  <c r="W2835" i="8"/>
  <c r="U2835" i="8"/>
  <c r="R2835" i="8"/>
  <c r="Q2835" i="8"/>
  <c r="P2835" i="8"/>
  <c r="M2835" i="8"/>
  <c r="J2835" i="8"/>
  <c r="H2835" i="8"/>
  <c r="B2835" i="8"/>
  <c r="A2835" i="8"/>
  <c r="AA2834" i="8"/>
  <c r="W2834" i="8"/>
  <c r="U2834" i="8"/>
  <c r="P2834" i="8"/>
  <c r="M2834" i="8"/>
  <c r="J2834" i="8"/>
  <c r="H2834" i="8"/>
  <c r="B2834" i="8"/>
  <c r="A2834" i="8"/>
  <c r="AA2833" i="8"/>
  <c r="W2833" i="8"/>
  <c r="U2833" i="8"/>
  <c r="P2833" i="8"/>
  <c r="M2833" i="8"/>
  <c r="J2833" i="8"/>
  <c r="H2833" i="8"/>
  <c r="B2833" i="8"/>
  <c r="A2833" i="8"/>
  <c r="AA2832" i="8"/>
  <c r="W2832" i="8"/>
  <c r="U2832" i="8"/>
  <c r="R2832" i="8"/>
  <c r="Q2832" i="8"/>
  <c r="P2832" i="8"/>
  <c r="M2832" i="8"/>
  <c r="J2832" i="8"/>
  <c r="H2832" i="8"/>
  <c r="B2832" i="8"/>
  <c r="A2832" i="8"/>
  <c r="AA2831" i="8"/>
  <c r="W2831" i="8"/>
  <c r="U2831" i="8"/>
  <c r="P2831" i="8"/>
  <c r="M2831" i="8"/>
  <c r="J2831" i="8"/>
  <c r="H2831" i="8"/>
  <c r="B2831" i="8"/>
  <c r="A2831" i="8"/>
  <c r="AA2830" i="8"/>
  <c r="W2830" i="8"/>
  <c r="U2830" i="8"/>
  <c r="P2830" i="8"/>
  <c r="M2830" i="8"/>
  <c r="J2830" i="8"/>
  <c r="H2830" i="8"/>
  <c r="B2830" i="8"/>
  <c r="A2830" i="8"/>
  <c r="AA2829" i="8"/>
  <c r="W2829" i="8"/>
  <c r="U2829" i="8"/>
  <c r="P2829" i="8"/>
  <c r="M2829" i="8"/>
  <c r="J2829" i="8"/>
  <c r="H2829" i="8"/>
  <c r="B2829" i="8"/>
  <c r="A2829" i="8"/>
  <c r="AA2828" i="8"/>
  <c r="W2828" i="8"/>
  <c r="U2828" i="8"/>
  <c r="P2828" i="8"/>
  <c r="M2828" i="8"/>
  <c r="J2828" i="8"/>
  <c r="H2828" i="8"/>
  <c r="B2828" i="8"/>
  <c r="A2828" i="8"/>
  <c r="AA2827" i="8"/>
  <c r="W2827" i="8"/>
  <c r="U2827" i="8"/>
  <c r="P2827" i="8"/>
  <c r="M2827" i="8"/>
  <c r="J2827" i="8"/>
  <c r="H2827" i="8"/>
  <c r="B2827" i="8"/>
  <c r="A2827" i="8"/>
  <c r="AA2826" i="8"/>
  <c r="W2826" i="8"/>
  <c r="U2826" i="8"/>
  <c r="P2826" i="8"/>
  <c r="M2826" i="8"/>
  <c r="J2826" i="8"/>
  <c r="H2826" i="8"/>
  <c r="B2826" i="8"/>
  <c r="A2826" i="8"/>
  <c r="AA2825" i="8"/>
  <c r="W2825" i="8"/>
  <c r="U2825" i="8"/>
  <c r="P2825" i="8"/>
  <c r="M2825" i="8"/>
  <c r="J2825" i="8"/>
  <c r="H2825" i="8"/>
  <c r="B2825" i="8"/>
  <c r="A2825" i="8"/>
  <c r="AA2824" i="8"/>
  <c r="W2824" i="8"/>
  <c r="U2824" i="8"/>
  <c r="P2824" i="8"/>
  <c r="M2824" i="8"/>
  <c r="J2824" i="8"/>
  <c r="H2824" i="8"/>
  <c r="B2824" i="8"/>
  <c r="A2824" i="8"/>
  <c r="AA2823" i="8"/>
  <c r="W2823" i="8"/>
  <c r="U2823" i="8"/>
  <c r="P2823" i="8"/>
  <c r="M2823" i="8"/>
  <c r="J2823" i="8"/>
  <c r="H2823" i="8"/>
  <c r="B2823" i="8"/>
  <c r="A2823" i="8"/>
  <c r="AA2822" i="8"/>
  <c r="W2822" i="8"/>
  <c r="U2822" i="8"/>
  <c r="P2822" i="8"/>
  <c r="M2822" i="8"/>
  <c r="J2822" i="8"/>
  <c r="H2822" i="8"/>
  <c r="B2822" i="8"/>
  <c r="A2822" i="8"/>
  <c r="AA2821" i="8"/>
  <c r="W2821" i="8"/>
  <c r="U2821" i="8"/>
  <c r="P2821" i="8"/>
  <c r="M2821" i="8"/>
  <c r="J2821" i="8"/>
  <c r="H2821" i="8"/>
  <c r="B2821" i="8"/>
  <c r="A2821" i="8"/>
  <c r="AA2820" i="8"/>
  <c r="W2820" i="8"/>
  <c r="U2820" i="8"/>
  <c r="P2820" i="8"/>
  <c r="M2820" i="8"/>
  <c r="J2820" i="8"/>
  <c r="H2820" i="8"/>
  <c r="B2820" i="8"/>
  <c r="A2820" i="8"/>
  <c r="AA2819" i="8"/>
  <c r="W2819" i="8"/>
  <c r="U2819" i="8"/>
  <c r="P2819" i="8"/>
  <c r="M2819" i="8"/>
  <c r="J2819" i="8"/>
  <c r="H2819" i="8"/>
  <c r="B2819" i="8"/>
  <c r="A2819" i="8"/>
  <c r="AA2818" i="8"/>
  <c r="W2818" i="8"/>
  <c r="U2818" i="8"/>
  <c r="P2818" i="8"/>
  <c r="M2818" i="8"/>
  <c r="J2818" i="8"/>
  <c r="H2818" i="8"/>
  <c r="B2818" i="8"/>
  <c r="A2818" i="8"/>
  <c r="AA2817" i="8"/>
  <c r="W2817" i="8"/>
  <c r="U2817" i="8"/>
  <c r="P2817" i="8"/>
  <c r="M2817" i="8"/>
  <c r="J2817" i="8"/>
  <c r="H2817" i="8"/>
  <c r="B2817" i="8"/>
  <c r="A2817" i="8"/>
  <c r="AA2816" i="8"/>
  <c r="W2816" i="8"/>
  <c r="U2816" i="8"/>
  <c r="P2816" i="8"/>
  <c r="M2816" i="8"/>
  <c r="J2816" i="8"/>
  <c r="H2816" i="8"/>
  <c r="B2816" i="8"/>
  <c r="A2816" i="8"/>
  <c r="AA2815" i="8"/>
  <c r="W2815" i="8"/>
  <c r="U2815" i="8"/>
  <c r="R2815" i="8"/>
  <c r="Q2815" i="8"/>
  <c r="P2815" i="8"/>
  <c r="M2815" i="8"/>
  <c r="J2815" i="8"/>
  <c r="H2815" i="8"/>
  <c r="B2815" i="8"/>
  <c r="A2815" i="8"/>
  <c r="AA2814" i="8"/>
  <c r="W2814" i="8"/>
  <c r="U2814" i="8"/>
  <c r="P2814" i="8"/>
  <c r="M2814" i="8"/>
  <c r="J2814" i="8"/>
  <c r="H2814" i="8"/>
  <c r="B2814" i="8"/>
  <c r="A2814" i="8"/>
  <c r="AA2813" i="8"/>
  <c r="W2813" i="8"/>
  <c r="U2813" i="8"/>
  <c r="R2813" i="8"/>
  <c r="Q2813" i="8"/>
  <c r="P2813" i="8"/>
  <c r="M2813" i="8"/>
  <c r="J2813" i="8"/>
  <c r="H2813" i="8"/>
  <c r="B2813" i="8"/>
  <c r="A2813" i="8"/>
  <c r="AA2812" i="8"/>
  <c r="W2812" i="8"/>
  <c r="U2812" i="8"/>
  <c r="P2812" i="8"/>
  <c r="M2812" i="8"/>
  <c r="J2812" i="8"/>
  <c r="H2812" i="8"/>
  <c r="B2812" i="8"/>
  <c r="A2812" i="8"/>
  <c r="AA2811" i="8"/>
  <c r="W2811" i="8"/>
  <c r="U2811" i="8"/>
  <c r="P2811" i="8"/>
  <c r="M2811" i="8"/>
  <c r="J2811" i="8"/>
  <c r="H2811" i="8"/>
  <c r="B2811" i="8"/>
  <c r="A2811" i="8"/>
  <c r="AA2810" i="8"/>
  <c r="W2810" i="8"/>
  <c r="U2810" i="8"/>
  <c r="P2810" i="8"/>
  <c r="M2810" i="8"/>
  <c r="J2810" i="8"/>
  <c r="H2810" i="8"/>
  <c r="B2810" i="8"/>
  <c r="A2810" i="8"/>
  <c r="AA2809" i="8"/>
  <c r="W2809" i="8"/>
  <c r="U2809" i="8"/>
  <c r="P2809" i="8"/>
  <c r="M2809" i="8"/>
  <c r="J2809" i="8"/>
  <c r="H2809" i="8"/>
  <c r="B2809" i="8"/>
  <c r="A2809" i="8"/>
  <c r="AA2808" i="8"/>
  <c r="W2808" i="8"/>
  <c r="U2808" i="8"/>
  <c r="P2808" i="8"/>
  <c r="M2808" i="8"/>
  <c r="J2808" i="8"/>
  <c r="H2808" i="8"/>
  <c r="B2808" i="8"/>
  <c r="A2808" i="8"/>
  <c r="AA2807" i="8"/>
  <c r="W2807" i="8"/>
  <c r="U2807" i="8"/>
  <c r="R2807" i="8"/>
  <c r="Q2807" i="8"/>
  <c r="P2807" i="8"/>
  <c r="M2807" i="8"/>
  <c r="J2807" i="8"/>
  <c r="H2807" i="8"/>
  <c r="B2807" i="8"/>
  <c r="A2807" i="8"/>
  <c r="AA2806" i="8"/>
  <c r="W2806" i="8"/>
  <c r="U2806" i="8"/>
  <c r="P2806" i="8"/>
  <c r="M2806" i="8"/>
  <c r="J2806" i="8"/>
  <c r="H2806" i="8"/>
  <c r="B2806" i="8"/>
  <c r="A2806" i="8"/>
  <c r="AA2805" i="8"/>
  <c r="W2805" i="8"/>
  <c r="U2805" i="8"/>
  <c r="P2805" i="8"/>
  <c r="M2805" i="8"/>
  <c r="J2805" i="8"/>
  <c r="H2805" i="8"/>
  <c r="B2805" i="8"/>
  <c r="A2805" i="8"/>
  <c r="AA2804" i="8"/>
  <c r="W2804" i="8"/>
  <c r="U2804" i="8"/>
  <c r="P2804" i="8"/>
  <c r="M2804" i="8"/>
  <c r="J2804" i="8"/>
  <c r="H2804" i="8"/>
  <c r="B2804" i="8"/>
  <c r="A2804" i="8"/>
  <c r="AA2803" i="8"/>
  <c r="W2803" i="8"/>
  <c r="U2803" i="8"/>
  <c r="P2803" i="8"/>
  <c r="M2803" i="8"/>
  <c r="J2803" i="8"/>
  <c r="H2803" i="8"/>
  <c r="B2803" i="8"/>
  <c r="A2803" i="8"/>
  <c r="AA2802" i="8"/>
  <c r="W2802" i="8"/>
  <c r="U2802" i="8"/>
  <c r="P2802" i="8"/>
  <c r="M2802" i="8"/>
  <c r="J2802" i="8"/>
  <c r="H2802" i="8"/>
  <c r="B2802" i="8"/>
  <c r="A2802" i="8"/>
  <c r="AA2801" i="8"/>
  <c r="W2801" i="8"/>
  <c r="U2801" i="8"/>
  <c r="P2801" i="8"/>
  <c r="M2801" i="8"/>
  <c r="J2801" i="8"/>
  <c r="H2801" i="8"/>
  <c r="B2801" i="8"/>
  <c r="A2801" i="8"/>
  <c r="AA2800" i="8"/>
  <c r="W2800" i="8"/>
  <c r="U2800" i="8"/>
  <c r="P2800" i="8"/>
  <c r="M2800" i="8"/>
  <c r="J2800" i="8"/>
  <c r="H2800" i="8"/>
  <c r="B2800" i="8"/>
  <c r="A2800" i="8"/>
  <c r="AA2799" i="8"/>
  <c r="W2799" i="8"/>
  <c r="U2799" i="8"/>
  <c r="P2799" i="8"/>
  <c r="M2799" i="8"/>
  <c r="J2799" i="8"/>
  <c r="H2799" i="8"/>
  <c r="B2799" i="8"/>
  <c r="A2799" i="8"/>
  <c r="AA2798" i="8"/>
  <c r="W2798" i="8"/>
  <c r="U2798" i="8"/>
  <c r="P2798" i="8"/>
  <c r="M2798" i="8"/>
  <c r="J2798" i="8"/>
  <c r="H2798" i="8"/>
  <c r="B2798" i="8"/>
  <c r="A2798" i="8"/>
  <c r="AA2797" i="8"/>
  <c r="W2797" i="8"/>
  <c r="U2797" i="8"/>
  <c r="P2797" i="8"/>
  <c r="M2797" i="8"/>
  <c r="J2797" i="8"/>
  <c r="H2797" i="8"/>
  <c r="B2797" i="8"/>
  <c r="A2797" i="8"/>
  <c r="AA2796" i="8"/>
  <c r="W2796" i="8"/>
  <c r="U2796" i="8"/>
  <c r="P2796" i="8"/>
  <c r="M2796" i="8"/>
  <c r="J2796" i="8"/>
  <c r="H2796" i="8"/>
  <c r="B2796" i="8"/>
  <c r="A2796" i="8"/>
  <c r="AA2795" i="8"/>
  <c r="W2795" i="8"/>
  <c r="U2795" i="8"/>
  <c r="P2795" i="8"/>
  <c r="M2795" i="8"/>
  <c r="J2795" i="8"/>
  <c r="H2795" i="8"/>
  <c r="B2795" i="8"/>
  <c r="A2795" i="8"/>
  <c r="AA2794" i="8"/>
  <c r="W2794" i="8"/>
  <c r="U2794" i="8"/>
  <c r="P2794" i="8"/>
  <c r="M2794" i="8"/>
  <c r="J2794" i="8"/>
  <c r="H2794" i="8"/>
  <c r="B2794" i="8"/>
  <c r="A2794" i="8"/>
  <c r="AA2793" i="8"/>
  <c r="W2793" i="8"/>
  <c r="U2793" i="8"/>
  <c r="P2793" i="8"/>
  <c r="M2793" i="8"/>
  <c r="J2793" i="8"/>
  <c r="H2793" i="8"/>
  <c r="B2793" i="8"/>
  <c r="A2793" i="8"/>
  <c r="AA2792" i="8"/>
  <c r="W2792" i="8"/>
  <c r="U2792" i="8"/>
  <c r="P2792" i="8"/>
  <c r="M2792" i="8"/>
  <c r="J2792" i="8"/>
  <c r="H2792" i="8"/>
  <c r="B2792" i="8"/>
  <c r="A2792" i="8"/>
  <c r="AA2791" i="8"/>
  <c r="W2791" i="8"/>
  <c r="U2791" i="8"/>
  <c r="P2791" i="8"/>
  <c r="M2791" i="8"/>
  <c r="J2791" i="8"/>
  <c r="H2791" i="8"/>
  <c r="B2791" i="8"/>
  <c r="A2791" i="8"/>
  <c r="AA2790" i="8"/>
  <c r="W2790" i="8"/>
  <c r="U2790" i="8"/>
  <c r="P2790" i="8"/>
  <c r="M2790" i="8"/>
  <c r="J2790" i="8"/>
  <c r="H2790" i="8"/>
  <c r="B2790" i="8"/>
  <c r="A2790" i="8"/>
  <c r="AA2789" i="8"/>
  <c r="W2789" i="8"/>
  <c r="U2789" i="8"/>
  <c r="P2789" i="8"/>
  <c r="M2789" i="8"/>
  <c r="J2789" i="8"/>
  <c r="H2789" i="8"/>
  <c r="B2789" i="8"/>
  <c r="A2789" i="8"/>
  <c r="AA2788" i="8"/>
  <c r="W2788" i="8"/>
  <c r="U2788" i="8"/>
  <c r="P2788" i="8"/>
  <c r="M2788" i="8"/>
  <c r="J2788" i="8"/>
  <c r="H2788" i="8"/>
  <c r="B2788" i="8"/>
  <c r="A2788" i="8"/>
  <c r="AA2787" i="8"/>
  <c r="W2787" i="8"/>
  <c r="U2787" i="8"/>
  <c r="P2787" i="8"/>
  <c r="M2787" i="8"/>
  <c r="J2787" i="8"/>
  <c r="H2787" i="8"/>
  <c r="B2787" i="8"/>
  <c r="A2787" i="8"/>
  <c r="AA2786" i="8"/>
  <c r="W2786" i="8"/>
  <c r="U2786" i="8"/>
  <c r="P2786" i="8"/>
  <c r="M2786" i="8"/>
  <c r="J2786" i="8"/>
  <c r="H2786" i="8"/>
  <c r="B2786" i="8"/>
  <c r="A2786" i="8"/>
  <c r="AA2785" i="8"/>
  <c r="W2785" i="8"/>
  <c r="U2785" i="8"/>
  <c r="P2785" i="8"/>
  <c r="M2785" i="8"/>
  <c r="J2785" i="8"/>
  <c r="H2785" i="8"/>
  <c r="B2785" i="8"/>
  <c r="A2785" i="8"/>
  <c r="AA2784" i="8"/>
  <c r="W2784" i="8"/>
  <c r="U2784" i="8"/>
  <c r="P2784" i="8"/>
  <c r="M2784" i="8"/>
  <c r="J2784" i="8"/>
  <c r="H2784" i="8"/>
  <c r="B2784" i="8"/>
  <c r="A2784" i="8"/>
  <c r="AA2783" i="8"/>
  <c r="W2783" i="8"/>
  <c r="U2783" i="8"/>
  <c r="P2783" i="8"/>
  <c r="M2783" i="8"/>
  <c r="J2783" i="8"/>
  <c r="H2783" i="8"/>
  <c r="B2783" i="8"/>
  <c r="A2783" i="8"/>
  <c r="AA2782" i="8"/>
  <c r="W2782" i="8"/>
  <c r="U2782" i="8"/>
  <c r="P2782" i="8"/>
  <c r="M2782" i="8"/>
  <c r="J2782" i="8"/>
  <c r="H2782" i="8"/>
  <c r="B2782" i="8"/>
  <c r="A2782" i="8"/>
  <c r="AA2781" i="8"/>
  <c r="W2781" i="8"/>
  <c r="U2781" i="8"/>
  <c r="R2781" i="8"/>
  <c r="Q2781" i="8"/>
  <c r="P2781" i="8"/>
  <c r="M2781" i="8"/>
  <c r="J2781" i="8"/>
  <c r="H2781" i="8"/>
  <c r="B2781" i="8"/>
  <c r="A2781" i="8"/>
  <c r="AA2780" i="8"/>
  <c r="W2780" i="8"/>
  <c r="U2780" i="8"/>
  <c r="P2780" i="8"/>
  <c r="M2780" i="8"/>
  <c r="J2780" i="8"/>
  <c r="H2780" i="8"/>
  <c r="B2780" i="8"/>
  <c r="A2780" i="8"/>
  <c r="AA2779" i="8"/>
  <c r="W2779" i="8"/>
  <c r="U2779" i="8"/>
  <c r="P2779" i="8"/>
  <c r="M2779" i="8"/>
  <c r="J2779" i="8"/>
  <c r="H2779" i="8"/>
  <c r="B2779" i="8"/>
  <c r="A2779" i="8"/>
  <c r="AA2778" i="8"/>
  <c r="W2778" i="8"/>
  <c r="U2778" i="8"/>
  <c r="P2778" i="8"/>
  <c r="M2778" i="8"/>
  <c r="J2778" i="8"/>
  <c r="H2778" i="8"/>
  <c r="B2778" i="8"/>
  <c r="A2778" i="8"/>
  <c r="AA2777" i="8"/>
  <c r="W2777" i="8"/>
  <c r="U2777" i="8"/>
  <c r="R2777" i="8"/>
  <c r="Q2777" i="8"/>
  <c r="P2777" i="8"/>
  <c r="M2777" i="8"/>
  <c r="J2777" i="8"/>
  <c r="H2777" i="8"/>
  <c r="B2777" i="8"/>
  <c r="A2777" i="8"/>
  <c r="AA2776" i="8"/>
  <c r="W2776" i="8"/>
  <c r="U2776" i="8"/>
  <c r="P2776" i="8"/>
  <c r="M2776" i="8"/>
  <c r="J2776" i="8"/>
  <c r="H2776" i="8"/>
  <c r="B2776" i="8"/>
  <c r="A2776" i="8"/>
  <c r="AA2775" i="8"/>
  <c r="W2775" i="8"/>
  <c r="U2775" i="8"/>
  <c r="R2775" i="8"/>
  <c r="Q2775" i="8"/>
  <c r="P2775" i="8"/>
  <c r="M2775" i="8"/>
  <c r="J2775" i="8"/>
  <c r="H2775" i="8"/>
  <c r="B2775" i="8"/>
  <c r="A2775" i="8"/>
  <c r="AA2774" i="8"/>
  <c r="W2774" i="8"/>
  <c r="U2774" i="8"/>
  <c r="P2774" i="8"/>
  <c r="M2774" i="8"/>
  <c r="J2774" i="8"/>
  <c r="H2774" i="8"/>
  <c r="B2774" i="8"/>
  <c r="A2774" i="8"/>
  <c r="AA2773" i="8"/>
  <c r="W2773" i="8"/>
  <c r="U2773" i="8"/>
  <c r="P2773" i="8"/>
  <c r="M2773" i="8"/>
  <c r="J2773" i="8"/>
  <c r="H2773" i="8"/>
  <c r="B2773" i="8"/>
  <c r="A2773" i="8"/>
  <c r="AA2772" i="8"/>
  <c r="W2772" i="8"/>
  <c r="U2772" i="8"/>
  <c r="R2772" i="8"/>
  <c r="Q2772" i="8"/>
  <c r="P2772" i="8"/>
  <c r="M2772" i="8"/>
  <c r="J2772" i="8"/>
  <c r="H2772" i="8"/>
  <c r="B2772" i="8"/>
  <c r="A2772" i="8"/>
  <c r="AA2771" i="8"/>
  <c r="W2771" i="8"/>
  <c r="U2771" i="8"/>
  <c r="P2771" i="8"/>
  <c r="M2771" i="8"/>
  <c r="J2771" i="8"/>
  <c r="H2771" i="8"/>
  <c r="B2771" i="8"/>
  <c r="A2771" i="8"/>
  <c r="AA2770" i="8"/>
  <c r="W2770" i="8"/>
  <c r="U2770" i="8"/>
  <c r="P2770" i="8"/>
  <c r="M2770" i="8"/>
  <c r="J2770" i="8"/>
  <c r="H2770" i="8"/>
  <c r="B2770" i="8"/>
  <c r="A2770" i="8"/>
  <c r="AA2769" i="8"/>
  <c r="W2769" i="8"/>
  <c r="U2769" i="8"/>
  <c r="P2769" i="8"/>
  <c r="M2769" i="8"/>
  <c r="J2769" i="8"/>
  <c r="H2769" i="8"/>
  <c r="B2769" i="8"/>
  <c r="A2769" i="8"/>
  <c r="AA2768" i="8"/>
  <c r="W2768" i="8"/>
  <c r="U2768" i="8"/>
  <c r="P2768" i="8"/>
  <c r="M2768" i="8"/>
  <c r="J2768" i="8"/>
  <c r="H2768" i="8"/>
  <c r="B2768" i="8"/>
  <c r="A2768" i="8"/>
  <c r="AA2767" i="8"/>
  <c r="W2767" i="8"/>
  <c r="U2767" i="8"/>
  <c r="P2767" i="8"/>
  <c r="M2767" i="8"/>
  <c r="J2767" i="8"/>
  <c r="H2767" i="8"/>
  <c r="B2767" i="8"/>
  <c r="A2767" i="8"/>
  <c r="AA2766" i="8"/>
  <c r="W2766" i="8"/>
  <c r="U2766" i="8"/>
  <c r="P2766" i="8"/>
  <c r="M2766" i="8"/>
  <c r="J2766" i="8"/>
  <c r="H2766" i="8"/>
  <c r="B2766" i="8"/>
  <c r="A2766" i="8"/>
  <c r="AA2765" i="8"/>
  <c r="W2765" i="8"/>
  <c r="U2765" i="8"/>
  <c r="P2765" i="8"/>
  <c r="M2765" i="8"/>
  <c r="J2765" i="8"/>
  <c r="H2765" i="8"/>
  <c r="B2765" i="8"/>
  <c r="A2765" i="8"/>
  <c r="AA2764" i="8"/>
  <c r="W2764" i="8"/>
  <c r="U2764" i="8"/>
  <c r="P2764" i="8"/>
  <c r="M2764" i="8"/>
  <c r="J2764" i="8"/>
  <c r="H2764" i="8"/>
  <c r="B2764" i="8"/>
  <c r="A2764" i="8"/>
  <c r="AA2763" i="8"/>
  <c r="W2763" i="8"/>
  <c r="U2763" i="8"/>
  <c r="P2763" i="8"/>
  <c r="M2763" i="8"/>
  <c r="J2763" i="8"/>
  <c r="H2763" i="8"/>
  <c r="B2763" i="8"/>
  <c r="A2763" i="8"/>
  <c r="AA2762" i="8"/>
  <c r="W2762" i="8"/>
  <c r="U2762" i="8"/>
  <c r="P2762" i="8"/>
  <c r="M2762" i="8"/>
  <c r="J2762" i="8"/>
  <c r="H2762" i="8"/>
  <c r="B2762" i="8"/>
  <c r="A2762" i="8"/>
  <c r="AA2761" i="8"/>
  <c r="W2761" i="8"/>
  <c r="U2761" i="8"/>
  <c r="R2761" i="8"/>
  <c r="Q2761" i="8"/>
  <c r="P2761" i="8"/>
  <c r="M2761" i="8"/>
  <c r="J2761" i="8"/>
  <c r="H2761" i="8"/>
  <c r="B2761" i="8"/>
  <c r="A2761" i="8"/>
  <c r="AA2760" i="8"/>
  <c r="W2760" i="8"/>
  <c r="U2760" i="8"/>
  <c r="P2760" i="8"/>
  <c r="M2760" i="8"/>
  <c r="J2760" i="8"/>
  <c r="H2760" i="8"/>
  <c r="B2760" i="8"/>
  <c r="A2760" i="8"/>
  <c r="AA2759" i="8"/>
  <c r="W2759" i="8"/>
  <c r="U2759" i="8"/>
  <c r="P2759" i="8"/>
  <c r="M2759" i="8"/>
  <c r="J2759" i="8"/>
  <c r="H2759" i="8"/>
  <c r="B2759" i="8"/>
  <c r="A2759" i="8"/>
  <c r="AA2758" i="8"/>
  <c r="W2758" i="8"/>
  <c r="U2758" i="8"/>
  <c r="P2758" i="8"/>
  <c r="M2758" i="8"/>
  <c r="J2758" i="8"/>
  <c r="H2758" i="8"/>
  <c r="B2758" i="8"/>
  <c r="A2758" i="8"/>
  <c r="AA2757" i="8"/>
  <c r="W2757" i="8"/>
  <c r="U2757" i="8"/>
  <c r="P2757" i="8"/>
  <c r="M2757" i="8"/>
  <c r="J2757" i="8"/>
  <c r="H2757" i="8"/>
  <c r="B2757" i="8"/>
  <c r="A2757" i="8"/>
  <c r="AA2756" i="8"/>
  <c r="W2756" i="8"/>
  <c r="U2756" i="8"/>
  <c r="P2756" i="8"/>
  <c r="M2756" i="8"/>
  <c r="J2756" i="8"/>
  <c r="H2756" i="8"/>
  <c r="B2756" i="8"/>
  <c r="A2756" i="8"/>
  <c r="AA2755" i="8"/>
  <c r="W2755" i="8"/>
  <c r="U2755" i="8"/>
  <c r="P2755" i="8"/>
  <c r="M2755" i="8"/>
  <c r="J2755" i="8"/>
  <c r="H2755" i="8"/>
  <c r="B2755" i="8"/>
  <c r="A2755" i="8"/>
  <c r="AA2754" i="8"/>
  <c r="W2754" i="8"/>
  <c r="U2754" i="8"/>
  <c r="P2754" i="8"/>
  <c r="M2754" i="8"/>
  <c r="J2754" i="8"/>
  <c r="H2754" i="8"/>
  <c r="B2754" i="8"/>
  <c r="A2754" i="8"/>
  <c r="AA2753" i="8"/>
  <c r="W2753" i="8"/>
  <c r="U2753" i="8"/>
  <c r="P2753" i="8"/>
  <c r="M2753" i="8"/>
  <c r="J2753" i="8"/>
  <c r="H2753" i="8"/>
  <c r="B2753" i="8"/>
  <c r="A2753" i="8"/>
  <c r="AA2752" i="8"/>
  <c r="W2752" i="8"/>
  <c r="U2752" i="8"/>
  <c r="R2752" i="8"/>
  <c r="Q2752" i="8"/>
  <c r="P2752" i="8"/>
  <c r="M2752" i="8"/>
  <c r="J2752" i="8"/>
  <c r="H2752" i="8"/>
  <c r="B2752" i="8"/>
  <c r="A2752" i="8"/>
  <c r="AA2751" i="8"/>
  <c r="W2751" i="8"/>
  <c r="U2751" i="8"/>
  <c r="R2751" i="8"/>
  <c r="Q2751" i="8"/>
  <c r="P2751" i="8"/>
  <c r="M2751" i="8"/>
  <c r="J2751" i="8"/>
  <c r="H2751" i="8"/>
  <c r="B2751" i="8"/>
  <c r="A2751" i="8"/>
  <c r="AA2750" i="8"/>
  <c r="W2750" i="8"/>
  <c r="U2750" i="8"/>
  <c r="P2750" i="8"/>
  <c r="M2750" i="8"/>
  <c r="J2750" i="8"/>
  <c r="H2750" i="8"/>
  <c r="B2750" i="8"/>
  <c r="A2750" i="8"/>
  <c r="AA2749" i="8"/>
  <c r="W2749" i="8"/>
  <c r="U2749" i="8"/>
  <c r="R2749" i="8"/>
  <c r="Q2749" i="8"/>
  <c r="P2749" i="8"/>
  <c r="M2749" i="8"/>
  <c r="J2749" i="8"/>
  <c r="H2749" i="8"/>
  <c r="B2749" i="8"/>
  <c r="A2749" i="8"/>
  <c r="AA2748" i="8"/>
  <c r="W2748" i="8"/>
  <c r="U2748" i="8"/>
  <c r="R2748" i="8"/>
  <c r="Q2748" i="8"/>
  <c r="P2748" i="8"/>
  <c r="M2748" i="8"/>
  <c r="J2748" i="8"/>
  <c r="H2748" i="8"/>
  <c r="B2748" i="8"/>
  <c r="A2748" i="8"/>
  <c r="AA2747" i="8"/>
  <c r="W2747" i="8"/>
  <c r="U2747" i="8"/>
  <c r="P2747" i="8"/>
  <c r="M2747" i="8"/>
  <c r="J2747" i="8"/>
  <c r="H2747" i="8"/>
  <c r="B2747" i="8"/>
  <c r="A2747" i="8"/>
  <c r="AA2746" i="8"/>
  <c r="W2746" i="8"/>
  <c r="U2746" i="8"/>
  <c r="P2746" i="8"/>
  <c r="M2746" i="8"/>
  <c r="J2746" i="8"/>
  <c r="H2746" i="8"/>
  <c r="B2746" i="8"/>
  <c r="A2746" i="8"/>
  <c r="AA2745" i="8"/>
  <c r="W2745" i="8"/>
  <c r="U2745" i="8"/>
  <c r="P2745" i="8"/>
  <c r="M2745" i="8"/>
  <c r="J2745" i="8"/>
  <c r="H2745" i="8"/>
  <c r="B2745" i="8"/>
  <c r="A2745" i="8"/>
  <c r="AA2744" i="8"/>
  <c r="W2744" i="8"/>
  <c r="U2744" i="8"/>
  <c r="P2744" i="8"/>
  <c r="M2744" i="8"/>
  <c r="J2744" i="8"/>
  <c r="H2744" i="8"/>
  <c r="B2744" i="8"/>
  <c r="A2744" i="8"/>
  <c r="AA2743" i="8"/>
  <c r="W2743" i="8"/>
  <c r="U2743" i="8"/>
  <c r="P2743" i="8"/>
  <c r="M2743" i="8"/>
  <c r="J2743" i="8"/>
  <c r="H2743" i="8"/>
  <c r="B2743" i="8"/>
  <c r="A2743" i="8"/>
  <c r="AA2742" i="8"/>
  <c r="W2742" i="8"/>
  <c r="U2742" i="8"/>
  <c r="P2742" i="8"/>
  <c r="M2742" i="8"/>
  <c r="J2742" i="8"/>
  <c r="H2742" i="8"/>
  <c r="B2742" i="8"/>
  <c r="A2742" i="8"/>
  <c r="AA2741" i="8"/>
  <c r="W2741" i="8"/>
  <c r="U2741" i="8"/>
  <c r="P2741" i="8"/>
  <c r="M2741" i="8"/>
  <c r="J2741" i="8"/>
  <c r="H2741" i="8"/>
  <c r="B2741" i="8"/>
  <c r="A2741" i="8"/>
  <c r="AA2740" i="8"/>
  <c r="W2740" i="8"/>
  <c r="U2740" i="8"/>
  <c r="P2740" i="8"/>
  <c r="M2740" i="8"/>
  <c r="J2740" i="8"/>
  <c r="H2740" i="8"/>
  <c r="B2740" i="8"/>
  <c r="A2740" i="8"/>
  <c r="AA2739" i="8"/>
  <c r="W2739" i="8"/>
  <c r="U2739" i="8"/>
  <c r="P2739" i="8"/>
  <c r="M2739" i="8"/>
  <c r="J2739" i="8"/>
  <c r="H2739" i="8"/>
  <c r="B2739" i="8"/>
  <c r="A2739" i="8"/>
  <c r="AA2738" i="8"/>
  <c r="W2738" i="8"/>
  <c r="U2738" i="8"/>
  <c r="P2738" i="8"/>
  <c r="M2738" i="8"/>
  <c r="J2738" i="8"/>
  <c r="H2738" i="8"/>
  <c r="B2738" i="8"/>
  <c r="A2738" i="8"/>
  <c r="AA2737" i="8"/>
  <c r="W2737" i="8"/>
  <c r="U2737" i="8"/>
  <c r="P2737" i="8"/>
  <c r="M2737" i="8"/>
  <c r="J2737" i="8"/>
  <c r="H2737" i="8"/>
  <c r="B2737" i="8"/>
  <c r="A2737" i="8"/>
  <c r="AA2736" i="8"/>
  <c r="W2736" i="8"/>
  <c r="U2736" i="8"/>
  <c r="P2736" i="8"/>
  <c r="M2736" i="8"/>
  <c r="J2736" i="8"/>
  <c r="H2736" i="8"/>
  <c r="B2736" i="8"/>
  <c r="A2736" i="8"/>
  <c r="AA2735" i="8"/>
  <c r="W2735" i="8"/>
  <c r="U2735" i="8"/>
  <c r="R2735" i="8"/>
  <c r="Q2735" i="8"/>
  <c r="P2735" i="8"/>
  <c r="M2735" i="8"/>
  <c r="J2735" i="8"/>
  <c r="H2735" i="8"/>
  <c r="B2735" i="8"/>
  <c r="A2735" i="8"/>
  <c r="AA2734" i="8"/>
  <c r="W2734" i="8"/>
  <c r="U2734" i="8"/>
  <c r="P2734" i="8"/>
  <c r="M2734" i="8"/>
  <c r="J2734" i="8"/>
  <c r="H2734" i="8"/>
  <c r="B2734" i="8"/>
  <c r="A2734" i="8"/>
  <c r="AA2733" i="8"/>
  <c r="W2733" i="8"/>
  <c r="U2733" i="8"/>
  <c r="P2733" i="8"/>
  <c r="M2733" i="8"/>
  <c r="J2733" i="8"/>
  <c r="H2733" i="8"/>
  <c r="B2733" i="8"/>
  <c r="A2733" i="8"/>
  <c r="AA2732" i="8"/>
  <c r="W2732" i="8"/>
  <c r="U2732" i="8"/>
  <c r="P2732" i="8"/>
  <c r="M2732" i="8"/>
  <c r="J2732" i="8"/>
  <c r="H2732" i="8"/>
  <c r="B2732" i="8"/>
  <c r="A2732" i="8"/>
  <c r="AA2731" i="8"/>
  <c r="W2731" i="8"/>
  <c r="U2731" i="8"/>
  <c r="P2731" i="8"/>
  <c r="M2731" i="8"/>
  <c r="J2731" i="8"/>
  <c r="H2731" i="8"/>
  <c r="B2731" i="8"/>
  <c r="A2731" i="8"/>
  <c r="AA2730" i="8"/>
  <c r="W2730" i="8"/>
  <c r="U2730" i="8"/>
  <c r="R2730" i="8"/>
  <c r="Q2730" i="8"/>
  <c r="P2730" i="8"/>
  <c r="M2730" i="8"/>
  <c r="J2730" i="8"/>
  <c r="H2730" i="8"/>
  <c r="B2730" i="8"/>
  <c r="A2730" i="8"/>
  <c r="AA2729" i="8"/>
  <c r="W2729" i="8"/>
  <c r="U2729" i="8"/>
  <c r="P2729" i="8"/>
  <c r="M2729" i="8"/>
  <c r="J2729" i="8"/>
  <c r="H2729" i="8"/>
  <c r="B2729" i="8"/>
  <c r="A2729" i="8"/>
  <c r="AA2728" i="8"/>
  <c r="W2728" i="8"/>
  <c r="U2728" i="8"/>
  <c r="P2728" i="8"/>
  <c r="M2728" i="8"/>
  <c r="J2728" i="8"/>
  <c r="H2728" i="8"/>
  <c r="B2728" i="8"/>
  <c r="A2728" i="8"/>
  <c r="AA2727" i="8"/>
  <c r="W2727" i="8"/>
  <c r="U2727" i="8"/>
  <c r="P2727" i="8"/>
  <c r="M2727" i="8"/>
  <c r="J2727" i="8"/>
  <c r="H2727" i="8"/>
  <c r="B2727" i="8"/>
  <c r="A2727" i="8"/>
  <c r="AA2726" i="8"/>
  <c r="W2726" i="8"/>
  <c r="U2726" i="8"/>
  <c r="P2726" i="8"/>
  <c r="M2726" i="8"/>
  <c r="J2726" i="8"/>
  <c r="H2726" i="8"/>
  <c r="B2726" i="8"/>
  <c r="A2726" i="8"/>
  <c r="AA2725" i="8"/>
  <c r="W2725" i="8"/>
  <c r="U2725" i="8"/>
  <c r="P2725" i="8"/>
  <c r="M2725" i="8"/>
  <c r="J2725" i="8"/>
  <c r="H2725" i="8"/>
  <c r="B2725" i="8"/>
  <c r="A2725" i="8"/>
  <c r="AA2724" i="8"/>
  <c r="W2724" i="8"/>
  <c r="U2724" i="8"/>
  <c r="P2724" i="8"/>
  <c r="M2724" i="8"/>
  <c r="J2724" i="8"/>
  <c r="H2724" i="8"/>
  <c r="B2724" i="8"/>
  <c r="A2724" i="8"/>
  <c r="AA2723" i="8"/>
  <c r="W2723" i="8"/>
  <c r="U2723" i="8"/>
  <c r="P2723" i="8"/>
  <c r="M2723" i="8"/>
  <c r="J2723" i="8"/>
  <c r="H2723" i="8"/>
  <c r="B2723" i="8"/>
  <c r="A2723" i="8"/>
  <c r="AA2722" i="8"/>
  <c r="W2722" i="8"/>
  <c r="U2722" i="8"/>
  <c r="P2722" i="8"/>
  <c r="M2722" i="8"/>
  <c r="J2722" i="8"/>
  <c r="H2722" i="8"/>
  <c r="B2722" i="8"/>
  <c r="A2722" i="8"/>
  <c r="AA2721" i="8"/>
  <c r="W2721" i="8"/>
  <c r="U2721" i="8"/>
  <c r="P2721" i="8"/>
  <c r="M2721" i="8"/>
  <c r="J2721" i="8"/>
  <c r="H2721" i="8"/>
  <c r="B2721" i="8"/>
  <c r="A2721" i="8"/>
  <c r="AA2720" i="8"/>
  <c r="W2720" i="8"/>
  <c r="U2720" i="8"/>
  <c r="P2720" i="8"/>
  <c r="M2720" i="8"/>
  <c r="J2720" i="8"/>
  <c r="H2720" i="8"/>
  <c r="B2720" i="8"/>
  <c r="A2720" i="8"/>
  <c r="AA2719" i="8"/>
  <c r="W2719" i="8"/>
  <c r="U2719" i="8"/>
  <c r="P2719" i="8"/>
  <c r="M2719" i="8"/>
  <c r="J2719" i="8"/>
  <c r="H2719" i="8"/>
  <c r="B2719" i="8"/>
  <c r="A2719" i="8"/>
  <c r="AA2718" i="8"/>
  <c r="W2718" i="8"/>
  <c r="U2718" i="8"/>
  <c r="P2718" i="8"/>
  <c r="M2718" i="8"/>
  <c r="J2718" i="8"/>
  <c r="H2718" i="8"/>
  <c r="B2718" i="8"/>
  <c r="A2718" i="8"/>
  <c r="AA2717" i="8"/>
  <c r="W2717" i="8"/>
  <c r="U2717" i="8"/>
  <c r="P2717" i="8"/>
  <c r="M2717" i="8"/>
  <c r="J2717" i="8"/>
  <c r="H2717" i="8"/>
  <c r="B2717" i="8"/>
  <c r="A2717" i="8"/>
  <c r="AA2716" i="8"/>
  <c r="W2716" i="8"/>
  <c r="U2716" i="8"/>
  <c r="P2716" i="8"/>
  <c r="M2716" i="8"/>
  <c r="J2716" i="8"/>
  <c r="H2716" i="8"/>
  <c r="B2716" i="8"/>
  <c r="A2716" i="8"/>
  <c r="AA2715" i="8"/>
  <c r="W2715" i="8"/>
  <c r="U2715" i="8"/>
  <c r="P2715" i="8"/>
  <c r="M2715" i="8"/>
  <c r="J2715" i="8"/>
  <c r="H2715" i="8"/>
  <c r="B2715" i="8"/>
  <c r="A2715" i="8"/>
  <c r="AA2714" i="8"/>
  <c r="W2714" i="8"/>
  <c r="U2714" i="8"/>
  <c r="P2714" i="8"/>
  <c r="M2714" i="8"/>
  <c r="J2714" i="8"/>
  <c r="H2714" i="8"/>
  <c r="B2714" i="8"/>
  <c r="A2714" i="8"/>
  <c r="AA2713" i="8"/>
  <c r="W2713" i="8"/>
  <c r="U2713" i="8"/>
  <c r="P2713" i="8"/>
  <c r="M2713" i="8"/>
  <c r="J2713" i="8"/>
  <c r="H2713" i="8"/>
  <c r="B2713" i="8"/>
  <c r="A2713" i="8"/>
  <c r="AA2712" i="8"/>
  <c r="W2712" i="8"/>
  <c r="U2712" i="8"/>
  <c r="P2712" i="8"/>
  <c r="M2712" i="8"/>
  <c r="J2712" i="8"/>
  <c r="H2712" i="8"/>
  <c r="B2712" i="8"/>
  <c r="A2712" i="8"/>
  <c r="AA2711" i="8"/>
  <c r="W2711" i="8"/>
  <c r="U2711" i="8"/>
  <c r="P2711" i="8"/>
  <c r="M2711" i="8"/>
  <c r="J2711" i="8"/>
  <c r="H2711" i="8"/>
  <c r="B2711" i="8"/>
  <c r="A2711" i="8"/>
  <c r="AA2710" i="8"/>
  <c r="W2710" i="8"/>
  <c r="U2710" i="8"/>
  <c r="P2710" i="8"/>
  <c r="M2710" i="8"/>
  <c r="J2710" i="8"/>
  <c r="H2710" i="8"/>
  <c r="B2710" i="8"/>
  <c r="A2710" i="8"/>
  <c r="AA2709" i="8"/>
  <c r="W2709" i="8"/>
  <c r="U2709" i="8"/>
  <c r="P2709" i="8"/>
  <c r="M2709" i="8"/>
  <c r="J2709" i="8"/>
  <c r="H2709" i="8"/>
  <c r="B2709" i="8"/>
  <c r="A2709" i="8"/>
  <c r="AA2708" i="8"/>
  <c r="W2708" i="8"/>
  <c r="U2708" i="8"/>
  <c r="P2708" i="8"/>
  <c r="M2708" i="8"/>
  <c r="J2708" i="8"/>
  <c r="H2708" i="8"/>
  <c r="B2708" i="8"/>
  <c r="A2708" i="8"/>
  <c r="AA2707" i="8"/>
  <c r="W2707" i="8"/>
  <c r="U2707" i="8"/>
  <c r="P2707" i="8"/>
  <c r="M2707" i="8"/>
  <c r="J2707" i="8"/>
  <c r="H2707" i="8"/>
  <c r="B2707" i="8"/>
  <c r="A2707" i="8"/>
  <c r="AA2706" i="8"/>
  <c r="W2706" i="8"/>
  <c r="U2706" i="8"/>
  <c r="P2706" i="8"/>
  <c r="M2706" i="8"/>
  <c r="J2706" i="8"/>
  <c r="H2706" i="8"/>
  <c r="B2706" i="8"/>
  <c r="A2706" i="8"/>
  <c r="AA2705" i="8"/>
  <c r="W2705" i="8"/>
  <c r="U2705" i="8"/>
  <c r="P2705" i="8"/>
  <c r="M2705" i="8"/>
  <c r="J2705" i="8"/>
  <c r="H2705" i="8"/>
  <c r="B2705" i="8"/>
  <c r="A2705" i="8"/>
  <c r="AA2704" i="8"/>
  <c r="W2704" i="8"/>
  <c r="U2704" i="8"/>
  <c r="P2704" i="8"/>
  <c r="M2704" i="8"/>
  <c r="J2704" i="8"/>
  <c r="H2704" i="8"/>
  <c r="B2704" i="8"/>
  <c r="A2704" i="8"/>
  <c r="AA2703" i="8"/>
  <c r="W2703" i="8"/>
  <c r="U2703" i="8"/>
  <c r="P2703" i="8"/>
  <c r="M2703" i="8"/>
  <c r="J2703" i="8"/>
  <c r="H2703" i="8"/>
  <c r="B2703" i="8"/>
  <c r="A2703" i="8"/>
  <c r="AA2702" i="8"/>
  <c r="W2702" i="8"/>
  <c r="U2702" i="8"/>
  <c r="P2702" i="8"/>
  <c r="M2702" i="8"/>
  <c r="J2702" i="8"/>
  <c r="H2702" i="8"/>
  <c r="B2702" i="8"/>
  <c r="A2702" i="8"/>
  <c r="AA2701" i="8"/>
  <c r="W2701" i="8"/>
  <c r="U2701" i="8"/>
  <c r="P2701" i="8"/>
  <c r="M2701" i="8"/>
  <c r="J2701" i="8"/>
  <c r="H2701" i="8"/>
  <c r="B2701" i="8"/>
  <c r="A2701" i="8"/>
  <c r="AA2700" i="8"/>
  <c r="W2700" i="8"/>
  <c r="U2700" i="8"/>
  <c r="P2700" i="8"/>
  <c r="M2700" i="8"/>
  <c r="J2700" i="8"/>
  <c r="H2700" i="8"/>
  <c r="B2700" i="8"/>
  <c r="A2700" i="8"/>
  <c r="AA2699" i="8"/>
  <c r="W2699" i="8"/>
  <c r="U2699" i="8"/>
  <c r="P2699" i="8"/>
  <c r="M2699" i="8"/>
  <c r="J2699" i="8"/>
  <c r="H2699" i="8"/>
  <c r="B2699" i="8"/>
  <c r="A2699" i="8"/>
  <c r="AA2698" i="8"/>
  <c r="W2698" i="8"/>
  <c r="U2698" i="8"/>
  <c r="P2698" i="8"/>
  <c r="M2698" i="8"/>
  <c r="J2698" i="8"/>
  <c r="H2698" i="8"/>
  <c r="B2698" i="8"/>
  <c r="A2698" i="8"/>
  <c r="AA2697" i="8"/>
  <c r="W2697" i="8"/>
  <c r="U2697" i="8"/>
  <c r="P2697" i="8"/>
  <c r="M2697" i="8"/>
  <c r="J2697" i="8"/>
  <c r="H2697" i="8"/>
  <c r="B2697" i="8"/>
  <c r="A2697" i="8"/>
  <c r="AA2696" i="8"/>
  <c r="W2696" i="8"/>
  <c r="U2696" i="8"/>
  <c r="P2696" i="8"/>
  <c r="M2696" i="8"/>
  <c r="J2696" i="8"/>
  <c r="H2696" i="8"/>
  <c r="B2696" i="8"/>
  <c r="A2696" i="8"/>
  <c r="AA2695" i="8"/>
  <c r="W2695" i="8"/>
  <c r="U2695" i="8"/>
  <c r="R2695" i="8"/>
  <c r="Q2695" i="8"/>
  <c r="P2695" i="8"/>
  <c r="M2695" i="8"/>
  <c r="J2695" i="8"/>
  <c r="H2695" i="8"/>
  <c r="B2695" i="8"/>
  <c r="A2695" i="8"/>
  <c r="AA2694" i="8"/>
  <c r="W2694" i="8"/>
  <c r="U2694" i="8"/>
  <c r="P2694" i="8"/>
  <c r="M2694" i="8"/>
  <c r="J2694" i="8"/>
  <c r="H2694" i="8"/>
  <c r="B2694" i="8"/>
  <c r="A2694" i="8"/>
  <c r="AA2693" i="8"/>
  <c r="W2693" i="8"/>
  <c r="U2693" i="8"/>
  <c r="P2693" i="8"/>
  <c r="M2693" i="8"/>
  <c r="J2693" i="8"/>
  <c r="H2693" i="8"/>
  <c r="B2693" i="8"/>
  <c r="A2693" i="8"/>
  <c r="AA2692" i="8"/>
  <c r="W2692" i="8"/>
  <c r="U2692" i="8"/>
  <c r="P2692" i="8"/>
  <c r="M2692" i="8"/>
  <c r="J2692" i="8"/>
  <c r="H2692" i="8"/>
  <c r="B2692" i="8"/>
  <c r="A2692" i="8"/>
  <c r="AA2691" i="8"/>
  <c r="W2691" i="8"/>
  <c r="U2691" i="8"/>
  <c r="P2691" i="8"/>
  <c r="M2691" i="8"/>
  <c r="J2691" i="8"/>
  <c r="H2691" i="8"/>
  <c r="B2691" i="8"/>
  <c r="A2691" i="8"/>
  <c r="AA2690" i="8"/>
  <c r="W2690" i="8"/>
  <c r="U2690" i="8"/>
  <c r="P2690" i="8"/>
  <c r="M2690" i="8"/>
  <c r="J2690" i="8"/>
  <c r="H2690" i="8"/>
  <c r="B2690" i="8"/>
  <c r="A2690" i="8"/>
  <c r="AA2689" i="8"/>
  <c r="W2689" i="8"/>
  <c r="U2689" i="8"/>
  <c r="P2689" i="8"/>
  <c r="M2689" i="8"/>
  <c r="J2689" i="8"/>
  <c r="H2689" i="8"/>
  <c r="B2689" i="8"/>
  <c r="A2689" i="8"/>
  <c r="AA2688" i="8"/>
  <c r="W2688" i="8"/>
  <c r="U2688" i="8"/>
  <c r="P2688" i="8"/>
  <c r="M2688" i="8"/>
  <c r="J2688" i="8"/>
  <c r="H2688" i="8"/>
  <c r="B2688" i="8"/>
  <c r="A2688" i="8"/>
  <c r="AA2687" i="8"/>
  <c r="W2687" i="8"/>
  <c r="U2687" i="8"/>
  <c r="P2687" i="8"/>
  <c r="M2687" i="8"/>
  <c r="J2687" i="8"/>
  <c r="H2687" i="8"/>
  <c r="B2687" i="8"/>
  <c r="A2687" i="8"/>
  <c r="AA2686" i="8"/>
  <c r="W2686" i="8"/>
  <c r="U2686" i="8"/>
  <c r="P2686" i="8"/>
  <c r="M2686" i="8"/>
  <c r="J2686" i="8"/>
  <c r="H2686" i="8"/>
  <c r="B2686" i="8"/>
  <c r="A2686" i="8"/>
  <c r="AA2685" i="8"/>
  <c r="W2685" i="8"/>
  <c r="U2685" i="8"/>
  <c r="P2685" i="8"/>
  <c r="M2685" i="8"/>
  <c r="J2685" i="8"/>
  <c r="H2685" i="8"/>
  <c r="B2685" i="8"/>
  <c r="A2685" i="8"/>
  <c r="AA2684" i="8"/>
  <c r="W2684" i="8"/>
  <c r="U2684" i="8"/>
  <c r="P2684" i="8"/>
  <c r="M2684" i="8"/>
  <c r="J2684" i="8"/>
  <c r="H2684" i="8"/>
  <c r="B2684" i="8"/>
  <c r="A2684" i="8"/>
  <c r="AA2683" i="8"/>
  <c r="W2683" i="8"/>
  <c r="U2683" i="8"/>
  <c r="P2683" i="8"/>
  <c r="M2683" i="8"/>
  <c r="J2683" i="8"/>
  <c r="H2683" i="8"/>
  <c r="B2683" i="8"/>
  <c r="A2683" i="8"/>
  <c r="AA2682" i="8"/>
  <c r="W2682" i="8"/>
  <c r="U2682" i="8"/>
  <c r="P2682" i="8"/>
  <c r="M2682" i="8"/>
  <c r="J2682" i="8"/>
  <c r="H2682" i="8"/>
  <c r="B2682" i="8"/>
  <c r="A2682" i="8"/>
  <c r="AA2681" i="8"/>
  <c r="W2681" i="8"/>
  <c r="U2681" i="8"/>
  <c r="P2681" i="8"/>
  <c r="M2681" i="8"/>
  <c r="J2681" i="8"/>
  <c r="H2681" i="8"/>
  <c r="B2681" i="8"/>
  <c r="A2681" i="8"/>
  <c r="AA2680" i="8"/>
  <c r="W2680" i="8"/>
  <c r="U2680" i="8"/>
  <c r="P2680" i="8"/>
  <c r="M2680" i="8"/>
  <c r="J2680" i="8"/>
  <c r="H2680" i="8"/>
  <c r="B2680" i="8"/>
  <c r="A2680" i="8"/>
  <c r="AA2679" i="8"/>
  <c r="W2679" i="8"/>
  <c r="U2679" i="8"/>
  <c r="P2679" i="8"/>
  <c r="M2679" i="8"/>
  <c r="J2679" i="8"/>
  <c r="H2679" i="8"/>
  <c r="B2679" i="8"/>
  <c r="A2679" i="8"/>
  <c r="AA2678" i="8"/>
  <c r="W2678" i="8"/>
  <c r="U2678" i="8"/>
  <c r="P2678" i="8"/>
  <c r="M2678" i="8"/>
  <c r="J2678" i="8"/>
  <c r="H2678" i="8"/>
  <c r="B2678" i="8"/>
  <c r="A2678" i="8"/>
  <c r="AA2677" i="8"/>
  <c r="W2677" i="8"/>
  <c r="U2677" i="8"/>
  <c r="P2677" i="8"/>
  <c r="M2677" i="8"/>
  <c r="J2677" i="8"/>
  <c r="H2677" i="8"/>
  <c r="B2677" i="8"/>
  <c r="A2677" i="8"/>
  <c r="AA2676" i="8"/>
  <c r="W2676" i="8"/>
  <c r="U2676" i="8"/>
  <c r="P2676" i="8"/>
  <c r="M2676" i="8"/>
  <c r="J2676" i="8"/>
  <c r="H2676" i="8"/>
  <c r="B2676" i="8"/>
  <c r="A2676" i="8"/>
  <c r="AA2675" i="8"/>
  <c r="W2675" i="8"/>
  <c r="U2675" i="8"/>
  <c r="P2675" i="8"/>
  <c r="M2675" i="8"/>
  <c r="J2675" i="8"/>
  <c r="H2675" i="8"/>
  <c r="B2675" i="8"/>
  <c r="A2675" i="8"/>
  <c r="AA2674" i="8"/>
  <c r="W2674" i="8"/>
  <c r="U2674" i="8"/>
  <c r="P2674" i="8"/>
  <c r="M2674" i="8"/>
  <c r="J2674" i="8"/>
  <c r="H2674" i="8"/>
  <c r="B2674" i="8"/>
  <c r="A2674" i="8"/>
  <c r="AA2673" i="8"/>
  <c r="W2673" i="8"/>
  <c r="U2673" i="8"/>
  <c r="P2673" i="8"/>
  <c r="M2673" i="8"/>
  <c r="J2673" i="8"/>
  <c r="H2673" i="8"/>
  <c r="B2673" i="8"/>
  <c r="A2673" i="8"/>
  <c r="AA2672" i="8"/>
  <c r="W2672" i="8"/>
  <c r="U2672" i="8"/>
  <c r="P2672" i="8"/>
  <c r="M2672" i="8"/>
  <c r="J2672" i="8"/>
  <c r="H2672" i="8"/>
  <c r="B2672" i="8"/>
  <c r="A2672" i="8"/>
  <c r="AA2671" i="8"/>
  <c r="W2671" i="8"/>
  <c r="U2671" i="8"/>
  <c r="P2671" i="8"/>
  <c r="M2671" i="8"/>
  <c r="J2671" i="8"/>
  <c r="H2671" i="8"/>
  <c r="B2671" i="8"/>
  <c r="A2671" i="8"/>
  <c r="AA2670" i="8"/>
  <c r="W2670" i="8"/>
  <c r="U2670" i="8"/>
  <c r="R2670" i="8"/>
  <c r="Q2670" i="8"/>
  <c r="P2670" i="8"/>
  <c r="M2670" i="8"/>
  <c r="J2670" i="8"/>
  <c r="H2670" i="8"/>
  <c r="B2670" i="8"/>
  <c r="A2670" i="8"/>
  <c r="AA2669" i="8"/>
  <c r="W2669" i="8"/>
  <c r="U2669" i="8"/>
  <c r="P2669" i="8"/>
  <c r="M2669" i="8"/>
  <c r="J2669" i="8"/>
  <c r="H2669" i="8"/>
  <c r="B2669" i="8"/>
  <c r="A2669" i="8"/>
  <c r="AA2668" i="8"/>
  <c r="W2668" i="8"/>
  <c r="U2668" i="8"/>
  <c r="P2668" i="8"/>
  <c r="M2668" i="8"/>
  <c r="J2668" i="8"/>
  <c r="H2668" i="8"/>
  <c r="B2668" i="8"/>
  <c r="A2668" i="8"/>
  <c r="AA2667" i="8"/>
  <c r="W2667" i="8"/>
  <c r="U2667" i="8"/>
  <c r="P2667" i="8"/>
  <c r="M2667" i="8"/>
  <c r="J2667" i="8"/>
  <c r="H2667" i="8"/>
  <c r="B2667" i="8"/>
  <c r="A2667" i="8"/>
  <c r="AA2666" i="8"/>
  <c r="W2666" i="8"/>
  <c r="U2666" i="8"/>
  <c r="P2666" i="8"/>
  <c r="M2666" i="8"/>
  <c r="J2666" i="8"/>
  <c r="H2666" i="8"/>
  <c r="B2666" i="8"/>
  <c r="A2666" i="8"/>
  <c r="AA2665" i="8"/>
  <c r="W2665" i="8"/>
  <c r="U2665" i="8"/>
  <c r="P2665" i="8"/>
  <c r="M2665" i="8"/>
  <c r="J2665" i="8"/>
  <c r="H2665" i="8"/>
  <c r="B2665" i="8"/>
  <c r="A2665" i="8"/>
  <c r="AA2664" i="8"/>
  <c r="W2664" i="8"/>
  <c r="U2664" i="8"/>
  <c r="P2664" i="8"/>
  <c r="M2664" i="8"/>
  <c r="J2664" i="8"/>
  <c r="H2664" i="8"/>
  <c r="B2664" i="8"/>
  <c r="A2664" i="8"/>
  <c r="AA2663" i="8"/>
  <c r="W2663" i="8"/>
  <c r="U2663" i="8"/>
  <c r="P2663" i="8"/>
  <c r="M2663" i="8"/>
  <c r="J2663" i="8"/>
  <c r="H2663" i="8"/>
  <c r="B2663" i="8"/>
  <c r="A2663" i="8"/>
  <c r="AA2662" i="8"/>
  <c r="W2662" i="8"/>
  <c r="U2662" i="8"/>
  <c r="R2662" i="8"/>
  <c r="Q2662" i="8"/>
  <c r="P2662" i="8"/>
  <c r="M2662" i="8"/>
  <c r="J2662" i="8"/>
  <c r="H2662" i="8"/>
  <c r="B2662" i="8"/>
  <c r="A2662" i="8"/>
  <c r="AA2661" i="8"/>
  <c r="W2661" i="8"/>
  <c r="U2661" i="8"/>
  <c r="P2661" i="8"/>
  <c r="M2661" i="8"/>
  <c r="J2661" i="8"/>
  <c r="H2661" i="8"/>
  <c r="B2661" i="8"/>
  <c r="A2661" i="8"/>
  <c r="AA2660" i="8"/>
  <c r="W2660" i="8"/>
  <c r="U2660" i="8"/>
  <c r="P2660" i="8"/>
  <c r="M2660" i="8"/>
  <c r="J2660" i="8"/>
  <c r="H2660" i="8"/>
  <c r="B2660" i="8"/>
  <c r="A2660" i="8"/>
  <c r="AA2659" i="8"/>
  <c r="W2659" i="8"/>
  <c r="U2659" i="8"/>
  <c r="P2659" i="8"/>
  <c r="M2659" i="8"/>
  <c r="J2659" i="8"/>
  <c r="H2659" i="8"/>
  <c r="B2659" i="8"/>
  <c r="A2659" i="8"/>
  <c r="AA2658" i="8"/>
  <c r="W2658" i="8"/>
  <c r="U2658" i="8"/>
  <c r="R2658" i="8"/>
  <c r="Q2658" i="8"/>
  <c r="P2658" i="8"/>
  <c r="M2658" i="8"/>
  <c r="J2658" i="8"/>
  <c r="H2658" i="8"/>
  <c r="B2658" i="8"/>
  <c r="A2658" i="8"/>
  <c r="AA2657" i="8"/>
  <c r="W2657" i="8"/>
  <c r="U2657" i="8"/>
  <c r="P2657" i="8"/>
  <c r="M2657" i="8"/>
  <c r="J2657" i="8"/>
  <c r="H2657" i="8"/>
  <c r="B2657" i="8"/>
  <c r="A2657" i="8"/>
  <c r="AA2656" i="8"/>
  <c r="W2656" i="8"/>
  <c r="U2656" i="8"/>
  <c r="R2656" i="8"/>
  <c r="Q2656" i="8"/>
  <c r="P2656" i="8"/>
  <c r="M2656" i="8"/>
  <c r="J2656" i="8"/>
  <c r="H2656" i="8"/>
  <c r="B2656" i="8"/>
  <c r="A2656" i="8"/>
  <c r="AA2655" i="8"/>
  <c r="W2655" i="8"/>
  <c r="U2655" i="8"/>
  <c r="P2655" i="8"/>
  <c r="M2655" i="8"/>
  <c r="J2655" i="8"/>
  <c r="H2655" i="8"/>
  <c r="B2655" i="8"/>
  <c r="A2655" i="8"/>
  <c r="AA2654" i="8"/>
  <c r="W2654" i="8"/>
  <c r="U2654" i="8"/>
  <c r="P2654" i="8"/>
  <c r="M2654" i="8"/>
  <c r="J2654" i="8"/>
  <c r="H2654" i="8"/>
  <c r="B2654" i="8"/>
  <c r="A2654" i="8"/>
  <c r="AA2653" i="8"/>
  <c r="W2653" i="8"/>
  <c r="U2653" i="8"/>
  <c r="P2653" i="8"/>
  <c r="M2653" i="8"/>
  <c r="J2653" i="8"/>
  <c r="H2653" i="8"/>
  <c r="B2653" i="8"/>
  <c r="A2653" i="8"/>
  <c r="AA2652" i="8"/>
  <c r="W2652" i="8"/>
  <c r="U2652" i="8"/>
  <c r="P2652" i="8"/>
  <c r="M2652" i="8"/>
  <c r="J2652" i="8"/>
  <c r="H2652" i="8"/>
  <c r="B2652" i="8"/>
  <c r="A2652" i="8"/>
  <c r="AA2651" i="8"/>
  <c r="W2651" i="8"/>
  <c r="U2651" i="8"/>
  <c r="P2651" i="8"/>
  <c r="M2651" i="8"/>
  <c r="J2651" i="8"/>
  <c r="H2651" i="8"/>
  <c r="B2651" i="8"/>
  <c r="A2651" i="8"/>
  <c r="AA2650" i="8"/>
  <c r="W2650" i="8"/>
  <c r="U2650" i="8"/>
  <c r="P2650" i="8"/>
  <c r="M2650" i="8"/>
  <c r="J2650" i="8"/>
  <c r="H2650" i="8"/>
  <c r="B2650" i="8"/>
  <c r="A2650" i="8"/>
  <c r="AA2649" i="8"/>
  <c r="W2649" i="8"/>
  <c r="U2649" i="8"/>
  <c r="P2649" i="8"/>
  <c r="M2649" i="8"/>
  <c r="J2649" i="8"/>
  <c r="H2649" i="8"/>
  <c r="B2649" i="8"/>
  <c r="A2649" i="8"/>
  <c r="AA2648" i="8"/>
  <c r="W2648" i="8"/>
  <c r="U2648" i="8"/>
  <c r="P2648" i="8"/>
  <c r="M2648" i="8"/>
  <c r="J2648" i="8"/>
  <c r="H2648" i="8"/>
  <c r="B2648" i="8"/>
  <c r="A2648" i="8"/>
  <c r="AA2647" i="8"/>
  <c r="W2647" i="8"/>
  <c r="U2647" i="8"/>
  <c r="P2647" i="8"/>
  <c r="M2647" i="8"/>
  <c r="J2647" i="8"/>
  <c r="H2647" i="8"/>
  <c r="B2647" i="8"/>
  <c r="A2647" i="8"/>
  <c r="AA2646" i="8"/>
  <c r="W2646" i="8"/>
  <c r="U2646" i="8"/>
  <c r="P2646" i="8"/>
  <c r="M2646" i="8"/>
  <c r="J2646" i="8"/>
  <c r="H2646" i="8"/>
  <c r="B2646" i="8"/>
  <c r="A2646" i="8"/>
  <c r="AA2645" i="8"/>
  <c r="W2645" i="8"/>
  <c r="U2645" i="8"/>
  <c r="P2645" i="8"/>
  <c r="M2645" i="8"/>
  <c r="J2645" i="8"/>
  <c r="H2645" i="8"/>
  <c r="B2645" i="8"/>
  <c r="A2645" i="8"/>
  <c r="AA2644" i="8"/>
  <c r="W2644" i="8"/>
  <c r="U2644" i="8"/>
  <c r="R2644" i="8"/>
  <c r="Q2644" i="8"/>
  <c r="P2644" i="8"/>
  <c r="M2644" i="8"/>
  <c r="J2644" i="8"/>
  <c r="H2644" i="8"/>
  <c r="B2644" i="8"/>
  <c r="A2644" i="8"/>
  <c r="AA2643" i="8"/>
  <c r="W2643" i="8"/>
  <c r="U2643" i="8"/>
  <c r="P2643" i="8"/>
  <c r="M2643" i="8"/>
  <c r="J2643" i="8"/>
  <c r="H2643" i="8"/>
  <c r="B2643" i="8"/>
  <c r="A2643" i="8"/>
  <c r="AA2642" i="8"/>
  <c r="W2642" i="8"/>
  <c r="U2642" i="8"/>
  <c r="P2642" i="8"/>
  <c r="M2642" i="8"/>
  <c r="J2642" i="8"/>
  <c r="H2642" i="8"/>
  <c r="B2642" i="8"/>
  <c r="A2642" i="8"/>
  <c r="AA2641" i="8"/>
  <c r="W2641" i="8"/>
  <c r="U2641" i="8"/>
  <c r="P2641" i="8"/>
  <c r="M2641" i="8"/>
  <c r="J2641" i="8"/>
  <c r="H2641" i="8"/>
  <c r="B2641" i="8"/>
  <c r="A2641" i="8"/>
  <c r="AA2640" i="8"/>
  <c r="W2640" i="8"/>
  <c r="U2640" i="8"/>
  <c r="P2640" i="8"/>
  <c r="M2640" i="8"/>
  <c r="J2640" i="8"/>
  <c r="H2640" i="8"/>
  <c r="B2640" i="8"/>
  <c r="A2640" i="8"/>
  <c r="AA2639" i="8"/>
  <c r="W2639" i="8"/>
  <c r="U2639" i="8"/>
  <c r="P2639" i="8"/>
  <c r="M2639" i="8"/>
  <c r="J2639" i="8"/>
  <c r="H2639" i="8"/>
  <c r="B2639" i="8"/>
  <c r="A2639" i="8"/>
  <c r="AA2638" i="8"/>
  <c r="W2638" i="8"/>
  <c r="U2638" i="8"/>
  <c r="P2638" i="8"/>
  <c r="M2638" i="8"/>
  <c r="J2638" i="8"/>
  <c r="H2638" i="8"/>
  <c r="B2638" i="8"/>
  <c r="A2638" i="8"/>
  <c r="AA2637" i="8"/>
  <c r="W2637" i="8"/>
  <c r="U2637" i="8"/>
  <c r="P2637" i="8"/>
  <c r="M2637" i="8"/>
  <c r="J2637" i="8"/>
  <c r="H2637" i="8"/>
  <c r="B2637" i="8"/>
  <c r="A2637" i="8"/>
  <c r="AA2636" i="8"/>
  <c r="W2636" i="8"/>
  <c r="U2636" i="8"/>
  <c r="P2636" i="8"/>
  <c r="M2636" i="8"/>
  <c r="J2636" i="8"/>
  <c r="H2636" i="8"/>
  <c r="B2636" i="8"/>
  <c r="A2636" i="8"/>
  <c r="AA2635" i="8"/>
  <c r="W2635" i="8"/>
  <c r="U2635" i="8"/>
  <c r="P2635" i="8"/>
  <c r="M2635" i="8"/>
  <c r="J2635" i="8"/>
  <c r="H2635" i="8"/>
  <c r="B2635" i="8"/>
  <c r="A2635" i="8"/>
  <c r="AA2634" i="8"/>
  <c r="W2634" i="8"/>
  <c r="U2634" i="8"/>
  <c r="P2634" i="8"/>
  <c r="M2634" i="8"/>
  <c r="J2634" i="8"/>
  <c r="H2634" i="8"/>
  <c r="B2634" i="8"/>
  <c r="A2634" i="8"/>
  <c r="AA2633" i="8"/>
  <c r="W2633" i="8"/>
  <c r="U2633" i="8"/>
  <c r="P2633" i="8"/>
  <c r="M2633" i="8"/>
  <c r="J2633" i="8"/>
  <c r="H2633" i="8"/>
  <c r="B2633" i="8"/>
  <c r="A2633" i="8"/>
  <c r="AA2632" i="8"/>
  <c r="W2632" i="8"/>
  <c r="U2632" i="8"/>
  <c r="P2632" i="8"/>
  <c r="M2632" i="8"/>
  <c r="J2632" i="8"/>
  <c r="H2632" i="8"/>
  <c r="B2632" i="8"/>
  <c r="A2632" i="8"/>
  <c r="AA2631" i="8"/>
  <c r="W2631" i="8"/>
  <c r="U2631" i="8"/>
  <c r="P2631" i="8"/>
  <c r="M2631" i="8"/>
  <c r="J2631" i="8"/>
  <c r="H2631" i="8"/>
  <c r="B2631" i="8"/>
  <c r="A2631" i="8"/>
  <c r="AA2630" i="8"/>
  <c r="W2630" i="8"/>
  <c r="U2630" i="8"/>
  <c r="P2630" i="8"/>
  <c r="M2630" i="8"/>
  <c r="J2630" i="8"/>
  <c r="H2630" i="8"/>
  <c r="B2630" i="8"/>
  <c r="A2630" i="8"/>
  <c r="AA2629" i="8"/>
  <c r="W2629" i="8"/>
  <c r="U2629" i="8"/>
  <c r="P2629" i="8"/>
  <c r="M2629" i="8"/>
  <c r="J2629" i="8"/>
  <c r="H2629" i="8"/>
  <c r="B2629" i="8"/>
  <c r="A2629" i="8"/>
  <c r="AA2628" i="8"/>
  <c r="W2628" i="8"/>
  <c r="U2628" i="8"/>
  <c r="P2628" i="8"/>
  <c r="M2628" i="8"/>
  <c r="J2628" i="8"/>
  <c r="H2628" i="8"/>
  <c r="B2628" i="8"/>
  <c r="A2628" i="8"/>
  <c r="AA2627" i="8"/>
  <c r="W2627" i="8"/>
  <c r="U2627" i="8"/>
  <c r="P2627" i="8"/>
  <c r="M2627" i="8"/>
  <c r="J2627" i="8"/>
  <c r="H2627" i="8"/>
  <c r="B2627" i="8"/>
  <c r="A2627" i="8"/>
  <c r="AA2626" i="8"/>
  <c r="W2626" i="8"/>
  <c r="U2626" i="8"/>
  <c r="R2626" i="8"/>
  <c r="Q2626" i="8"/>
  <c r="P2626" i="8"/>
  <c r="M2626" i="8"/>
  <c r="J2626" i="8"/>
  <c r="H2626" i="8"/>
  <c r="B2626" i="8"/>
  <c r="A2626" i="8"/>
  <c r="AA2625" i="8"/>
  <c r="W2625" i="8"/>
  <c r="U2625" i="8"/>
  <c r="P2625" i="8"/>
  <c r="M2625" i="8"/>
  <c r="J2625" i="8"/>
  <c r="H2625" i="8"/>
  <c r="B2625" i="8"/>
  <c r="A2625" i="8"/>
  <c r="AA2624" i="8"/>
  <c r="W2624" i="8"/>
  <c r="U2624" i="8"/>
  <c r="P2624" i="8"/>
  <c r="M2624" i="8"/>
  <c r="J2624" i="8"/>
  <c r="H2624" i="8"/>
  <c r="B2624" i="8"/>
  <c r="A2624" i="8"/>
  <c r="AA2623" i="8"/>
  <c r="W2623" i="8"/>
  <c r="U2623" i="8"/>
  <c r="P2623" i="8"/>
  <c r="M2623" i="8"/>
  <c r="J2623" i="8"/>
  <c r="H2623" i="8"/>
  <c r="B2623" i="8"/>
  <c r="A2623" i="8"/>
  <c r="AA2622" i="8"/>
  <c r="W2622" i="8"/>
  <c r="U2622" i="8"/>
  <c r="P2622" i="8"/>
  <c r="M2622" i="8"/>
  <c r="J2622" i="8"/>
  <c r="H2622" i="8"/>
  <c r="B2622" i="8"/>
  <c r="A2622" i="8"/>
  <c r="AA2621" i="8"/>
  <c r="W2621" i="8"/>
  <c r="U2621" i="8"/>
  <c r="P2621" i="8"/>
  <c r="M2621" i="8"/>
  <c r="J2621" i="8"/>
  <c r="H2621" i="8"/>
  <c r="B2621" i="8"/>
  <c r="A2621" i="8"/>
  <c r="AA2620" i="8"/>
  <c r="W2620" i="8"/>
  <c r="U2620" i="8"/>
  <c r="P2620" i="8"/>
  <c r="M2620" i="8"/>
  <c r="J2620" i="8"/>
  <c r="H2620" i="8"/>
  <c r="B2620" i="8"/>
  <c r="A2620" i="8"/>
  <c r="AA2619" i="8"/>
  <c r="W2619" i="8"/>
  <c r="U2619" i="8"/>
  <c r="P2619" i="8"/>
  <c r="M2619" i="8"/>
  <c r="J2619" i="8"/>
  <c r="H2619" i="8"/>
  <c r="B2619" i="8"/>
  <c r="A2619" i="8"/>
  <c r="AA2618" i="8"/>
  <c r="W2618" i="8"/>
  <c r="U2618" i="8"/>
  <c r="P2618" i="8"/>
  <c r="M2618" i="8"/>
  <c r="J2618" i="8"/>
  <c r="H2618" i="8"/>
  <c r="B2618" i="8"/>
  <c r="A2618" i="8"/>
  <c r="AA2617" i="8"/>
  <c r="W2617" i="8"/>
  <c r="U2617" i="8"/>
  <c r="P2617" i="8"/>
  <c r="M2617" i="8"/>
  <c r="J2617" i="8"/>
  <c r="H2617" i="8"/>
  <c r="B2617" i="8"/>
  <c r="A2617" i="8"/>
  <c r="AA2616" i="8"/>
  <c r="W2616" i="8"/>
  <c r="U2616" i="8"/>
  <c r="P2616" i="8"/>
  <c r="M2616" i="8"/>
  <c r="J2616" i="8"/>
  <c r="H2616" i="8"/>
  <c r="B2616" i="8"/>
  <c r="A2616" i="8"/>
  <c r="AA2615" i="8"/>
  <c r="W2615" i="8"/>
  <c r="U2615" i="8"/>
  <c r="P2615" i="8"/>
  <c r="M2615" i="8"/>
  <c r="J2615" i="8"/>
  <c r="H2615" i="8"/>
  <c r="B2615" i="8"/>
  <c r="A2615" i="8"/>
  <c r="AA2614" i="8"/>
  <c r="W2614" i="8"/>
  <c r="U2614" i="8"/>
  <c r="P2614" i="8"/>
  <c r="M2614" i="8"/>
  <c r="J2614" i="8"/>
  <c r="H2614" i="8"/>
  <c r="B2614" i="8"/>
  <c r="A2614" i="8"/>
  <c r="AA2613" i="8"/>
  <c r="W2613" i="8"/>
  <c r="U2613" i="8"/>
  <c r="P2613" i="8"/>
  <c r="M2613" i="8"/>
  <c r="J2613" i="8"/>
  <c r="H2613" i="8"/>
  <c r="B2613" i="8"/>
  <c r="A2613" i="8"/>
  <c r="AA2612" i="8"/>
  <c r="W2612" i="8"/>
  <c r="U2612" i="8"/>
  <c r="P2612" i="8"/>
  <c r="M2612" i="8"/>
  <c r="J2612" i="8"/>
  <c r="H2612" i="8"/>
  <c r="B2612" i="8"/>
  <c r="A2612" i="8"/>
  <c r="AA2611" i="8"/>
  <c r="W2611" i="8"/>
  <c r="U2611" i="8"/>
  <c r="R2611" i="8"/>
  <c r="Q2611" i="8"/>
  <c r="P2611" i="8"/>
  <c r="M2611" i="8"/>
  <c r="J2611" i="8"/>
  <c r="H2611" i="8"/>
  <c r="B2611" i="8"/>
  <c r="A2611" i="8"/>
  <c r="AA2610" i="8"/>
  <c r="W2610" i="8"/>
  <c r="U2610" i="8"/>
  <c r="R2610" i="8"/>
  <c r="Q2610" i="8"/>
  <c r="P2610" i="8"/>
  <c r="M2610" i="8"/>
  <c r="J2610" i="8"/>
  <c r="H2610" i="8"/>
  <c r="B2610" i="8"/>
  <c r="A2610" i="8"/>
  <c r="AA2609" i="8"/>
  <c r="W2609" i="8"/>
  <c r="U2609" i="8"/>
  <c r="R2609" i="8"/>
  <c r="Q2609" i="8"/>
  <c r="P2609" i="8"/>
  <c r="M2609" i="8"/>
  <c r="J2609" i="8"/>
  <c r="H2609" i="8"/>
  <c r="B2609" i="8"/>
  <c r="A2609" i="8"/>
  <c r="AA2608" i="8"/>
  <c r="W2608" i="8"/>
  <c r="U2608" i="8"/>
  <c r="P2608" i="8"/>
  <c r="M2608" i="8"/>
  <c r="J2608" i="8"/>
  <c r="H2608" i="8"/>
  <c r="B2608" i="8"/>
  <c r="A2608" i="8"/>
  <c r="AA2607" i="8"/>
  <c r="W2607" i="8"/>
  <c r="U2607" i="8"/>
  <c r="P2607" i="8"/>
  <c r="M2607" i="8"/>
  <c r="J2607" i="8"/>
  <c r="H2607" i="8"/>
  <c r="B2607" i="8"/>
  <c r="A2607" i="8"/>
  <c r="AA2606" i="8"/>
  <c r="W2606" i="8"/>
  <c r="U2606" i="8"/>
  <c r="P2606" i="8"/>
  <c r="M2606" i="8"/>
  <c r="J2606" i="8"/>
  <c r="H2606" i="8"/>
  <c r="B2606" i="8"/>
  <c r="A2606" i="8"/>
  <c r="AA2605" i="8"/>
  <c r="W2605" i="8"/>
  <c r="U2605" i="8"/>
  <c r="P2605" i="8"/>
  <c r="M2605" i="8"/>
  <c r="J2605" i="8"/>
  <c r="H2605" i="8"/>
  <c r="B2605" i="8"/>
  <c r="A2605" i="8"/>
  <c r="AA2604" i="8"/>
  <c r="W2604" i="8"/>
  <c r="U2604" i="8"/>
  <c r="P2604" i="8"/>
  <c r="M2604" i="8"/>
  <c r="J2604" i="8"/>
  <c r="H2604" i="8"/>
  <c r="B2604" i="8"/>
  <c r="A2604" i="8"/>
  <c r="AA2603" i="8"/>
  <c r="W2603" i="8"/>
  <c r="U2603" i="8"/>
  <c r="P2603" i="8"/>
  <c r="M2603" i="8"/>
  <c r="J2603" i="8"/>
  <c r="H2603" i="8"/>
  <c r="B2603" i="8"/>
  <c r="A2603" i="8"/>
  <c r="AA2602" i="8"/>
  <c r="W2602" i="8"/>
  <c r="U2602" i="8"/>
  <c r="P2602" i="8"/>
  <c r="M2602" i="8"/>
  <c r="J2602" i="8"/>
  <c r="H2602" i="8"/>
  <c r="B2602" i="8"/>
  <c r="A2602" i="8"/>
  <c r="AA2601" i="8"/>
  <c r="W2601" i="8"/>
  <c r="U2601" i="8"/>
  <c r="P2601" i="8"/>
  <c r="M2601" i="8"/>
  <c r="J2601" i="8"/>
  <c r="H2601" i="8"/>
  <c r="B2601" i="8"/>
  <c r="A2601" i="8"/>
  <c r="AA2600" i="8"/>
  <c r="W2600" i="8"/>
  <c r="U2600" i="8"/>
  <c r="P2600" i="8"/>
  <c r="M2600" i="8"/>
  <c r="J2600" i="8"/>
  <c r="H2600" i="8"/>
  <c r="B2600" i="8"/>
  <c r="A2600" i="8"/>
  <c r="AA2599" i="8"/>
  <c r="W2599" i="8"/>
  <c r="U2599" i="8"/>
  <c r="P2599" i="8"/>
  <c r="M2599" i="8"/>
  <c r="J2599" i="8"/>
  <c r="H2599" i="8"/>
  <c r="B2599" i="8"/>
  <c r="A2599" i="8"/>
  <c r="AA2598" i="8"/>
  <c r="W2598" i="8"/>
  <c r="U2598" i="8"/>
  <c r="P2598" i="8"/>
  <c r="M2598" i="8"/>
  <c r="J2598" i="8"/>
  <c r="H2598" i="8"/>
  <c r="B2598" i="8"/>
  <c r="A2598" i="8"/>
  <c r="AA2597" i="8"/>
  <c r="W2597" i="8"/>
  <c r="U2597" i="8"/>
  <c r="P2597" i="8"/>
  <c r="M2597" i="8"/>
  <c r="J2597" i="8"/>
  <c r="H2597" i="8"/>
  <c r="B2597" i="8"/>
  <c r="A2597" i="8"/>
  <c r="AA2596" i="8"/>
  <c r="W2596" i="8"/>
  <c r="U2596" i="8"/>
  <c r="R2596" i="8"/>
  <c r="Q2596" i="8"/>
  <c r="P2596" i="8"/>
  <c r="M2596" i="8"/>
  <c r="J2596" i="8"/>
  <c r="H2596" i="8"/>
  <c r="B2596" i="8"/>
  <c r="A2596" i="8"/>
  <c r="AA2595" i="8"/>
  <c r="W2595" i="8"/>
  <c r="U2595" i="8"/>
  <c r="P2595" i="8"/>
  <c r="M2595" i="8"/>
  <c r="J2595" i="8"/>
  <c r="H2595" i="8"/>
  <c r="B2595" i="8"/>
  <c r="A2595" i="8"/>
  <c r="AA2594" i="8"/>
  <c r="W2594" i="8"/>
  <c r="U2594" i="8"/>
  <c r="P2594" i="8"/>
  <c r="M2594" i="8"/>
  <c r="J2594" i="8"/>
  <c r="H2594" i="8"/>
  <c r="B2594" i="8"/>
  <c r="A2594" i="8"/>
  <c r="AA2593" i="8"/>
  <c r="W2593" i="8"/>
  <c r="U2593" i="8"/>
  <c r="P2593" i="8"/>
  <c r="M2593" i="8"/>
  <c r="J2593" i="8"/>
  <c r="H2593" i="8"/>
  <c r="B2593" i="8"/>
  <c r="A2593" i="8"/>
  <c r="AA2592" i="8"/>
  <c r="W2592" i="8"/>
  <c r="U2592" i="8"/>
  <c r="P2592" i="8"/>
  <c r="M2592" i="8"/>
  <c r="J2592" i="8"/>
  <c r="H2592" i="8"/>
  <c r="B2592" i="8"/>
  <c r="A2592" i="8"/>
  <c r="AA2591" i="8"/>
  <c r="W2591" i="8"/>
  <c r="U2591" i="8"/>
  <c r="P2591" i="8"/>
  <c r="M2591" i="8"/>
  <c r="J2591" i="8"/>
  <c r="H2591" i="8"/>
  <c r="B2591" i="8"/>
  <c r="A2591" i="8"/>
  <c r="AA2590" i="8"/>
  <c r="W2590" i="8"/>
  <c r="U2590" i="8"/>
  <c r="P2590" i="8"/>
  <c r="M2590" i="8"/>
  <c r="J2590" i="8"/>
  <c r="H2590" i="8"/>
  <c r="B2590" i="8"/>
  <c r="A2590" i="8"/>
  <c r="AA2589" i="8"/>
  <c r="W2589" i="8"/>
  <c r="U2589" i="8"/>
  <c r="P2589" i="8"/>
  <c r="M2589" i="8"/>
  <c r="J2589" i="8"/>
  <c r="H2589" i="8"/>
  <c r="B2589" i="8"/>
  <c r="A2589" i="8"/>
  <c r="AA2588" i="8"/>
  <c r="W2588" i="8"/>
  <c r="U2588" i="8"/>
  <c r="P2588" i="8"/>
  <c r="M2588" i="8"/>
  <c r="J2588" i="8"/>
  <c r="H2588" i="8"/>
  <c r="B2588" i="8"/>
  <c r="A2588" i="8"/>
  <c r="AA2587" i="8"/>
  <c r="W2587" i="8"/>
  <c r="U2587" i="8"/>
  <c r="P2587" i="8"/>
  <c r="M2587" i="8"/>
  <c r="J2587" i="8"/>
  <c r="H2587" i="8"/>
  <c r="B2587" i="8"/>
  <c r="A2587" i="8"/>
  <c r="AA2586" i="8"/>
  <c r="W2586" i="8"/>
  <c r="U2586" i="8"/>
  <c r="P2586" i="8"/>
  <c r="M2586" i="8"/>
  <c r="J2586" i="8"/>
  <c r="H2586" i="8"/>
  <c r="B2586" i="8"/>
  <c r="A2586" i="8"/>
  <c r="AA2585" i="8"/>
  <c r="W2585" i="8"/>
  <c r="U2585" i="8"/>
  <c r="P2585" i="8"/>
  <c r="M2585" i="8"/>
  <c r="J2585" i="8"/>
  <c r="H2585" i="8"/>
  <c r="B2585" i="8"/>
  <c r="A2585" i="8"/>
  <c r="AA2584" i="8"/>
  <c r="W2584" i="8"/>
  <c r="U2584" i="8"/>
  <c r="P2584" i="8"/>
  <c r="M2584" i="8"/>
  <c r="J2584" i="8"/>
  <c r="H2584" i="8"/>
  <c r="B2584" i="8"/>
  <c r="A2584" i="8"/>
  <c r="AA2583" i="8"/>
  <c r="W2583" i="8"/>
  <c r="U2583" i="8"/>
  <c r="P2583" i="8"/>
  <c r="M2583" i="8"/>
  <c r="J2583" i="8"/>
  <c r="H2583" i="8"/>
  <c r="B2583" i="8"/>
  <c r="A2583" i="8"/>
  <c r="AA2582" i="8"/>
  <c r="W2582" i="8"/>
  <c r="U2582" i="8"/>
  <c r="P2582" i="8"/>
  <c r="M2582" i="8"/>
  <c r="J2582" i="8"/>
  <c r="H2582" i="8"/>
  <c r="B2582" i="8"/>
  <c r="A2582" i="8"/>
  <c r="AA2581" i="8"/>
  <c r="W2581" i="8"/>
  <c r="U2581" i="8"/>
  <c r="P2581" i="8"/>
  <c r="M2581" i="8"/>
  <c r="J2581" i="8"/>
  <c r="H2581" i="8"/>
  <c r="B2581" i="8"/>
  <c r="A2581" i="8"/>
  <c r="AA2580" i="8"/>
  <c r="W2580" i="8"/>
  <c r="U2580" i="8"/>
  <c r="P2580" i="8"/>
  <c r="M2580" i="8"/>
  <c r="J2580" i="8"/>
  <c r="H2580" i="8"/>
  <c r="B2580" i="8"/>
  <c r="A2580" i="8"/>
  <c r="AA2579" i="8"/>
  <c r="W2579" i="8"/>
  <c r="U2579" i="8"/>
  <c r="P2579" i="8"/>
  <c r="M2579" i="8"/>
  <c r="J2579" i="8"/>
  <c r="H2579" i="8"/>
  <c r="B2579" i="8"/>
  <c r="A2579" i="8"/>
  <c r="AA2578" i="8"/>
  <c r="W2578" i="8"/>
  <c r="U2578" i="8"/>
  <c r="P2578" i="8"/>
  <c r="M2578" i="8"/>
  <c r="J2578" i="8"/>
  <c r="H2578" i="8"/>
  <c r="B2578" i="8"/>
  <c r="A2578" i="8"/>
  <c r="AA2577" i="8"/>
  <c r="W2577" i="8"/>
  <c r="U2577" i="8"/>
  <c r="P2577" i="8"/>
  <c r="M2577" i="8"/>
  <c r="J2577" i="8"/>
  <c r="H2577" i="8"/>
  <c r="B2577" i="8"/>
  <c r="A2577" i="8"/>
  <c r="AA2576" i="8"/>
  <c r="W2576" i="8"/>
  <c r="U2576" i="8"/>
  <c r="P2576" i="8"/>
  <c r="M2576" i="8"/>
  <c r="J2576" i="8"/>
  <c r="H2576" i="8"/>
  <c r="B2576" i="8"/>
  <c r="A2576" i="8"/>
  <c r="AA2575" i="8"/>
  <c r="W2575" i="8"/>
  <c r="U2575" i="8"/>
  <c r="P2575" i="8"/>
  <c r="M2575" i="8"/>
  <c r="J2575" i="8"/>
  <c r="H2575" i="8"/>
  <c r="B2575" i="8"/>
  <c r="A2575" i="8"/>
  <c r="AA2574" i="8"/>
  <c r="W2574" i="8"/>
  <c r="U2574" i="8"/>
  <c r="P2574" i="8"/>
  <c r="M2574" i="8"/>
  <c r="J2574" i="8"/>
  <c r="H2574" i="8"/>
  <c r="B2574" i="8"/>
  <c r="A2574" i="8"/>
  <c r="AA2573" i="8"/>
  <c r="W2573" i="8"/>
  <c r="U2573" i="8"/>
  <c r="P2573" i="8"/>
  <c r="M2573" i="8"/>
  <c r="J2573" i="8"/>
  <c r="H2573" i="8"/>
  <c r="B2573" i="8"/>
  <c r="A2573" i="8"/>
  <c r="AA2572" i="8"/>
  <c r="W2572" i="8"/>
  <c r="U2572" i="8"/>
  <c r="P2572" i="8"/>
  <c r="M2572" i="8"/>
  <c r="J2572" i="8"/>
  <c r="H2572" i="8"/>
  <c r="B2572" i="8"/>
  <c r="A2572" i="8"/>
  <c r="AA2571" i="8"/>
  <c r="W2571" i="8"/>
  <c r="U2571" i="8"/>
  <c r="R2571" i="8"/>
  <c r="Q2571" i="8"/>
  <c r="P2571" i="8"/>
  <c r="M2571" i="8"/>
  <c r="J2571" i="8"/>
  <c r="H2571" i="8"/>
  <c r="B2571" i="8"/>
  <c r="A2571" i="8"/>
  <c r="AA2570" i="8"/>
  <c r="W2570" i="8"/>
  <c r="U2570" i="8"/>
  <c r="P2570" i="8"/>
  <c r="M2570" i="8"/>
  <c r="J2570" i="8"/>
  <c r="H2570" i="8"/>
  <c r="B2570" i="8"/>
  <c r="A2570" i="8"/>
  <c r="AA2569" i="8"/>
  <c r="W2569" i="8"/>
  <c r="U2569" i="8"/>
  <c r="R2569" i="8"/>
  <c r="Q2569" i="8"/>
  <c r="P2569" i="8"/>
  <c r="M2569" i="8"/>
  <c r="J2569" i="8"/>
  <c r="H2569" i="8"/>
  <c r="B2569" i="8"/>
  <c r="A2569" i="8"/>
  <c r="AA2568" i="8"/>
  <c r="W2568" i="8"/>
  <c r="U2568" i="8"/>
  <c r="P2568" i="8"/>
  <c r="M2568" i="8"/>
  <c r="J2568" i="8"/>
  <c r="H2568" i="8"/>
  <c r="B2568" i="8"/>
  <c r="A2568" i="8"/>
  <c r="AA2567" i="8"/>
  <c r="W2567" i="8"/>
  <c r="U2567" i="8"/>
  <c r="R2567" i="8"/>
  <c r="Q2567" i="8"/>
  <c r="P2567" i="8"/>
  <c r="M2567" i="8"/>
  <c r="J2567" i="8"/>
  <c r="H2567" i="8"/>
  <c r="B2567" i="8"/>
  <c r="A2567" i="8"/>
  <c r="AA2566" i="8"/>
  <c r="W2566" i="8"/>
  <c r="U2566" i="8"/>
  <c r="P2566" i="8"/>
  <c r="M2566" i="8"/>
  <c r="J2566" i="8"/>
  <c r="H2566" i="8"/>
  <c r="B2566" i="8"/>
  <c r="A2566" i="8"/>
  <c r="AA2565" i="8"/>
  <c r="W2565" i="8"/>
  <c r="U2565" i="8"/>
  <c r="P2565" i="8"/>
  <c r="M2565" i="8"/>
  <c r="J2565" i="8"/>
  <c r="H2565" i="8"/>
  <c r="B2565" i="8"/>
  <c r="A2565" i="8"/>
  <c r="AA2564" i="8"/>
  <c r="W2564" i="8"/>
  <c r="U2564" i="8"/>
  <c r="P2564" i="8"/>
  <c r="M2564" i="8"/>
  <c r="J2564" i="8"/>
  <c r="H2564" i="8"/>
  <c r="B2564" i="8"/>
  <c r="A2564" i="8"/>
  <c r="AA2563" i="8"/>
  <c r="W2563" i="8"/>
  <c r="U2563" i="8"/>
  <c r="P2563" i="8"/>
  <c r="M2563" i="8"/>
  <c r="J2563" i="8"/>
  <c r="H2563" i="8"/>
  <c r="B2563" i="8"/>
  <c r="A2563" i="8"/>
  <c r="AA2562" i="8"/>
  <c r="W2562" i="8"/>
  <c r="U2562" i="8"/>
  <c r="P2562" i="8"/>
  <c r="M2562" i="8"/>
  <c r="J2562" i="8"/>
  <c r="H2562" i="8"/>
  <c r="B2562" i="8"/>
  <c r="A2562" i="8"/>
  <c r="AA2561" i="8"/>
  <c r="W2561" i="8"/>
  <c r="U2561" i="8"/>
  <c r="P2561" i="8"/>
  <c r="M2561" i="8"/>
  <c r="J2561" i="8"/>
  <c r="H2561" i="8"/>
  <c r="B2561" i="8"/>
  <c r="A2561" i="8"/>
  <c r="AA2560" i="8"/>
  <c r="W2560" i="8"/>
  <c r="U2560" i="8"/>
  <c r="P2560" i="8"/>
  <c r="M2560" i="8"/>
  <c r="J2560" i="8"/>
  <c r="H2560" i="8"/>
  <c r="B2560" i="8"/>
  <c r="A2560" i="8"/>
  <c r="AA2559" i="8"/>
  <c r="W2559" i="8"/>
  <c r="U2559" i="8"/>
  <c r="P2559" i="8"/>
  <c r="M2559" i="8"/>
  <c r="J2559" i="8"/>
  <c r="H2559" i="8"/>
  <c r="B2559" i="8"/>
  <c r="A2559" i="8"/>
  <c r="AA2558" i="8"/>
  <c r="W2558" i="8"/>
  <c r="U2558" i="8"/>
  <c r="P2558" i="8"/>
  <c r="M2558" i="8"/>
  <c r="J2558" i="8"/>
  <c r="H2558" i="8"/>
  <c r="B2558" i="8"/>
  <c r="A2558" i="8"/>
  <c r="AA2557" i="8"/>
  <c r="W2557" i="8"/>
  <c r="U2557" i="8"/>
  <c r="P2557" i="8"/>
  <c r="M2557" i="8"/>
  <c r="J2557" i="8"/>
  <c r="H2557" i="8"/>
  <c r="B2557" i="8"/>
  <c r="A2557" i="8"/>
  <c r="AA2556" i="8"/>
  <c r="W2556" i="8"/>
  <c r="U2556" i="8"/>
  <c r="P2556" i="8"/>
  <c r="M2556" i="8"/>
  <c r="J2556" i="8"/>
  <c r="H2556" i="8"/>
  <c r="B2556" i="8"/>
  <c r="A2556" i="8"/>
  <c r="AA2555" i="8"/>
  <c r="W2555" i="8"/>
  <c r="U2555" i="8"/>
  <c r="P2555" i="8"/>
  <c r="M2555" i="8"/>
  <c r="J2555" i="8"/>
  <c r="H2555" i="8"/>
  <c r="B2555" i="8"/>
  <c r="A2555" i="8"/>
  <c r="AA2554" i="8"/>
  <c r="W2554" i="8"/>
  <c r="U2554" i="8"/>
  <c r="P2554" i="8"/>
  <c r="M2554" i="8"/>
  <c r="J2554" i="8"/>
  <c r="H2554" i="8"/>
  <c r="B2554" i="8"/>
  <c r="A2554" i="8"/>
  <c r="AA2553" i="8"/>
  <c r="W2553" i="8"/>
  <c r="U2553" i="8"/>
  <c r="P2553" i="8"/>
  <c r="M2553" i="8"/>
  <c r="J2553" i="8"/>
  <c r="H2553" i="8"/>
  <c r="B2553" i="8"/>
  <c r="A2553" i="8"/>
  <c r="AA2552" i="8"/>
  <c r="W2552" i="8"/>
  <c r="U2552" i="8"/>
  <c r="P2552" i="8"/>
  <c r="M2552" i="8"/>
  <c r="J2552" i="8"/>
  <c r="H2552" i="8"/>
  <c r="B2552" i="8"/>
  <c r="A2552" i="8"/>
  <c r="AA2551" i="8"/>
  <c r="W2551" i="8"/>
  <c r="U2551" i="8"/>
  <c r="P2551" i="8"/>
  <c r="M2551" i="8"/>
  <c r="J2551" i="8"/>
  <c r="H2551" i="8"/>
  <c r="B2551" i="8"/>
  <c r="A2551" i="8"/>
  <c r="AA2550" i="8"/>
  <c r="W2550" i="8"/>
  <c r="U2550" i="8"/>
  <c r="P2550" i="8"/>
  <c r="M2550" i="8"/>
  <c r="J2550" i="8"/>
  <c r="H2550" i="8"/>
  <c r="B2550" i="8"/>
  <c r="A2550" i="8"/>
  <c r="AA2549" i="8"/>
  <c r="W2549" i="8"/>
  <c r="U2549" i="8"/>
  <c r="P2549" i="8"/>
  <c r="M2549" i="8"/>
  <c r="J2549" i="8"/>
  <c r="H2549" i="8"/>
  <c r="B2549" i="8"/>
  <c r="A2549" i="8"/>
  <c r="AA2548" i="8"/>
  <c r="W2548" i="8"/>
  <c r="U2548" i="8"/>
  <c r="P2548" i="8"/>
  <c r="M2548" i="8"/>
  <c r="J2548" i="8"/>
  <c r="H2548" i="8"/>
  <c r="B2548" i="8"/>
  <c r="A2548" i="8"/>
  <c r="AA2547" i="8"/>
  <c r="W2547" i="8"/>
  <c r="U2547" i="8"/>
  <c r="P2547" i="8"/>
  <c r="M2547" i="8"/>
  <c r="J2547" i="8"/>
  <c r="H2547" i="8"/>
  <c r="B2547" i="8"/>
  <c r="A2547" i="8"/>
  <c r="AA2546" i="8"/>
  <c r="W2546" i="8"/>
  <c r="U2546" i="8"/>
  <c r="P2546" i="8"/>
  <c r="M2546" i="8"/>
  <c r="J2546" i="8"/>
  <c r="H2546" i="8"/>
  <c r="B2546" i="8"/>
  <c r="A2546" i="8"/>
  <c r="AA2545" i="8"/>
  <c r="W2545" i="8"/>
  <c r="U2545" i="8"/>
  <c r="P2545" i="8"/>
  <c r="M2545" i="8"/>
  <c r="J2545" i="8"/>
  <c r="H2545" i="8"/>
  <c r="B2545" i="8"/>
  <c r="A2545" i="8"/>
  <c r="AA2544" i="8"/>
  <c r="W2544" i="8"/>
  <c r="U2544" i="8"/>
  <c r="P2544" i="8"/>
  <c r="M2544" i="8"/>
  <c r="J2544" i="8"/>
  <c r="H2544" i="8"/>
  <c r="B2544" i="8"/>
  <c r="A2544" i="8"/>
  <c r="AA2543" i="8"/>
  <c r="W2543" i="8"/>
  <c r="U2543" i="8"/>
  <c r="P2543" i="8"/>
  <c r="M2543" i="8"/>
  <c r="J2543" i="8"/>
  <c r="H2543" i="8"/>
  <c r="B2543" i="8"/>
  <c r="A2543" i="8"/>
  <c r="AA2542" i="8"/>
  <c r="W2542" i="8"/>
  <c r="U2542" i="8"/>
  <c r="P2542" i="8"/>
  <c r="M2542" i="8"/>
  <c r="J2542" i="8"/>
  <c r="H2542" i="8"/>
  <c r="B2542" i="8"/>
  <c r="A2542" i="8"/>
  <c r="AA2541" i="8"/>
  <c r="W2541" i="8"/>
  <c r="U2541" i="8"/>
  <c r="P2541" i="8"/>
  <c r="M2541" i="8"/>
  <c r="J2541" i="8"/>
  <c r="H2541" i="8"/>
  <c r="B2541" i="8"/>
  <c r="A2541" i="8"/>
  <c r="AA2540" i="8"/>
  <c r="W2540" i="8"/>
  <c r="U2540" i="8"/>
  <c r="P2540" i="8"/>
  <c r="M2540" i="8"/>
  <c r="J2540" i="8"/>
  <c r="H2540" i="8"/>
  <c r="B2540" i="8"/>
  <c r="A2540" i="8"/>
  <c r="AA2539" i="8"/>
  <c r="W2539" i="8"/>
  <c r="U2539" i="8"/>
  <c r="P2539" i="8"/>
  <c r="M2539" i="8"/>
  <c r="J2539" i="8"/>
  <c r="H2539" i="8"/>
  <c r="B2539" i="8"/>
  <c r="A2539" i="8"/>
  <c r="AA2538" i="8"/>
  <c r="W2538" i="8"/>
  <c r="U2538" i="8"/>
  <c r="P2538" i="8"/>
  <c r="M2538" i="8"/>
  <c r="J2538" i="8"/>
  <c r="H2538" i="8"/>
  <c r="B2538" i="8"/>
  <c r="A2538" i="8"/>
  <c r="AA2537" i="8"/>
  <c r="W2537" i="8"/>
  <c r="U2537" i="8"/>
  <c r="P2537" i="8"/>
  <c r="M2537" i="8"/>
  <c r="J2537" i="8"/>
  <c r="H2537" i="8"/>
  <c r="B2537" i="8"/>
  <c r="A2537" i="8"/>
  <c r="AA2536" i="8"/>
  <c r="W2536" i="8"/>
  <c r="U2536" i="8"/>
  <c r="P2536" i="8"/>
  <c r="M2536" i="8"/>
  <c r="J2536" i="8"/>
  <c r="H2536" i="8"/>
  <c r="B2536" i="8"/>
  <c r="A2536" i="8"/>
  <c r="AA2535" i="8"/>
  <c r="W2535" i="8"/>
  <c r="U2535" i="8"/>
  <c r="P2535" i="8"/>
  <c r="M2535" i="8"/>
  <c r="J2535" i="8"/>
  <c r="H2535" i="8"/>
  <c r="B2535" i="8"/>
  <c r="A2535" i="8"/>
  <c r="AA2534" i="8"/>
  <c r="W2534" i="8"/>
  <c r="U2534" i="8"/>
  <c r="P2534" i="8"/>
  <c r="M2534" i="8"/>
  <c r="J2534" i="8"/>
  <c r="H2534" i="8"/>
  <c r="B2534" i="8"/>
  <c r="A2534" i="8"/>
  <c r="AA2533" i="8"/>
  <c r="W2533" i="8"/>
  <c r="U2533" i="8"/>
  <c r="P2533" i="8"/>
  <c r="M2533" i="8"/>
  <c r="J2533" i="8"/>
  <c r="H2533" i="8"/>
  <c r="B2533" i="8"/>
  <c r="A2533" i="8"/>
  <c r="AA2532" i="8"/>
  <c r="W2532" i="8"/>
  <c r="U2532" i="8"/>
  <c r="P2532" i="8"/>
  <c r="M2532" i="8"/>
  <c r="J2532" i="8"/>
  <c r="H2532" i="8"/>
  <c r="B2532" i="8"/>
  <c r="A2532" i="8"/>
  <c r="AA2531" i="8"/>
  <c r="W2531" i="8"/>
  <c r="U2531" i="8"/>
  <c r="P2531" i="8"/>
  <c r="M2531" i="8"/>
  <c r="J2531" i="8"/>
  <c r="H2531" i="8"/>
  <c r="B2531" i="8"/>
  <c r="A2531" i="8"/>
  <c r="AA2530" i="8"/>
  <c r="W2530" i="8"/>
  <c r="U2530" i="8"/>
  <c r="P2530" i="8"/>
  <c r="M2530" i="8"/>
  <c r="J2530" i="8"/>
  <c r="H2530" i="8"/>
  <c r="B2530" i="8"/>
  <c r="A2530" i="8"/>
  <c r="AA2529" i="8"/>
  <c r="W2529" i="8"/>
  <c r="U2529" i="8"/>
  <c r="P2529" i="8"/>
  <c r="M2529" i="8"/>
  <c r="J2529" i="8"/>
  <c r="H2529" i="8"/>
  <c r="B2529" i="8"/>
  <c r="A2529" i="8"/>
  <c r="AA2528" i="8"/>
  <c r="W2528" i="8"/>
  <c r="U2528" i="8"/>
  <c r="P2528" i="8"/>
  <c r="M2528" i="8"/>
  <c r="J2528" i="8"/>
  <c r="H2528" i="8"/>
  <c r="B2528" i="8"/>
  <c r="A2528" i="8"/>
  <c r="AA2527" i="8"/>
  <c r="W2527" i="8"/>
  <c r="U2527" i="8"/>
  <c r="P2527" i="8"/>
  <c r="M2527" i="8"/>
  <c r="J2527" i="8"/>
  <c r="H2527" i="8"/>
  <c r="B2527" i="8"/>
  <c r="A2527" i="8"/>
  <c r="AA2526" i="8"/>
  <c r="W2526" i="8"/>
  <c r="U2526" i="8"/>
  <c r="P2526" i="8"/>
  <c r="M2526" i="8"/>
  <c r="J2526" i="8"/>
  <c r="H2526" i="8"/>
  <c r="B2526" i="8"/>
  <c r="A2526" i="8"/>
  <c r="AA2525" i="8"/>
  <c r="W2525" i="8"/>
  <c r="U2525" i="8"/>
  <c r="P2525" i="8"/>
  <c r="M2525" i="8"/>
  <c r="J2525" i="8"/>
  <c r="H2525" i="8"/>
  <c r="B2525" i="8"/>
  <c r="A2525" i="8"/>
  <c r="AA2524" i="8"/>
  <c r="W2524" i="8"/>
  <c r="U2524" i="8"/>
  <c r="P2524" i="8"/>
  <c r="M2524" i="8"/>
  <c r="J2524" i="8"/>
  <c r="H2524" i="8"/>
  <c r="B2524" i="8"/>
  <c r="A2524" i="8"/>
  <c r="AA2523" i="8"/>
  <c r="W2523" i="8"/>
  <c r="U2523" i="8"/>
  <c r="P2523" i="8"/>
  <c r="M2523" i="8"/>
  <c r="J2523" i="8"/>
  <c r="H2523" i="8"/>
  <c r="B2523" i="8"/>
  <c r="A2523" i="8"/>
  <c r="AA2522" i="8"/>
  <c r="W2522" i="8"/>
  <c r="U2522" i="8"/>
  <c r="P2522" i="8"/>
  <c r="M2522" i="8"/>
  <c r="J2522" i="8"/>
  <c r="H2522" i="8"/>
  <c r="B2522" i="8"/>
  <c r="A2522" i="8"/>
  <c r="AA2521" i="8"/>
  <c r="W2521" i="8"/>
  <c r="U2521" i="8"/>
  <c r="P2521" i="8"/>
  <c r="M2521" i="8"/>
  <c r="J2521" i="8"/>
  <c r="H2521" i="8"/>
  <c r="B2521" i="8"/>
  <c r="A2521" i="8"/>
  <c r="AA2520" i="8"/>
  <c r="W2520" i="8"/>
  <c r="U2520" i="8"/>
  <c r="P2520" i="8"/>
  <c r="M2520" i="8"/>
  <c r="J2520" i="8"/>
  <c r="H2520" i="8"/>
  <c r="B2520" i="8"/>
  <c r="A2520" i="8"/>
  <c r="AA2519" i="8"/>
  <c r="W2519" i="8"/>
  <c r="U2519" i="8"/>
  <c r="P2519" i="8"/>
  <c r="M2519" i="8"/>
  <c r="J2519" i="8"/>
  <c r="H2519" i="8"/>
  <c r="B2519" i="8"/>
  <c r="A2519" i="8"/>
  <c r="AA2518" i="8"/>
  <c r="W2518" i="8"/>
  <c r="U2518" i="8"/>
  <c r="P2518" i="8"/>
  <c r="M2518" i="8"/>
  <c r="J2518" i="8"/>
  <c r="H2518" i="8"/>
  <c r="B2518" i="8"/>
  <c r="A2518" i="8"/>
  <c r="AA2517" i="8"/>
  <c r="W2517" i="8"/>
  <c r="U2517" i="8"/>
  <c r="P2517" i="8"/>
  <c r="M2517" i="8"/>
  <c r="J2517" i="8"/>
  <c r="H2517" i="8"/>
  <c r="B2517" i="8"/>
  <c r="A2517" i="8"/>
  <c r="AA2516" i="8"/>
  <c r="W2516" i="8"/>
  <c r="U2516" i="8"/>
  <c r="P2516" i="8"/>
  <c r="M2516" i="8"/>
  <c r="J2516" i="8"/>
  <c r="H2516" i="8"/>
  <c r="B2516" i="8"/>
  <c r="A2516" i="8"/>
  <c r="AA2515" i="8"/>
  <c r="W2515" i="8"/>
  <c r="U2515" i="8"/>
  <c r="P2515" i="8"/>
  <c r="M2515" i="8"/>
  <c r="J2515" i="8"/>
  <c r="H2515" i="8"/>
  <c r="B2515" i="8"/>
  <c r="A2515" i="8"/>
  <c r="AA2514" i="8"/>
  <c r="W2514" i="8"/>
  <c r="U2514" i="8"/>
  <c r="P2514" i="8"/>
  <c r="M2514" i="8"/>
  <c r="J2514" i="8"/>
  <c r="H2514" i="8"/>
  <c r="B2514" i="8"/>
  <c r="A2514" i="8"/>
  <c r="AA2513" i="8"/>
  <c r="W2513" i="8"/>
  <c r="U2513" i="8"/>
  <c r="P2513" i="8"/>
  <c r="M2513" i="8"/>
  <c r="J2513" i="8"/>
  <c r="H2513" i="8"/>
  <c r="B2513" i="8"/>
  <c r="A2513" i="8"/>
  <c r="AA2512" i="8"/>
  <c r="W2512" i="8"/>
  <c r="U2512" i="8"/>
  <c r="P2512" i="8"/>
  <c r="M2512" i="8"/>
  <c r="J2512" i="8"/>
  <c r="H2512" i="8"/>
  <c r="B2512" i="8"/>
  <c r="A2512" i="8"/>
  <c r="AA2511" i="8"/>
  <c r="W2511" i="8"/>
  <c r="U2511" i="8"/>
  <c r="P2511" i="8"/>
  <c r="M2511" i="8"/>
  <c r="J2511" i="8"/>
  <c r="H2511" i="8"/>
  <c r="B2511" i="8"/>
  <c r="A2511" i="8"/>
  <c r="AA2510" i="8"/>
  <c r="W2510" i="8"/>
  <c r="U2510" i="8"/>
  <c r="P2510" i="8"/>
  <c r="M2510" i="8"/>
  <c r="J2510" i="8"/>
  <c r="H2510" i="8"/>
  <c r="B2510" i="8"/>
  <c r="A2510" i="8"/>
  <c r="AA2509" i="8"/>
  <c r="W2509" i="8"/>
  <c r="U2509" i="8"/>
  <c r="P2509" i="8"/>
  <c r="M2509" i="8"/>
  <c r="J2509" i="8"/>
  <c r="H2509" i="8"/>
  <c r="B2509" i="8"/>
  <c r="A2509" i="8"/>
  <c r="AA2508" i="8"/>
  <c r="W2508" i="8"/>
  <c r="U2508" i="8"/>
  <c r="P2508" i="8"/>
  <c r="M2508" i="8"/>
  <c r="J2508" i="8"/>
  <c r="H2508" i="8"/>
  <c r="B2508" i="8"/>
  <c r="A2508" i="8"/>
  <c r="AA2507" i="8"/>
  <c r="W2507" i="8"/>
  <c r="U2507" i="8"/>
  <c r="R2507" i="8"/>
  <c r="Q2507" i="8"/>
  <c r="P2507" i="8"/>
  <c r="M2507" i="8"/>
  <c r="J2507" i="8"/>
  <c r="H2507" i="8"/>
  <c r="B2507" i="8"/>
  <c r="A2507" i="8"/>
  <c r="AA2506" i="8"/>
  <c r="W2506" i="8"/>
  <c r="U2506" i="8"/>
  <c r="P2506" i="8"/>
  <c r="M2506" i="8"/>
  <c r="J2506" i="8"/>
  <c r="H2506" i="8"/>
  <c r="B2506" i="8"/>
  <c r="A2506" i="8"/>
  <c r="AA2505" i="8"/>
  <c r="W2505" i="8"/>
  <c r="U2505" i="8"/>
  <c r="P2505" i="8"/>
  <c r="M2505" i="8"/>
  <c r="J2505" i="8"/>
  <c r="H2505" i="8"/>
  <c r="B2505" i="8"/>
  <c r="A2505" i="8"/>
  <c r="AA2504" i="8"/>
  <c r="W2504" i="8"/>
  <c r="U2504" i="8"/>
  <c r="P2504" i="8"/>
  <c r="M2504" i="8"/>
  <c r="J2504" i="8"/>
  <c r="H2504" i="8"/>
  <c r="B2504" i="8"/>
  <c r="A2504" i="8"/>
  <c r="AA2503" i="8"/>
  <c r="W2503" i="8"/>
  <c r="U2503" i="8"/>
  <c r="P2503" i="8"/>
  <c r="M2503" i="8"/>
  <c r="J2503" i="8"/>
  <c r="H2503" i="8"/>
  <c r="B2503" i="8"/>
  <c r="A2503" i="8"/>
  <c r="AA2502" i="8"/>
  <c r="W2502" i="8"/>
  <c r="U2502" i="8"/>
  <c r="P2502" i="8"/>
  <c r="M2502" i="8"/>
  <c r="J2502" i="8"/>
  <c r="H2502" i="8"/>
  <c r="B2502" i="8"/>
  <c r="A2502" i="8"/>
  <c r="AA2501" i="8"/>
  <c r="W2501" i="8"/>
  <c r="U2501" i="8"/>
  <c r="P2501" i="8"/>
  <c r="M2501" i="8"/>
  <c r="J2501" i="8"/>
  <c r="H2501" i="8"/>
  <c r="B2501" i="8"/>
  <c r="A2501" i="8"/>
  <c r="AA2500" i="8"/>
  <c r="W2500" i="8"/>
  <c r="U2500" i="8"/>
  <c r="P2500" i="8"/>
  <c r="M2500" i="8"/>
  <c r="J2500" i="8"/>
  <c r="H2500" i="8"/>
  <c r="B2500" i="8"/>
  <c r="A2500" i="8"/>
  <c r="AA2499" i="8"/>
  <c r="W2499" i="8"/>
  <c r="U2499" i="8"/>
  <c r="P2499" i="8"/>
  <c r="M2499" i="8"/>
  <c r="J2499" i="8"/>
  <c r="H2499" i="8"/>
  <c r="B2499" i="8"/>
  <c r="A2499" i="8"/>
  <c r="AA2498" i="8"/>
  <c r="W2498" i="8"/>
  <c r="U2498" i="8"/>
  <c r="P2498" i="8"/>
  <c r="M2498" i="8"/>
  <c r="J2498" i="8"/>
  <c r="H2498" i="8"/>
  <c r="B2498" i="8"/>
  <c r="A2498" i="8"/>
  <c r="AA2497" i="8"/>
  <c r="W2497" i="8"/>
  <c r="U2497" i="8"/>
  <c r="P2497" i="8"/>
  <c r="M2497" i="8"/>
  <c r="J2497" i="8"/>
  <c r="H2497" i="8"/>
  <c r="B2497" i="8"/>
  <c r="A2497" i="8"/>
  <c r="AA2496" i="8"/>
  <c r="W2496" i="8"/>
  <c r="U2496" i="8"/>
  <c r="P2496" i="8"/>
  <c r="M2496" i="8"/>
  <c r="J2496" i="8"/>
  <c r="H2496" i="8"/>
  <c r="B2496" i="8"/>
  <c r="A2496" i="8"/>
  <c r="AA2495" i="8"/>
  <c r="W2495" i="8"/>
  <c r="U2495" i="8"/>
  <c r="P2495" i="8"/>
  <c r="M2495" i="8"/>
  <c r="J2495" i="8"/>
  <c r="H2495" i="8"/>
  <c r="B2495" i="8"/>
  <c r="A2495" i="8"/>
  <c r="AA2494" i="8"/>
  <c r="W2494" i="8"/>
  <c r="U2494" i="8"/>
  <c r="R2494" i="8"/>
  <c r="Q2494" i="8"/>
  <c r="P2494" i="8"/>
  <c r="M2494" i="8"/>
  <c r="J2494" i="8"/>
  <c r="H2494" i="8"/>
  <c r="B2494" i="8"/>
  <c r="A2494" i="8"/>
  <c r="AA2493" i="8"/>
  <c r="W2493" i="8"/>
  <c r="U2493" i="8"/>
  <c r="P2493" i="8"/>
  <c r="M2493" i="8"/>
  <c r="J2493" i="8"/>
  <c r="H2493" i="8"/>
  <c r="B2493" i="8"/>
  <c r="A2493" i="8"/>
  <c r="AA2492" i="8"/>
  <c r="W2492" i="8"/>
  <c r="U2492" i="8"/>
  <c r="R2492" i="8"/>
  <c r="Q2492" i="8"/>
  <c r="P2492" i="8"/>
  <c r="M2492" i="8"/>
  <c r="J2492" i="8"/>
  <c r="H2492" i="8"/>
  <c r="B2492" i="8"/>
  <c r="A2492" i="8"/>
  <c r="AA2491" i="8"/>
  <c r="W2491" i="8"/>
  <c r="U2491" i="8"/>
  <c r="P2491" i="8"/>
  <c r="M2491" i="8"/>
  <c r="J2491" i="8"/>
  <c r="H2491" i="8"/>
  <c r="B2491" i="8"/>
  <c r="A2491" i="8"/>
  <c r="AA2490" i="8"/>
  <c r="W2490" i="8"/>
  <c r="U2490" i="8"/>
  <c r="P2490" i="8"/>
  <c r="M2490" i="8"/>
  <c r="J2490" i="8"/>
  <c r="H2490" i="8"/>
  <c r="B2490" i="8"/>
  <c r="A2490" i="8"/>
  <c r="AA2489" i="8"/>
  <c r="W2489" i="8"/>
  <c r="U2489" i="8"/>
  <c r="R2489" i="8"/>
  <c r="Q2489" i="8"/>
  <c r="P2489" i="8"/>
  <c r="M2489" i="8"/>
  <c r="J2489" i="8"/>
  <c r="H2489" i="8"/>
  <c r="B2489" i="8"/>
  <c r="A2489" i="8"/>
  <c r="AA2488" i="8"/>
  <c r="W2488" i="8"/>
  <c r="U2488" i="8"/>
  <c r="P2488" i="8"/>
  <c r="M2488" i="8"/>
  <c r="J2488" i="8"/>
  <c r="H2488" i="8"/>
  <c r="B2488" i="8"/>
  <c r="A2488" i="8"/>
  <c r="AA2487" i="8"/>
  <c r="W2487" i="8"/>
  <c r="U2487" i="8"/>
  <c r="P2487" i="8"/>
  <c r="M2487" i="8"/>
  <c r="J2487" i="8"/>
  <c r="H2487" i="8"/>
  <c r="B2487" i="8"/>
  <c r="A2487" i="8"/>
  <c r="AA2486" i="8"/>
  <c r="W2486" i="8"/>
  <c r="U2486" i="8"/>
  <c r="P2486" i="8"/>
  <c r="M2486" i="8"/>
  <c r="J2486" i="8"/>
  <c r="H2486" i="8"/>
  <c r="B2486" i="8"/>
  <c r="A2486" i="8"/>
  <c r="AA2485" i="8"/>
  <c r="W2485" i="8"/>
  <c r="U2485" i="8"/>
  <c r="P2485" i="8"/>
  <c r="M2485" i="8"/>
  <c r="J2485" i="8"/>
  <c r="H2485" i="8"/>
  <c r="B2485" i="8"/>
  <c r="A2485" i="8"/>
  <c r="AA2484" i="8"/>
  <c r="W2484" i="8"/>
  <c r="U2484" i="8"/>
  <c r="P2484" i="8"/>
  <c r="M2484" i="8"/>
  <c r="J2484" i="8"/>
  <c r="H2484" i="8"/>
  <c r="B2484" i="8"/>
  <c r="A2484" i="8"/>
  <c r="AA2483" i="8"/>
  <c r="W2483" i="8"/>
  <c r="U2483" i="8"/>
  <c r="P2483" i="8"/>
  <c r="M2483" i="8"/>
  <c r="J2483" i="8"/>
  <c r="H2483" i="8"/>
  <c r="B2483" i="8"/>
  <c r="A2483" i="8"/>
  <c r="AA2482" i="8"/>
  <c r="W2482" i="8"/>
  <c r="U2482" i="8"/>
  <c r="R2482" i="8"/>
  <c r="Q2482" i="8"/>
  <c r="P2482" i="8"/>
  <c r="M2482" i="8"/>
  <c r="J2482" i="8"/>
  <c r="H2482" i="8"/>
  <c r="B2482" i="8"/>
  <c r="A2482" i="8"/>
  <c r="AA2481" i="8"/>
  <c r="W2481" i="8"/>
  <c r="U2481" i="8"/>
  <c r="P2481" i="8"/>
  <c r="M2481" i="8"/>
  <c r="J2481" i="8"/>
  <c r="H2481" i="8"/>
  <c r="B2481" i="8"/>
  <c r="A2481" i="8"/>
  <c r="AA2480" i="8"/>
  <c r="W2480" i="8"/>
  <c r="U2480" i="8"/>
  <c r="P2480" i="8"/>
  <c r="M2480" i="8"/>
  <c r="J2480" i="8"/>
  <c r="H2480" i="8"/>
  <c r="B2480" i="8"/>
  <c r="A2480" i="8"/>
  <c r="AA2479" i="8"/>
  <c r="W2479" i="8"/>
  <c r="U2479" i="8"/>
  <c r="P2479" i="8"/>
  <c r="M2479" i="8"/>
  <c r="J2479" i="8"/>
  <c r="H2479" i="8"/>
  <c r="B2479" i="8"/>
  <c r="A2479" i="8"/>
  <c r="AA2478" i="8"/>
  <c r="W2478" i="8"/>
  <c r="U2478" i="8"/>
  <c r="P2478" i="8"/>
  <c r="M2478" i="8"/>
  <c r="J2478" i="8"/>
  <c r="H2478" i="8"/>
  <c r="B2478" i="8"/>
  <c r="A2478" i="8"/>
  <c r="AA2477" i="8"/>
  <c r="W2477" i="8"/>
  <c r="U2477" i="8"/>
  <c r="P2477" i="8"/>
  <c r="M2477" i="8"/>
  <c r="J2477" i="8"/>
  <c r="H2477" i="8"/>
  <c r="B2477" i="8"/>
  <c r="A2477" i="8"/>
  <c r="AA2476" i="8"/>
  <c r="W2476" i="8"/>
  <c r="U2476" i="8"/>
  <c r="P2476" i="8"/>
  <c r="M2476" i="8"/>
  <c r="J2476" i="8"/>
  <c r="H2476" i="8"/>
  <c r="B2476" i="8"/>
  <c r="A2476" i="8"/>
  <c r="AA2475" i="8"/>
  <c r="W2475" i="8"/>
  <c r="U2475" i="8"/>
  <c r="P2475" i="8"/>
  <c r="M2475" i="8"/>
  <c r="J2475" i="8"/>
  <c r="H2475" i="8"/>
  <c r="B2475" i="8"/>
  <c r="A2475" i="8"/>
  <c r="AA2474" i="8"/>
  <c r="W2474" i="8"/>
  <c r="U2474" i="8"/>
  <c r="P2474" i="8"/>
  <c r="M2474" i="8"/>
  <c r="J2474" i="8"/>
  <c r="H2474" i="8"/>
  <c r="B2474" i="8"/>
  <c r="A2474" i="8"/>
  <c r="AA2473" i="8"/>
  <c r="W2473" i="8"/>
  <c r="U2473" i="8"/>
  <c r="P2473" i="8"/>
  <c r="M2473" i="8"/>
  <c r="J2473" i="8"/>
  <c r="H2473" i="8"/>
  <c r="B2473" i="8"/>
  <c r="A2473" i="8"/>
  <c r="AA2472" i="8"/>
  <c r="W2472" i="8"/>
  <c r="U2472" i="8"/>
  <c r="P2472" i="8"/>
  <c r="M2472" i="8"/>
  <c r="J2472" i="8"/>
  <c r="H2472" i="8"/>
  <c r="B2472" i="8"/>
  <c r="A2472" i="8"/>
  <c r="AA2471" i="8"/>
  <c r="W2471" i="8"/>
  <c r="U2471" i="8"/>
  <c r="P2471" i="8"/>
  <c r="M2471" i="8"/>
  <c r="J2471" i="8"/>
  <c r="H2471" i="8"/>
  <c r="B2471" i="8"/>
  <c r="A2471" i="8"/>
  <c r="AA2470" i="8"/>
  <c r="W2470" i="8"/>
  <c r="U2470" i="8"/>
  <c r="P2470" i="8"/>
  <c r="M2470" i="8"/>
  <c r="J2470" i="8"/>
  <c r="H2470" i="8"/>
  <c r="B2470" i="8"/>
  <c r="A2470" i="8"/>
  <c r="AA2469" i="8"/>
  <c r="W2469" i="8"/>
  <c r="U2469" i="8"/>
  <c r="P2469" i="8"/>
  <c r="M2469" i="8"/>
  <c r="J2469" i="8"/>
  <c r="H2469" i="8"/>
  <c r="B2469" i="8"/>
  <c r="A2469" i="8"/>
  <c r="AA2468" i="8"/>
  <c r="W2468" i="8"/>
  <c r="U2468" i="8"/>
  <c r="P2468" i="8"/>
  <c r="M2468" i="8"/>
  <c r="J2468" i="8"/>
  <c r="H2468" i="8"/>
  <c r="B2468" i="8"/>
  <c r="A2468" i="8"/>
  <c r="AA2467" i="8"/>
  <c r="W2467" i="8"/>
  <c r="U2467" i="8"/>
  <c r="P2467" i="8"/>
  <c r="M2467" i="8"/>
  <c r="J2467" i="8"/>
  <c r="H2467" i="8"/>
  <c r="B2467" i="8"/>
  <c r="A2467" i="8"/>
  <c r="AA2466" i="8"/>
  <c r="W2466" i="8"/>
  <c r="U2466" i="8"/>
  <c r="P2466" i="8"/>
  <c r="M2466" i="8"/>
  <c r="J2466" i="8"/>
  <c r="H2466" i="8"/>
  <c r="B2466" i="8"/>
  <c r="A2466" i="8"/>
  <c r="AA2465" i="8"/>
  <c r="W2465" i="8"/>
  <c r="U2465" i="8"/>
  <c r="P2465" i="8"/>
  <c r="M2465" i="8"/>
  <c r="J2465" i="8"/>
  <c r="H2465" i="8"/>
  <c r="B2465" i="8"/>
  <c r="A2465" i="8"/>
  <c r="AA2464" i="8"/>
  <c r="W2464" i="8"/>
  <c r="U2464" i="8"/>
  <c r="P2464" i="8"/>
  <c r="M2464" i="8"/>
  <c r="J2464" i="8"/>
  <c r="H2464" i="8"/>
  <c r="B2464" i="8"/>
  <c r="A2464" i="8"/>
  <c r="AA2463" i="8"/>
  <c r="W2463" i="8"/>
  <c r="U2463" i="8"/>
  <c r="P2463" i="8"/>
  <c r="M2463" i="8"/>
  <c r="J2463" i="8"/>
  <c r="H2463" i="8"/>
  <c r="B2463" i="8"/>
  <c r="A2463" i="8"/>
  <c r="AA2462" i="8"/>
  <c r="W2462" i="8"/>
  <c r="U2462" i="8"/>
  <c r="R2462" i="8"/>
  <c r="Q2462" i="8"/>
  <c r="P2462" i="8"/>
  <c r="M2462" i="8"/>
  <c r="J2462" i="8"/>
  <c r="H2462" i="8"/>
  <c r="B2462" i="8"/>
  <c r="A2462" i="8"/>
  <c r="AA2461" i="8"/>
  <c r="W2461" i="8"/>
  <c r="U2461" i="8"/>
  <c r="P2461" i="8"/>
  <c r="M2461" i="8"/>
  <c r="J2461" i="8"/>
  <c r="H2461" i="8"/>
  <c r="B2461" i="8"/>
  <c r="A2461" i="8"/>
  <c r="AA2460" i="8"/>
  <c r="W2460" i="8"/>
  <c r="U2460" i="8"/>
  <c r="P2460" i="8"/>
  <c r="M2460" i="8"/>
  <c r="J2460" i="8"/>
  <c r="H2460" i="8"/>
  <c r="B2460" i="8"/>
  <c r="A2460" i="8"/>
  <c r="AA2459" i="8"/>
  <c r="W2459" i="8"/>
  <c r="U2459" i="8"/>
  <c r="P2459" i="8"/>
  <c r="M2459" i="8"/>
  <c r="J2459" i="8"/>
  <c r="H2459" i="8"/>
  <c r="B2459" i="8"/>
  <c r="A2459" i="8"/>
  <c r="AA2458" i="8"/>
  <c r="W2458" i="8"/>
  <c r="U2458" i="8"/>
  <c r="R2458" i="8"/>
  <c r="Q2458" i="8"/>
  <c r="P2458" i="8"/>
  <c r="M2458" i="8"/>
  <c r="J2458" i="8"/>
  <c r="H2458" i="8"/>
  <c r="B2458" i="8"/>
  <c r="A2458" i="8"/>
  <c r="AA2457" i="8"/>
  <c r="W2457" i="8"/>
  <c r="U2457" i="8"/>
  <c r="R2457" i="8"/>
  <c r="Q2457" i="8"/>
  <c r="P2457" i="8"/>
  <c r="M2457" i="8"/>
  <c r="J2457" i="8"/>
  <c r="H2457" i="8"/>
  <c r="B2457" i="8"/>
  <c r="A2457" i="8"/>
  <c r="AA2456" i="8"/>
  <c r="W2456" i="8"/>
  <c r="U2456" i="8"/>
  <c r="P2456" i="8"/>
  <c r="M2456" i="8"/>
  <c r="J2456" i="8"/>
  <c r="H2456" i="8"/>
  <c r="B2456" i="8"/>
  <c r="A2456" i="8"/>
  <c r="AA2455" i="8"/>
  <c r="W2455" i="8"/>
  <c r="U2455" i="8"/>
  <c r="P2455" i="8"/>
  <c r="M2455" i="8"/>
  <c r="J2455" i="8"/>
  <c r="H2455" i="8"/>
  <c r="B2455" i="8"/>
  <c r="A2455" i="8"/>
  <c r="AA2454" i="8"/>
  <c r="W2454" i="8"/>
  <c r="U2454" i="8"/>
  <c r="P2454" i="8"/>
  <c r="M2454" i="8"/>
  <c r="J2454" i="8"/>
  <c r="H2454" i="8"/>
  <c r="B2454" i="8"/>
  <c r="A2454" i="8"/>
  <c r="AA2453" i="8"/>
  <c r="W2453" i="8"/>
  <c r="U2453" i="8"/>
  <c r="P2453" i="8"/>
  <c r="M2453" i="8"/>
  <c r="J2453" i="8"/>
  <c r="H2453" i="8"/>
  <c r="B2453" i="8"/>
  <c r="A2453" i="8"/>
  <c r="AA2452" i="8"/>
  <c r="W2452" i="8"/>
  <c r="U2452" i="8"/>
  <c r="P2452" i="8"/>
  <c r="M2452" i="8"/>
  <c r="J2452" i="8"/>
  <c r="H2452" i="8"/>
  <c r="B2452" i="8"/>
  <c r="A2452" i="8"/>
  <c r="AA2451" i="8"/>
  <c r="W2451" i="8"/>
  <c r="U2451" i="8"/>
  <c r="P2451" i="8"/>
  <c r="M2451" i="8"/>
  <c r="J2451" i="8"/>
  <c r="H2451" i="8"/>
  <c r="B2451" i="8"/>
  <c r="A2451" i="8"/>
  <c r="AA2450" i="8"/>
  <c r="W2450" i="8"/>
  <c r="U2450" i="8"/>
  <c r="P2450" i="8"/>
  <c r="M2450" i="8"/>
  <c r="J2450" i="8"/>
  <c r="H2450" i="8"/>
  <c r="B2450" i="8"/>
  <c r="A2450" i="8"/>
  <c r="AA2449" i="8"/>
  <c r="W2449" i="8"/>
  <c r="U2449" i="8"/>
  <c r="R2449" i="8"/>
  <c r="Q2449" i="8"/>
  <c r="P2449" i="8"/>
  <c r="M2449" i="8"/>
  <c r="J2449" i="8"/>
  <c r="H2449" i="8"/>
  <c r="B2449" i="8"/>
  <c r="A2449" i="8"/>
  <c r="AA2448" i="8"/>
  <c r="W2448" i="8"/>
  <c r="U2448" i="8"/>
  <c r="P2448" i="8"/>
  <c r="M2448" i="8"/>
  <c r="J2448" i="8"/>
  <c r="H2448" i="8"/>
  <c r="B2448" i="8"/>
  <c r="A2448" i="8"/>
  <c r="AA2447" i="8"/>
  <c r="W2447" i="8"/>
  <c r="U2447" i="8"/>
  <c r="P2447" i="8"/>
  <c r="M2447" i="8"/>
  <c r="J2447" i="8"/>
  <c r="H2447" i="8"/>
  <c r="B2447" i="8"/>
  <c r="A2447" i="8"/>
  <c r="AA2446" i="8"/>
  <c r="W2446" i="8"/>
  <c r="U2446" i="8"/>
  <c r="P2446" i="8"/>
  <c r="M2446" i="8"/>
  <c r="J2446" i="8"/>
  <c r="H2446" i="8"/>
  <c r="B2446" i="8"/>
  <c r="A2446" i="8"/>
  <c r="AA2445" i="8"/>
  <c r="W2445" i="8"/>
  <c r="U2445" i="8"/>
  <c r="P2445" i="8"/>
  <c r="M2445" i="8"/>
  <c r="J2445" i="8"/>
  <c r="H2445" i="8"/>
  <c r="B2445" i="8"/>
  <c r="A2445" i="8"/>
  <c r="AA2444" i="8"/>
  <c r="W2444" i="8"/>
  <c r="U2444" i="8"/>
  <c r="P2444" i="8"/>
  <c r="M2444" i="8"/>
  <c r="J2444" i="8"/>
  <c r="H2444" i="8"/>
  <c r="B2444" i="8"/>
  <c r="A2444" i="8"/>
  <c r="AA2443" i="8"/>
  <c r="W2443" i="8"/>
  <c r="U2443" i="8"/>
  <c r="P2443" i="8"/>
  <c r="M2443" i="8"/>
  <c r="J2443" i="8"/>
  <c r="H2443" i="8"/>
  <c r="B2443" i="8"/>
  <c r="A2443" i="8"/>
  <c r="AA2442" i="8"/>
  <c r="W2442" i="8"/>
  <c r="U2442" i="8"/>
  <c r="P2442" i="8"/>
  <c r="M2442" i="8"/>
  <c r="J2442" i="8"/>
  <c r="H2442" i="8"/>
  <c r="B2442" i="8"/>
  <c r="A2442" i="8"/>
  <c r="AA2441" i="8"/>
  <c r="W2441" i="8"/>
  <c r="U2441" i="8"/>
  <c r="P2441" i="8"/>
  <c r="M2441" i="8"/>
  <c r="J2441" i="8"/>
  <c r="H2441" i="8"/>
  <c r="B2441" i="8"/>
  <c r="A2441" i="8"/>
  <c r="AA2440" i="8"/>
  <c r="W2440" i="8"/>
  <c r="U2440" i="8"/>
  <c r="P2440" i="8"/>
  <c r="M2440" i="8"/>
  <c r="J2440" i="8"/>
  <c r="H2440" i="8"/>
  <c r="B2440" i="8"/>
  <c r="A2440" i="8"/>
  <c r="AA2439" i="8"/>
  <c r="W2439" i="8"/>
  <c r="U2439" i="8"/>
  <c r="P2439" i="8"/>
  <c r="M2439" i="8"/>
  <c r="J2439" i="8"/>
  <c r="H2439" i="8"/>
  <c r="B2439" i="8"/>
  <c r="A2439" i="8"/>
  <c r="AA2438" i="8"/>
  <c r="W2438" i="8"/>
  <c r="U2438" i="8"/>
  <c r="P2438" i="8"/>
  <c r="M2438" i="8"/>
  <c r="J2438" i="8"/>
  <c r="H2438" i="8"/>
  <c r="B2438" i="8"/>
  <c r="A2438" i="8"/>
  <c r="AA2437" i="8"/>
  <c r="W2437" i="8"/>
  <c r="U2437" i="8"/>
  <c r="R2437" i="8"/>
  <c r="Q2437" i="8"/>
  <c r="P2437" i="8"/>
  <c r="M2437" i="8"/>
  <c r="J2437" i="8"/>
  <c r="H2437" i="8"/>
  <c r="B2437" i="8"/>
  <c r="A2437" i="8"/>
  <c r="AA2436" i="8"/>
  <c r="W2436" i="8"/>
  <c r="U2436" i="8"/>
  <c r="P2436" i="8"/>
  <c r="M2436" i="8"/>
  <c r="J2436" i="8"/>
  <c r="H2436" i="8"/>
  <c r="B2436" i="8"/>
  <c r="A2436" i="8"/>
  <c r="AA2435" i="8"/>
  <c r="W2435" i="8"/>
  <c r="U2435" i="8"/>
  <c r="P2435" i="8"/>
  <c r="M2435" i="8"/>
  <c r="J2435" i="8"/>
  <c r="H2435" i="8"/>
  <c r="B2435" i="8"/>
  <c r="A2435" i="8"/>
  <c r="AA2434" i="8"/>
  <c r="W2434" i="8"/>
  <c r="U2434" i="8"/>
  <c r="P2434" i="8"/>
  <c r="M2434" i="8"/>
  <c r="J2434" i="8"/>
  <c r="H2434" i="8"/>
  <c r="B2434" i="8"/>
  <c r="A2434" i="8"/>
  <c r="AA2433" i="8"/>
  <c r="W2433" i="8"/>
  <c r="U2433" i="8"/>
  <c r="P2433" i="8"/>
  <c r="M2433" i="8"/>
  <c r="J2433" i="8"/>
  <c r="H2433" i="8"/>
  <c r="B2433" i="8"/>
  <c r="A2433" i="8"/>
  <c r="AA2432" i="8"/>
  <c r="W2432" i="8"/>
  <c r="U2432" i="8"/>
  <c r="P2432" i="8"/>
  <c r="M2432" i="8"/>
  <c r="J2432" i="8"/>
  <c r="H2432" i="8"/>
  <c r="B2432" i="8"/>
  <c r="A2432" i="8"/>
  <c r="AA2431" i="8"/>
  <c r="W2431" i="8"/>
  <c r="U2431" i="8"/>
  <c r="P2431" i="8"/>
  <c r="M2431" i="8"/>
  <c r="J2431" i="8"/>
  <c r="H2431" i="8"/>
  <c r="B2431" i="8"/>
  <c r="A2431" i="8"/>
  <c r="AA2430" i="8"/>
  <c r="W2430" i="8"/>
  <c r="U2430" i="8"/>
  <c r="P2430" i="8"/>
  <c r="M2430" i="8"/>
  <c r="J2430" i="8"/>
  <c r="H2430" i="8"/>
  <c r="B2430" i="8"/>
  <c r="A2430" i="8"/>
  <c r="AA2429" i="8"/>
  <c r="W2429" i="8"/>
  <c r="U2429" i="8"/>
  <c r="P2429" i="8"/>
  <c r="M2429" i="8"/>
  <c r="J2429" i="8"/>
  <c r="H2429" i="8"/>
  <c r="B2429" i="8"/>
  <c r="A2429" i="8"/>
  <c r="AA2428" i="8"/>
  <c r="W2428" i="8"/>
  <c r="U2428" i="8"/>
  <c r="P2428" i="8"/>
  <c r="M2428" i="8"/>
  <c r="J2428" i="8"/>
  <c r="H2428" i="8"/>
  <c r="B2428" i="8"/>
  <c r="A2428" i="8"/>
  <c r="AA2427" i="8"/>
  <c r="W2427" i="8"/>
  <c r="U2427" i="8"/>
  <c r="P2427" i="8"/>
  <c r="M2427" i="8"/>
  <c r="J2427" i="8"/>
  <c r="H2427" i="8"/>
  <c r="B2427" i="8"/>
  <c r="A2427" i="8"/>
  <c r="AA2426" i="8"/>
  <c r="W2426" i="8"/>
  <c r="U2426" i="8"/>
  <c r="P2426" i="8"/>
  <c r="M2426" i="8"/>
  <c r="J2426" i="8"/>
  <c r="H2426" i="8"/>
  <c r="B2426" i="8"/>
  <c r="A2426" i="8"/>
  <c r="AA2425" i="8"/>
  <c r="W2425" i="8"/>
  <c r="U2425" i="8"/>
  <c r="P2425" i="8"/>
  <c r="M2425" i="8"/>
  <c r="J2425" i="8"/>
  <c r="H2425" i="8"/>
  <c r="B2425" i="8"/>
  <c r="A2425" i="8"/>
  <c r="AA2424" i="8"/>
  <c r="W2424" i="8"/>
  <c r="U2424" i="8"/>
  <c r="P2424" i="8"/>
  <c r="M2424" i="8"/>
  <c r="J2424" i="8"/>
  <c r="H2424" i="8"/>
  <c r="B2424" i="8"/>
  <c r="A2424" i="8"/>
  <c r="AA2423" i="8"/>
  <c r="W2423" i="8"/>
  <c r="U2423" i="8"/>
  <c r="P2423" i="8"/>
  <c r="M2423" i="8"/>
  <c r="J2423" i="8"/>
  <c r="H2423" i="8"/>
  <c r="B2423" i="8"/>
  <c r="A2423" i="8"/>
  <c r="AA2422" i="8"/>
  <c r="W2422" i="8"/>
  <c r="U2422" i="8"/>
  <c r="P2422" i="8"/>
  <c r="M2422" i="8"/>
  <c r="J2422" i="8"/>
  <c r="H2422" i="8"/>
  <c r="B2422" i="8"/>
  <c r="A2422" i="8"/>
  <c r="AA2421" i="8"/>
  <c r="W2421" i="8"/>
  <c r="U2421" i="8"/>
  <c r="R2421" i="8"/>
  <c r="Q2421" i="8"/>
  <c r="P2421" i="8"/>
  <c r="M2421" i="8"/>
  <c r="J2421" i="8"/>
  <c r="H2421" i="8"/>
  <c r="B2421" i="8"/>
  <c r="A2421" i="8"/>
  <c r="AA2420" i="8"/>
  <c r="W2420" i="8"/>
  <c r="U2420" i="8"/>
  <c r="P2420" i="8"/>
  <c r="M2420" i="8"/>
  <c r="J2420" i="8"/>
  <c r="H2420" i="8"/>
  <c r="B2420" i="8"/>
  <c r="A2420" i="8"/>
  <c r="AA2419" i="8"/>
  <c r="W2419" i="8"/>
  <c r="U2419" i="8"/>
  <c r="R2419" i="8"/>
  <c r="Q2419" i="8"/>
  <c r="P2419" i="8"/>
  <c r="M2419" i="8"/>
  <c r="J2419" i="8"/>
  <c r="H2419" i="8"/>
  <c r="B2419" i="8"/>
  <c r="A2419" i="8"/>
  <c r="AA2418" i="8"/>
  <c r="W2418" i="8"/>
  <c r="U2418" i="8"/>
  <c r="P2418" i="8"/>
  <c r="M2418" i="8"/>
  <c r="J2418" i="8"/>
  <c r="H2418" i="8"/>
  <c r="B2418" i="8"/>
  <c r="A2418" i="8"/>
  <c r="AA2417" i="8"/>
  <c r="W2417" i="8"/>
  <c r="U2417" i="8"/>
  <c r="P2417" i="8"/>
  <c r="M2417" i="8"/>
  <c r="J2417" i="8"/>
  <c r="H2417" i="8"/>
  <c r="B2417" i="8"/>
  <c r="A2417" i="8"/>
  <c r="AA2416" i="8"/>
  <c r="W2416" i="8"/>
  <c r="U2416" i="8"/>
  <c r="P2416" i="8"/>
  <c r="M2416" i="8"/>
  <c r="J2416" i="8"/>
  <c r="H2416" i="8"/>
  <c r="B2416" i="8"/>
  <c r="A2416" i="8"/>
  <c r="AA2415" i="8"/>
  <c r="W2415" i="8"/>
  <c r="U2415" i="8"/>
  <c r="P2415" i="8"/>
  <c r="M2415" i="8"/>
  <c r="J2415" i="8"/>
  <c r="H2415" i="8"/>
  <c r="B2415" i="8"/>
  <c r="A2415" i="8"/>
  <c r="AA2414" i="8"/>
  <c r="W2414" i="8"/>
  <c r="U2414" i="8"/>
  <c r="P2414" i="8"/>
  <c r="M2414" i="8"/>
  <c r="J2414" i="8"/>
  <c r="H2414" i="8"/>
  <c r="B2414" i="8"/>
  <c r="A2414" i="8"/>
  <c r="AA2413" i="8"/>
  <c r="W2413" i="8"/>
  <c r="U2413" i="8"/>
  <c r="P2413" i="8"/>
  <c r="M2413" i="8"/>
  <c r="J2413" i="8"/>
  <c r="H2413" i="8"/>
  <c r="B2413" i="8"/>
  <c r="A2413" i="8"/>
  <c r="AA2412" i="8"/>
  <c r="W2412" i="8"/>
  <c r="U2412" i="8"/>
  <c r="P2412" i="8"/>
  <c r="M2412" i="8"/>
  <c r="J2412" i="8"/>
  <c r="H2412" i="8"/>
  <c r="B2412" i="8"/>
  <c r="A2412" i="8"/>
  <c r="AA2411" i="8"/>
  <c r="W2411" i="8"/>
  <c r="U2411" i="8"/>
  <c r="R2411" i="8"/>
  <c r="Q2411" i="8"/>
  <c r="P2411" i="8"/>
  <c r="M2411" i="8"/>
  <c r="J2411" i="8"/>
  <c r="H2411" i="8"/>
  <c r="B2411" i="8"/>
  <c r="A2411" i="8"/>
  <c r="AA2410" i="8"/>
  <c r="W2410" i="8"/>
  <c r="U2410" i="8"/>
  <c r="P2410" i="8"/>
  <c r="M2410" i="8"/>
  <c r="J2410" i="8"/>
  <c r="H2410" i="8"/>
  <c r="B2410" i="8"/>
  <c r="A2410" i="8"/>
  <c r="AA2409" i="8"/>
  <c r="W2409" i="8"/>
  <c r="U2409" i="8"/>
  <c r="P2409" i="8"/>
  <c r="M2409" i="8"/>
  <c r="J2409" i="8"/>
  <c r="H2409" i="8"/>
  <c r="B2409" i="8"/>
  <c r="A2409" i="8"/>
  <c r="AA2408" i="8"/>
  <c r="W2408" i="8"/>
  <c r="U2408" i="8"/>
  <c r="P2408" i="8"/>
  <c r="M2408" i="8"/>
  <c r="J2408" i="8"/>
  <c r="H2408" i="8"/>
  <c r="B2408" i="8"/>
  <c r="A2408" i="8"/>
  <c r="AA2407" i="8"/>
  <c r="W2407" i="8"/>
  <c r="U2407" i="8"/>
  <c r="P2407" i="8"/>
  <c r="M2407" i="8"/>
  <c r="J2407" i="8"/>
  <c r="H2407" i="8"/>
  <c r="B2407" i="8"/>
  <c r="A2407" i="8"/>
  <c r="AA2406" i="8"/>
  <c r="W2406" i="8"/>
  <c r="U2406" i="8"/>
  <c r="P2406" i="8"/>
  <c r="M2406" i="8"/>
  <c r="J2406" i="8"/>
  <c r="H2406" i="8"/>
  <c r="B2406" i="8"/>
  <c r="A2406" i="8"/>
  <c r="AA2405" i="8"/>
  <c r="W2405" i="8"/>
  <c r="U2405" i="8"/>
  <c r="R2405" i="8"/>
  <c r="Q2405" i="8"/>
  <c r="P2405" i="8"/>
  <c r="M2405" i="8"/>
  <c r="J2405" i="8"/>
  <c r="H2405" i="8"/>
  <c r="B2405" i="8"/>
  <c r="A2405" i="8"/>
  <c r="AA2404" i="8"/>
  <c r="W2404" i="8"/>
  <c r="U2404" i="8"/>
  <c r="P2404" i="8"/>
  <c r="M2404" i="8"/>
  <c r="J2404" i="8"/>
  <c r="H2404" i="8"/>
  <c r="B2404" i="8"/>
  <c r="A2404" i="8"/>
  <c r="AA2403" i="8"/>
  <c r="W2403" i="8"/>
  <c r="U2403" i="8"/>
  <c r="P2403" i="8"/>
  <c r="M2403" i="8"/>
  <c r="J2403" i="8"/>
  <c r="H2403" i="8"/>
  <c r="B2403" i="8"/>
  <c r="A2403" i="8"/>
  <c r="AA2402" i="8"/>
  <c r="W2402" i="8"/>
  <c r="U2402" i="8"/>
  <c r="P2402" i="8"/>
  <c r="M2402" i="8"/>
  <c r="J2402" i="8"/>
  <c r="H2402" i="8"/>
  <c r="B2402" i="8"/>
  <c r="A2402" i="8"/>
  <c r="AA2401" i="8"/>
  <c r="W2401" i="8"/>
  <c r="U2401" i="8"/>
  <c r="P2401" i="8"/>
  <c r="M2401" i="8"/>
  <c r="J2401" i="8"/>
  <c r="H2401" i="8"/>
  <c r="B2401" i="8"/>
  <c r="A2401" i="8"/>
  <c r="AA2400" i="8"/>
  <c r="W2400" i="8"/>
  <c r="U2400" i="8"/>
  <c r="P2400" i="8"/>
  <c r="M2400" i="8"/>
  <c r="J2400" i="8"/>
  <c r="H2400" i="8"/>
  <c r="B2400" i="8"/>
  <c r="A2400" i="8"/>
  <c r="AA2399" i="8"/>
  <c r="W2399" i="8"/>
  <c r="U2399" i="8"/>
  <c r="P2399" i="8"/>
  <c r="M2399" i="8"/>
  <c r="J2399" i="8"/>
  <c r="H2399" i="8"/>
  <c r="B2399" i="8"/>
  <c r="A2399" i="8"/>
  <c r="AA2398" i="8"/>
  <c r="W2398" i="8"/>
  <c r="U2398" i="8"/>
  <c r="P2398" i="8"/>
  <c r="M2398" i="8"/>
  <c r="J2398" i="8"/>
  <c r="H2398" i="8"/>
  <c r="B2398" i="8"/>
  <c r="A2398" i="8"/>
  <c r="AA2397" i="8"/>
  <c r="W2397" i="8"/>
  <c r="U2397" i="8"/>
  <c r="P2397" i="8"/>
  <c r="M2397" i="8"/>
  <c r="J2397" i="8"/>
  <c r="H2397" i="8"/>
  <c r="B2397" i="8"/>
  <c r="A2397" i="8"/>
  <c r="AA2396" i="8"/>
  <c r="W2396" i="8"/>
  <c r="U2396" i="8"/>
  <c r="P2396" i="8"/>
  <c r="M2396" i="8"/>
  <c r="J2396" i="8"/>
  <c r="H2396" i="8"/>
  <c r="B2396" i="8"/>
  <c r="A2396" i="8"/>
  <c r="AA2395" i="8"/>
  <c r="W2395" i="8"/>
  <c r="U2395" i="8"/>
  <c r="P2395" i="8"/>
  <c r="M2395" i="8"/>
  <c r="J2395" i="8"/>
  <c r="H2395" i="8"/>
  <c r="B2395" i="8"/>
  <c r="A2395" i="8"/>
  <c r="AA2394" i="8"/>
  <c r="W2394" i="8"/>
  <c r="U2394" i="8"/>
  <c r="P2394" i="8"/>
  <c r="M2394" i="8"/>
  <c r="J2394" i="8"/>
  <c r="H2394" i="8"/>
  <c r="B2394" i="8"/>
  <c r="A2394" i="8"/>
  <c r="AA2393" i="8"/>
  <c r="W2393" i="8"/>
  <c r="U2393" i="8"/>
  <c r="P2393" i="8"/>
  <c r="M2393" i="8"/>
  <c r="J2393" i="8"/>
  <c r="H2393" i="8"/>
  <c r="B2393" i="8"/>
  <c r="A2393" i="8"/>
  <c r="AA2392" i="8"/>
  <c r="W2392" i="8"/>
  <c r="U2392" i="8"/>
  <c r="R2392" i="8"/>
  <c r="Q2392" i="8"/>
  <c r="P2392" i="8"/>
  <c r="M2392" i="8"/>
  <c r="J2392" i="8"/>
  <c r="H2392" i="8"/>
  <c r="B2392" i="8"/>
  <c r="A2392" i="8"/>
  <c r="AA2391" i="8"/>
  <c r="W2391" i="8"/>
  <c r="U2391" i="8"/>
  <c r="P2391" i="8"/>
  <c r="M2391" i="8"/>
  <c r="J2391" i="8"/>
  <c r="H2391" i="8"/>
  <c r="B2391" i="8"/>
  <c r="A2391" i="8"/>
  <c r="AA2390" i="8"/>
  <c r="W2390" i="8"/>
  <c r="U2390" i="8"/>
  <c r="P2390" i="8"/>
  <c r="M2390" i="8"/>
  <c r="J2390" i="8"/>
  <c r="H2390" i="8"/>
  <c r="B2390" i="8"/>
  <c r="A2390" i="8"/>
  <c r="AA2389" i="8"/>
  <c r="W2389" i="8"/>
  <c r="U2389" i="8"/>
  <c r="R2389" i="8"/>
  <c r="Q2389" i="8"/>
  <c r="P2389" i="8"/>
  <c r="M2389" i="8"/>
  <c r="J2389" i="8"/>
  <c r="H2389" i="8"/>
  <c r="B2389" i="8"/>
  <c r="A2389" i="8"/>
  <c r="AA2388" i="8"/>
  <c r="W2388" i="8"/>
  <c r="U2388" i="8"/>
  <c r="P2388" i="8"/>
  <c r="M2388" i="8"/>
  <c r="J2388" i="8"/>
  <c r="H2388" i="8"/>
  <c r="B2388" i="8"/>
  <c r="A2388" i="8"/>
  <c r="AA2387" i="8"/>
  <c r="W2387" i="8"/>
  <c r="U2387" i="8"/>
  <c r="P2387" i="8"/>
  <c r="M2387" i="8"/>
  <c r="J2387" i="8"/>
  <c r="H2387" i="8"/>
  <c r="B2387" i="8"/>
  <c r="A2387" i="8"/>
  <c r="AA2386" i="8"/>
  <c r="W2386" i="8"/>
  <c r="U2386" i="8"/>
  <c r="P2386" i="8"/>
  <c r="M2386" i="8"/>
  <c r="J2386" i="8"/>
  <c r="H2386" i="8"/>
  <c r="B2386" i="8"/>
  <c r="A2386" i="8"/>
  <c r="AA2385" i="8"/>
  <c r="W2385" i="8"/>
  <c r="U2385" i="8"/>
  <c r="P2385" i="8"/>
  <c r="M2385" i="8"/>
  <c r="J2385" i="8"/>
  <c r="H2385" i="8"/>
  <c r="B2385" i="8"/>
  <c r="A2385" i="8"/>
  <c r="AA2384" i="8"/>
  <c r="W2384" i="8"/>
  <c r="U2384" i="8"/>
  <c r="R2384" i="8"/>
  <c r="Q2384" i="8"/>
  <c r="P2384" i="8"/>
  <c r="M2384" i="8"/>
  <c r="J2384" i="8"/>
  <c r="H2384" i="8"/>
  <c r="B2384" i="8"/>
  <c r="A2384" i="8"/>
  <c r="AA2383" i="8"/>
  <c r="W2383" i="8"/>
  <c r="U2383" i="8"/>
  <c r="P2383" i="8"/>
  <c r="M2383" i="8"/>
  <c r="J2383" i="8"/>
  <c r="H2383" i="8"/>
  <c r="B2383" i="8"/>
  <c r="A2383" i="8"/>
  <c r="AA2382" i="8"/>
  <c r="W2382" i="8"/>
  <c r="U2382" i="8"/>
  <c r="P2382" i="8"/>
  <c r="M2382" i="8"/>
  <c r="J2382" i="8"/>
  <c r="H2382" i="8"/>
  <c r="B2382" i="8"/>
  <c r="A2382" i="8"/>
  <c r="AA2381" i="8"/>
  <c r="W2381" i="8"/>
  <c r="U2381" i="8"/>
  <c r="P2381" i="8"/>
  <c r="M2381" i="8"/>
  <c r="J2381" i="8"/>
  <c r="H2381" i="8"/>
  <c r="B2381" i="8"/>
  <c r="A2381" i="8"/>
  <c r="AA2380" i="8"/>
  <c r="W2380" i="8"/>
  <c r="U2380" i="8"/>
  <c r="P2380" i="8"/>
  <c r="M2380" i="8"/>
  <c r="J2380" i="8"/>
  <c r="H2380" i="8"/>
  <c r="B2380" i="8"/>
  <c r="A2380" i="8"/>
  <c r="AA2379" i="8"/>
  <c r="W2379" i="8"/>
  <c r="U2379" i="8"/>
  <c r="P2379" i="8"/>
  <c r="M2379" i="8"/>
  <c r="J2379" i="8"/>
  <c r="H2379" i="8"/>
  <c r="B2379" i="8"/>
  <c r="A2379" i="8"/>
  <c r="AA2378" i="8"/>
  <c r="W2378" i="8"/>
  <c r="U2378" i="8"/>
  <c r="P2378" i="8"/>
  <c r="M2378" i="8"/>
  <c r="J2378" i="8"/>
  <c r="H2378" i="8"/>
  <c r="B2378" i="8"/>
  <c r="A2378" i="8"/>
  <c r="AA2377" i="8"/>
  <c r="W2377" i="8"/>
  <c r="U2377" i="8"/>
  <c r="P2377" i="8"/>
  <c r="M2377" i="8"/>
  <c r="J2377" i="8"/>
  <c r="H2377" i="8"/>
  <c r="B2377" i="8"/>
  <c r="A2377" i="8"/>
  <c r="AA2376" i="8"/>
  <c r="W2376" i="8"/>
  <c r="U2376" i="8"/>
  <c r="P2376" i="8"/>
  <c r="M2376" i="8"/>
  <c r="J2376" i="8"/>
  <c r="H2376" i="8"/>
  <c r="B2376" i="8"/>
  <c r="A2376" i="8"/>
  <c r="AA2375" i="8"/>
  <c r="W2375" i="8"/>
  <c r="U2375" i="8"/>
  <c r="P2375" i="8"/>
  <c r="M2375" i="8"/>
  <c r="J2375" i="8"/>
  <c r="H2375" i="8"/>
  <c r="B2375" i="8"/>
  <c r="A2375" i="8"/>
  <c r="AA2374" i="8"/>
  <c r="W2374" i="8"/>
  <c r="U2374" i="8"/>
  <c r="P2374" i="8"/>
  <c r="M2374" i="8"/>
  <c r="J2374" i="8"/>
  <c r="H2374" i="8"/>
  <c r="B2374" i="8"/>
  <c r="A2374" i="8"/>
  <c r="AA2373" i="8"/>
  <c r="W2373" i="8"/>
  <c r="U2373" i="8"/>
  <c r="P2373" i="8"/>
  <c r="M2373" i="8"/>
  <c r="J2373" i="8"/>
  <c r="H2373" i="8"/>
  <c r="B2373" i="8"/>
  <c r="A2373" i="8"/>
  <c r="AA2372" i="8"/>
  <c r="W2372" i="8"/>
  <c r="U2372" i="8"/>
  <c r="P2372" i="8"/>
  <c r="M2372" i="8"/>
  <c r="J2372" i="8"/>
  <c r="H2372" i="8"/>
  <c r="B2372" i="8"/>
  <c r="A2372" i="8"/>
  <c r="AA2371" i="8"/>
  <c r="W2371" i="8"/>
  <c r="U2371" i="8"/>
  <c r="P2371" i="8"/>
  <c r="M2371" i="8"/>
  <c r="J2371" i="8"/>
  <c r="H2371" i="8"/>
  <c r="B2371" i="8"/>
  <c r="A2371" i="8"/>
  <c r="AA2370" i="8"/>
  <c r="W2370" i="8"/>
  <c r="U2370" i="8"/>
  <c r="P2370" i="8"/>
  <c r="M2370" i="8"/>
  <c r="J2370" i="8"/>
  <c r="H2370" i="8"/>
  <c r="B2370" i="8"/>
  <c r="A2370" i="8"/>
  <c r="AA2369" i="8"/>
  <c r="W2369" i="8"/>
  <c r="U2369" i="8"/>
  <c r="P2369" i="8"/>
  <c r="M2369" i="8"/>
  <c r="J2369" i="8"/>
  <c r="H2369" i="8"/>
  <c r="B2369" i="8"/>
  <c r="A2369" i="8"/>
  <c r="AA2368" i="8"/>
  <c r="W2368" i="8"/>
  <c r="U2368" i="8"/>
  <c r="P2368" i="8"/>
  <c r="M2368" i="8"/>
  <c r="J2368" i="8"/>
  <c r="H2368" i="8"/>
  <c r="B2368" i="8"/>
  <c r="A2368" i="8"/>
  <c r="AA2367" i="8"/>
  <c r="W2367" i="8"/>
  <c r="U2367" i="8"/>
  <c r="P2367" i="8"/>
  <c r="M2367" i="8"/>
  <c r="J2367" i="8"/>
  <c r="H2367" i="8"/>
  <c r="B2367" i="8"/>
  <c r="A2367" i="8"/>
  <c r="AA2366" i="8"/>
  <c r="W2366" i="8"/>
  <c r="U2366" i="8"/>
  <c r="P2366" i="8"/>
  <c r="M2366" i="8"/>
  <c r="J2366" i="8"/>
  <c r="H2366" i="8"/>
  <c r="B2366" i="8"/>
  <c r="A2366" i="8"/>
  <c r="AA2365" i="8"/>
  <c r="W2365" i="8"/>
  <c r="U2365" i="8"/>
  <c r="R2365" i="8"/>
  <c r="Q2365" i="8"/>
  <c r="P2365" i="8"/>
  <c r="M2365" i="8"/>
  <c r="J2365" i="8"/>
  <c r="H2365" i="8"/>
  <c r="B2365" i="8"/>
  <c r="A2365" i="8"/>
  <c r="AA2364" i="8"/>
  <c r="W2364" i="8"/>
  <c r="U2364" i="8"/>
  <c r="P2364" i="8"/>
  <c r="M2364" i="8"/>
  <c r="J2364" i="8"/>
  <c r="H2364" i="8"/>
  <c r="B2364" i="8"/>
  <c r="A2364" i="8"/>
  <c r="AA2363" i="8"/>
  <c r="W2363" i="8"/>
  <c r="U2363" i="8"/>
  <c r="P2363" i="8"/>
  <c r="M2363" i="8"/>
  <c r="J2363" i="8"/>
  <c r="H2363" i="8"/>
  <c r="B2363" i="8"/>
  <c r="A2363" i="8"/>
  <c r="AA2362" i="8"/>
  <c r="W2362" i="8"/>
  <c r="U2362" i="8"/>
  <c r="P2362" i="8"/>
  <c r="M2362" i="8"/>
  <c r="J2362" i="8"/>
  <c r="H2362" i="8"/>
  <c r="B2362" i="8"/>
  <c r="A2362" i="8"/>
  <c r="AA2361" i="8"/>
  <c r="W2361" i="8"/>
  <c r="U2361" i="8"/>
  <c r="R2361" i="8"/>
  <c r="Q2361" i="8"/>
  <c r="P2361" i="8"/>
  <c r="M2361" i="8"/>
  <c r="J2361" i="8"/>
  <c r="H2361" i="8"/>
  <c r="B2361" i="8"/>
  <c r="A2361" i="8"/>
  <c r="AA2360" i="8"/>
  <c r="W2360" i="8"/>
  <c r="U2360" i="8"/>
  <c r="P2360" i="8"/>
  <c r="M2360" i="8"/>
  <c r="J2360" i="8"/>
  <c r="H2360" i="8"/>
  <c r="B2360" i="8"/>
  <c r="A2360" i="8"/>
  <c r="AA2359" i="8"/>
  <c r="W2359" i="8"/>
  <c r="U2359" i="8"/>
  <c r="P2359" i="8"/>
  <c r="M2359" i="8"/>
  <c r="J2359" i="8"/>
  <c r="H2359" i="8"/>
  <c r="B2359" i="8"/>
  <c r="A2359" i="8"/>
  <c r="AA2358" i="8"/>
  <c r="W2358" i="8"/>
  <c r="U2358" i="8"/>
  <c r="P2358" i="8"/>
  <c r="M2358" i="8"/>
  <c r="J2358" i="8"/>
  <c r="H2358" i="8"/>
  <c r="B2358" i="8"/>
  <c r="A2358" i="8"/>
  <c r="AA2357" i="8"/>
  <c r="W2357" i="8"/>
  <c r="U2357" i="8"/>
  <c r="P2357" i="8"/>
  <c r="M2357" i="8"/>
  <c r="J2357" i="8"/>
  <c r="H2357" i="8"/>
  <c r="B2357" i="8"/>
  <c r="A2357" i="8"/>
  <c r="AA2356" i="8"/>
  <c r="W2356" i="8"/>
  <c r="U2356" i="8"/>
  <c r="P2356" i="8"/>
  <c r="M2356" i="8"/>
  <c r="J2356" i="8"/>
  <c r="H2356" i="8"/>
  <c r="B2356" i="8"/>
  <c r="A2356" i="8"/>
  <c r="AA2355" i="8"/>
  <c r="W2355" i="8"/>
  <c r="U2355" i="8"/>
  <c r="P2355" i="8"/>
  <c r="M2355" i="8"/>
  <c r="J2355" i="8"/>
  <c r="H2355" i="8"/>
  <c r="B2355" i="8"/>
  <c r="A2355" i="8"/>
  <c r="AA2354" i="8"/>
  <c r="W2354" i="8"/>
  <c r="U2354" i="8"/>
  <c r="P2354" i="8"/>
  <c r="M2354" i="8"/>
  <c r="J2354" i="8"/>
  <c r="H2354" i="8"/>
  <c r="B2354" i="8"/>
  <c r="A2354" i="8"/>
  <c r="AA2353" i="8"/>
  <c r="W2353" i="8"/>
  <c r="U2353" i="8"/>
  <c r="P2353" i="8"/>
  <c r="M2353" i="8"/>
  <c r="J2353" i="8"/>
  <c r="H2353" i="8"/>
  <c r="B2353" i="8"/>
  <c r="A2353" i="8"/>
  <c r="AA2352" i="8"/>
  <c r="W2352" i="8"/>
  <c r="U2352" i="8"/>
  <c r="P2352" i="8"/>
  <c r="M2352" i="8"/>
  <c r="J2352" i="8"/>
  <c r="H2352" i="8"/>
  <c r="B2352" i="8"/>
  <c r="A2352" i="8"/>
  <c r="AA2351" i="8"/>
  <c r="W2351" i="8"/>
  <c r="U2351" i="8"/>
  <c r="P2351" i="8"/>
  <c r="M2351" i="8"/>
  <c r="J2351" i="8"/>
  <c r="H2351" i="8"/>
  <c r="B2351" i="8"/>
  <c r="A2351" i="8"/>
  <c r="AA2350" i="8"/>
  <c r="W2350" i="8"/>
  <c r="U2350" i="8"/>
  <c r="P2350" i="8"/>
  <c r="M2350" i="8"/>
  <c r="J2350" i="8"/>
  <c r="H2350" i="8"/>
  <c r="B2350" i="8"/>
  <c r="A2350" i="8"/>
  <c r="AA2349" i="8"/>
  <c r="W2349" i="8"/>
  <c r="U2349" i="8"/>
  <c r="P2349" i="8"/>
  <c r="M2349" i="8"/>
  <c r="J2349" i="8"/>
  <c r="H2349" i="8"/>
  <c r="B2349" i="8"/>
  <c r="A2349" i="8"/>
  <c r="AA2348" i="8"/>
  <c r="W2348" i="8"/>
  <c r="U2348" i="8"/>
  <c r="P2348" i="8"/>
  <c r="M2348" i="8"/>
  <c r="J2348" i="8"/>
  <c r="H2348" i="8"/>
  <c r="B2348" i="8"/>
  <c r="A2348" i="8"/>
  <c r="AA2347" i="8"/>
  <c r="W2347" i="8"/>
  <c r="U2347" i="8"/>
  <c r="P2347" i="8"/>
  <c r="M2347" i="8"/>
  <c r="J2347" i="8"/>
  <c r="H2347" i="8"/>
  <c r="B2347" i="8"/>
  <c r="A2347" i="8"/>
  <c r="AA2346" i="8"/>
  <c r="W2346" i="8"/>
  <c r="U2346" i="8"/>
  <c r="P2346" i="8"/>
  <c r="M2346" i="8"/>
  <c r="J2346" i="8"/>
  <c r="H2346" i="8"/>
  <c r="B2346" i="8"/>
  <c r="A2346" i="8"/>
  <c r="AA2345" i="8"/>
  <c r="W2345" i="8"/>
  <c r="U2345" i="8"/>
  <c r="P2345" i="8"/>
  <c r="M2345" i="8"/>
  <c r="J2345" i="8"/>
  <c r="H2345" i="8"/>
  <c r="B2345" i="8"/>
  <c r="A2345" i="8"/>
  <c r="AA2344" i="8"/>
  <c r="W2344" i="8"/>
  <c r="U2344" i="8"/>
  <c r="P2344" i="8"/>
  <c r="M2344" i="8"/>
  <c r="J2344" i="8"/>
  <c r="H2344" i="8"/>
  <c r="B2344" i="8"/>
  <c r="A2344" i="8"/>
  <c r="AA2343" i="8"/>
  <c r="W2343" i="8"/>
  <c r="U2343" i="8"/>
  <c r="P2343" i="8"/>
  <c r="M2343" i="8"/>
  <c r="J2343" i="8"/>
  <c r="H2343" i="8"/>
  <c r="B2343" i="8"/>
  <c r="A2343" i="8"/>
  <c r="AA2342" i="8"/>
  <c r="W2342" i="8"/>
  <c r="U2342" i="8"/>
  <c r="P2342" i="8"/>
  <c r="M2342" i="8"/>
  <c r="J2342" i="8"/>
  <c r="H2342" i="8"/>
  <c r="B2342" i="8"/>
  <c r="A2342" i="8"/>
  <c r="AA2341" i="8"/>
  <c r="W2341" i="8"/>
  <c r="U2341" i="8"/>
  <c r="P2341" i="8"/>
  <c r="M2341" i="8"/>
  <c r="J2341" i="8"/>
  <c r="H2341" i="8"/>
  <c r="B2341" i="8"/>
  <c r="A2341" i="8"/>
  <c r="AA2340" i="8"/>
  <c r="W2340" i="8"/>
  <c r="U2340" i="8"/>
  <c r="P2340" i="8"/>
  <c r="M2340" i="8"/>
  <c r="J2340" i="8"/>
  <c r="H2340" i="8"/>
  <c r="B2340" i="8"/>
  <c r="A2340" i="8"/>
  <c r="AA2339" i="8"/>
  <c r="W2339" i="8"/>
  <c r="U2339" i="8"/>
  <c r="P2339" i="8"/>
  <c r="M2339" i="8"/>
  <c r="J2339" i="8"/>
  <c r="H2339" i="8"/>
  <c r="B2339" i="8"/>
  <c r="A2339" i="8"/>
  <c r="AA2338" i="8"/>
  <c r="W2338" i="8"/>
  <c r="U2338" i="8"/>
  <c r="P2338" i="8"/>
  <c r="M2338" i="8"/>
  <c r="J2338" i="8"/>
  <c r="H2338" i="8"/>
  <c r="B2338" i="8"/>
  <c r="A2338" i="8"/>
  <c r="AA2337" i="8"/>
  <c r="W2337" i="8"/>
  <c r="U2337" i="8"/>
  <c r="P2337" i="8"/>
  <c r="M2337" i="8"/>
  <c r="J2337" i="8"/>
  <c r="H2337" i="8"/>
  <c r="B2337" i="8"/>
  <c r="A2337" i="8"/>
  <c r="AA2336" i="8"/>
  <c r="W2336" i="8"/>
  <c r="U2336" i="8"/>
  <c r="P2336" i="8"/>
  <c r="M2336" i="8"/>
  <c r="J2336" i="8"/>
  <c r="H2336" i="8"/>
  <c r="B2336" i="8"/>
  <c r="A2336" i="8"/>
  <c r="AA2335" i="8"/>
  <c r="W2335" i="8"/>
  <c r="U2335" i="8"/>
  <c r="P2335" i="8"/>
  <c r="M2335" i="8"/>
  <c r="J2335" i="8"/>
  <c r="H2335" i="8"/>
  <c r="B2335" i="8"/>
  <c r="A2335" i="8"/>
  <c r="AA2334" i="8"/>
  <c r="W2334" i="8"/>
  <c r="U2334" i="8"/>
  <c r="R2334" i="8"/>
  <c r="Q2334" i="8"/>
  <c r="P2334" i="8"/>
  <c r="M2334" i="8"/>
  <c r="J2334" i="8"/>
  <c r="H2334" i="8"/>
  <c r="B2334" i="8"/>
  <c r="A2334" i="8"/>
  <c r="AA2333" i="8"/>
  <c r="W2333" i="8"/>
  <c r="U2333" i="8"/>
  <c r="P2333" i="8"/>
  <c r="M2333" i="8"/>
  <c r="J2333" i="8"/>
  <c r="H2333" i="8"/>
  <c r="B2333" i="8"/>
  <c r="A2333" i="8"/>
  <c r="AA2332" i="8"/>
  <c r="W2332" i="8"/>
  <c r="U2332" i="8"/>
  <c r="P2332" i="8"/>
  <c r="M2332" i="8"/>
  <c r="J2332" i="8"/>
  <c r="H2332" i="8"/>
  <c r="B2332" i="8"/>
  <c r="A2332" i="8"/>
  <c r="AA2331" i="8"/>
  <c r="W2331" i="8"/>
  <c r="U2331" i="8"/>
  <c r="P2331" i="8"/>
  <c r="M2331" i="8"/>
  <c r="J2331" i="8"/>
  <c r="H2331" i="8"/>
  <c r="B2331" i="8"/>
  <c r="A2331" i="8"/>
  <c r="AA2330" i="8"/>
  <c r="W2330" i="8"/>
  <c r="U2330" i="8"/>
  <c r="P2330" i="8"/>
  <c r="M2330" i="8"/>
  <c r="J2330" i="8"/>
  <c r="H2330" i="8"/>
  <c r="B2330" i="8"/>
  <c r="A2330" i="8"/>
  <c r="AA2329" i="8"/>
  <c r="W2329" i="8"/>
  <c r="U2329" i="8"/>
  <c r="P2329" i="8"/>
  <c r="M2329" i="8"/>
  <c r="J2329" i="8"/>
  <c r="H2329" i="8"/>
  <c r="B2329" i="8"/>
  <c r="A2329" i="8"/>
  <c r="AA2328" i="8"/>
  <c r="W2328" i="8"/>
  <c r="U2328" i="8"/>
  <c r="P2328" i="8"/>
  <c r="M2328" i="8"/>
  <c r="J2328" i="8"/>
  <c r="H2328" i="8"/>
  <c r="B2328" i="8"/>
  <c r="A2328" i="8"/>
  <c r="AA2327" i="8"/>
  <c r="W2327" i="8"/>
  <c r="U2327" i="8"/>
  <c r="P2327" i="8"/>
  <c r="M2327" i="8"/>
  <c r="J2327" i="8"/>
  <c r="H2327" i="8"/>
  <c r="B2327" i="8"/>
  <c r="A2327" i="8"/>
  <c r="AA2326" i="8"/>
  <c r="W2326" i="8"/>
  <c r="U2326" i="8"/>
  <c r="P2326" i="8"/>
  <c r="M2326" i="8"/>
  <c r="J2326" i="8"/>
  <c r="H2326" i="8"/>
  <c r="B2326" i="8"/>
  <c r="A2326" i="8"/>
  <c r="AA2325" i="8"/>
  <c r="W2325" i="8"/>
  <c r="U2325" i="8"/>
  <c r="P2325" i="8"/>
  <c r="M2325" i="8"/>
  <c r="J2325" i="8"/>
  <c r="H2325" i="8"/>
  <c r="B2325" i="8"/>
  <c r="A2325" i="8"/>
  <c r="AA2324" i="8"/>
  <c r="W2324" i="8"/>
  <c r="U2324" i="8"/>
  <c r="P2324" i="8"/>
  <c r="M2324" i="8"/>
  <c r="J2324" i="8"/>
  <c r="H2324" i="8"/>
  <c r="B2324" i="8"/>
  <c r="A2324" i="8"/>
  <c r="AA2323" i="8"/>
  <c r="W2323" i="8"/>
  <c r="U2323" i="8"/>
  <c r="R2323" i="8"/>
  <c r="Q2323" i="8"/>
  <c r="P2323" i="8"/>
  <c r="M2323" i="8"/>
  <c r="J2323" i="8"/>
  <c r="H2323" i="8"/>
  <c r="B2323" i="8"/>
  <c r="A2323" i="8"/>
  <c r="AA2322" i="8"/>
  <c r="W2322" i="8"/>
  <c r="U2322" i="8"/>
  <c r="P2322" i="8"/>
  <c r="M2322" i="8"/>
  <c r="J2322" i="8"/>
  <c r="H2322" i="8"/>
  <c r="B2322" i="8"/>
  <c r="A2322" i="8"/>
  <c r="AA2321" i="8"/>
  <c r="W2321" i="8"/>
  <c r="U2321" i="8"/>
  <c r="P2321" i="8"/>
  <c r="M2321" i="8"/>
  <c r="J2321" i="8"/>
  <c r="H2321" i="8"/>
  <c r="B2321" i="8"/>
  <c r="A2321" i="8"/>
  <c r="AA2320" i="8"/>
  <c r="W2320" i="8"/>
  <c r="U2320" i="8"/>
  <c r="P2320" i="8"/>
  <c r="M2320" i="8"/>
  <c r="J2320" i="8"/>
  <c r="H2320" i="8"/>
  <c r="B2320" i="8"/>
  <c r="A2320" i="8"/>
  <c r="AA2319" i="8"/>
  <c r="W2319" i="8"/>
  <c r="U2319" i="8"/>
  <c r="P2319" i="8"/>
  <c r="M2319" i="8"/>
  <c r="J2319" i="8"/>
  <c r="H2319" i="8"/>
  <c r="B2319" i="8"/>
  <c r="A2319" i="8"/>
  <c r="AA2318" i="8"/>
  <c r="W2318" i="8"/>
  <c r="U2318" i="8"/>
  <c r="P2318" i="8"/>
  <c r="M2318" i="8"/>
  <c r="J2318" i="8"/>
  <c r="H2318" i="8"/>
  <c r="B2318" i="8"/>
  <c r="A2318" i="8"/>
  <c r="AA2317" i="8"/>
  <c r="W2317" i="8"/>
  <c r="U2317" i="8"/>
  <c r="P2317" i="8"/>
  <c r="M2317" i="8"/>
  <c r="J2317" i="8"/>
  <c r="H2317" i="8"/>
  <c r="B2317" i="8"/>
  <c r="A2317" i="8"/>
  <c r="AA2316" i="8"/>
  <c r="W2316" i="8"/>
  <c r="U2316" i="8"/>
  <c r="P2316" i="8"/>
  <c r="M2316" i="8"/>
  <c r="J2316" i="8"/>
  <c r="H2316" i="8"/>
  <c r="B2316" i="8"/>
  <c r="A2316" i="8"/>
  <c r="AA2315" i="8"/>
  <c r="W2315" i="8"/>
  <c r="U2315" i="8"/>
  <c r="P2315" i="8"/>
  <c r="M2315" i="8"/>
  <c r="J2315" i="8"/>
  <c r="H2315" i="8"/>
  <c r="B2315" i="8"/>
  <c r="A2315" i="8"/>
  <c r="AA2314" i="8"/>
  <c r="W2314" i="8"/>
  <c r="U2314" i="8"/>
  <c r="P2314" i="8"/>
  <c r="M2314" i="8"/>
  <c r="J2314" i="8"/>
  <c r="H2314" i="8"/>
  <c r="B2314" i="8"/>
  <c r="A2314" i="8"/>
  <c r="AA2313" i="8"/>
  <c r="W2313" i="8"/>
  <c r="U2313" i="8"/>
  <c r="P2313" i="8"/>
  <c r="M2313" i="8"/>
  <c r="J2313" i="8"/>
  <c r="H2313" i="8"/>
  <c r="B2313" i="8"/>
  <c r="A2313" i="8"/>
  <c r="AA2312" i="8"/>
  <c r="W2312" i="8"/>
  <c r="U2312" i="8"/>
  <c r="P2312" i="8"/>
  <c r="M2312" i="8"/>
  <c r="J2312" i="8"/>
  <c r="H2312" i="8"/>
  <c r="B2312" i="8"/>
  <c r="A2312" i="8"/>
  <c r="AA2311" i="8"/>
  <c r="W2311" i="8"/>
  <c r="U2311" i="8"/>
  <c r="P2311" i="8"/>
  <c r="M2311" i="8"/>
  <c r="J2311" i="8"/>
  <c r="H2311" i="8"/>
  <c r="B2311" i="8"/>
  <c r="A2311" i="8"/>
  <c r="AA2310" i="8"/>
  <c r="W2310" i="8"/>
  <c r="U2310" i="8"/>
  <c r="P2310" i="8"/>
  <c r="M2310" i="8"/>
  <c r="J2310" i="8"/>
  <c r="H2310" i="8"/>
  <c r="B2310" i="8"/>
  <c r="A2310" i="8"/>
  <c r="AA2309" i="8"/>
  <c r="W2309" i="8"/>
  <c r="U2309" i="8"/>
  <c r="P2309" i="8"/>
  <c r="M2309" i="8"/>
  <c r="J2309" i="8"/>
  <c r="H2309" i="8"/>
  <c r="B2309" i="8"/>
  <c r="A2309" i="8"/>
  <c r="AA2308" i="8"/>
  <c r="W2308" i="8"/>
  <c r="U2308" i="8"/>
  <c r="P2308" i="8"/>
  <c r="M2308" i="8"/>
  <c r="J2308" i="8"/>
  <c r="H2308" i="8"/>
  <c r="B2308" i="8"/>
  <c r="A2308" i="8"/>
  <c r="AA2307" i="8"/>
  <c r="W2307" i="8"/>
  <c r="U2307" i="8"/>
  <c r="R2307" i="8"/>
  <c r="Q2307" i="8"/>
  <c r="P2307" i="8"/>
  <c r="M2307" i="8"/>
  <c r="J2307" i="8"/>
  <c r="H2307" i="8"/>
  <c r="B2307" i="8"/>
  <c r="A2307" i="8"/>
  <c r="AA2306" i="8"/>
  <c r="W2306" i="8"/>
  <c r="U2306" i="8"/>
  <c r="P2306" i="8"/>
  <c r="M2306" i="8"/>
  <c r="J2306" i="8"/>
  <c r="H2306" i="8"/>
  <c r="B2306" i="8"/>
  <c r="A2306" i="8"/>
  <c r="AA2305" i="8"/>
  <c r="W2305" i="8"/>
  <c r="U2305" i="8"/>
  <c r="R2305" i="8"/>
  <c r="Q2305" i="8"/>
  <c r="P2305" i="8"/>
  <c r="M2305" i="8"/>
  <c r="J2305" i="8"/>
  <c r="H2305" i="8"/>
  <c r="B2305" i="8"/>
  <c r="A2305" i="8"/>
  <c r="AA2304" i="8"/>
  <c r="W2304" i="8"/>
  <c r="U2304" i="8"/>
  <c r="P2304" i="8"/>
  <c r="M2304" i="8"/>
  <c r="J2304" i="8"/>
  <c r="H2304" i="8"/>
  <c r="B2304" i="8"/>
  <c r="A2304" i="8"/>
  <c r="AA2303" i="8"/>
  <c r="W2303" i="8"/>
  <c r="U2303" i="8"/>
  <c r="P2303" i="8"/>
  <c r="M2303" i="8"/>
  <c r="J2303" i="8"/>
  <c r="H2303" i="8"/>
  <c r="B2303" i="8"/>
  <c r="A2303" i="8"/>
  <c r="AA2302" i="8"/>
  <c r="W2302" i="8"/>
  <c r="U2302" i="8"/>
  <c r="R2302" i="8"/>
  <c r="Q2302" i="8"/>
  <c r="P2302" i="8"/>
  <c r="M2302" i="8"/>
  <c r="J2302" i="8"/>
  <c r="H2302" i="8"/>
  <c r="B2302" i="8"/>
  <c r="A2302" i="8"/>
  <c r="AA2301" i="8"/>
  <c r="W2301" i="8"/>
  <c r="U2301" i="8"/>
  <c r="R2301" i="8"/>
  <c r="Q2301" i="8"/>
  <c r="P2301" i="8"/>
  <c r="M2301" i="8"/>
  <c r="J2301" i="8"/>
  <c r="H2301" i="8"/>
  <c r="B2301" i="8"/>
  <c r="A2301" i="8"/>
  <c r="AA2300" i="8"/>
  <c r="W2300" i="8"/>
  <c r="U2300" i="8"/>
  <c r="P2300" i="8"/>
  <c r="M2300" i="8"/>
  <c r="J2300" i="8"/>
  <c r="H2300" i="8"/>
  <c r="B2300" i="8"/>
  <c r="A2300" i="8"/>
  <c r="AA2299" i="8"/>
  <c r="W2299" i="8"/>
  <c r="U2299" i="8"/>
  <c r="P2299" i="8"/>
  <c r="M2299" i="8"/>
  <c r="J2299" i="8"/>
  <c r="H2299" i="8"/>
  <c r="B2299" i="8"/>
  <c r="A2299" i="8"/>
  <c r="AA2298" i="8"/>
  <c r="W2298" i="8"/>
  <c r="U2298" i="8"/>
  <c r="P2298" i="8"/>
  <c r="M2298" i="8"/>
  <c r="J2298" i="8"/>
  <c r="H2298" i="8"/>
  <c r="B2298" i="8"/>
  <c r="A2298" i="8"/>
  <c r="AA2297" i="8"/>
  <c r="W2297" i="8"/>
  <c r="U2297" i="8"/>
  <c r="P2297" i="8"/>
  <c r="M2297" i="8"/>
  <c r="J2297" i="8"/>
  <c r="H2297" i="8"/>
  <c r="B2297" i="8"/>
  <c r="A2297" i="8"/>
  <c r="AA2296" i="8"/>
  <c r="W2296" i="8"/>
  <c r="U2296" i="8"/>
  <c r="P2296" i="8"/>
  <c r="M2296" i="8"/>
  <c r="J2296" i="8"/>
  <c r="H2296" i="8"/>
  <c r="B2296" i="8"/>
  <c r="A2296" i="8"/>
  <c r="AA2295" i="8"/>
  <c r="W2295" i="8"/>
  <c r="U2295" i="8"/>
  <c r="P2295" i="8"/>
  <c r="M2295" i="8"/>
  <c r="J2295" i="8"/>
  <c r="H2295" i="8"/>
  <c r="B2295" i="8"/>
  <c r="A2295" i="8"/>
  <c r="AA2294" i="8"/>
  <c r="W2294" i="8"/>
  <c r="U2294" i="8"/>
  <c r="P2294" i="8"/>
  <c r="M2294" i="8"/>
  <c r="J2294" i="8"/>
  <c r="H2294" i="8"/>
  <c r="B2294" i="8"/>
  <c r="A2294" i="8"/>
  <c r="AA2293" i="8"/>
  <c r="W2293" i="8"/>
  <c r="U2293" i="8"/>
  <c r="P2293" i="8"/>
  <c r="M2293" i="8"/>
  <c r="J2293" i="8"/>
  <c r="H2293" i="8"/>
  <c r="B2293" i="8"/>
  <c r="A2293" i="8"/>
  <c r="AA2292" i="8"/>
  <c r="W2292" i="8"/>
  <c r="U2292" i="8"/>
  <c r="P2292" i="8"/>
  <c r="M2292" i="8"/>
  <c r="J2292" i="8"/>
  <c r="H2292" i="8"/>
  <c r="B2292" i="8"/>
  <c r="A2292" i="8"/>
  <c r="AA2291" i="8"/>
  <c r="W2291" i="8"/>
  <c r="U2291" i="8"/>
  <c r="P2291" i="8"/>
  <c r="M2291" i="8"/>
  <c r="J2291" i="8"/>
  <c r="H2291" i="8"/>
  <c r="B2291" i="8"/>
  <c r="A2291" i="8"/>
  <c r="AA2290" i="8"/>
  <c r="W2290" i="8"/>
  <c r="U2290" i="8"/>
  <c r="P2290" i="8"/>
  <c r="M2290" i="8"/>
  <c r="J2290" i="8"/>
  <c r="H2290" i="8"/>
  <c r="B2290" i="8"/>
  <c r="A2290" i="8"/>
  <c r="AA2289" i="8"/>
  <c r="W2289" i="8"/>
  <c r="U2289" i="8"/>
  <c r="P2289" i="8"/>
  <c r="M2289" i="8"/>
  <c r="J2289" i="8"/>
  <c r="H2289" i="8"/>
  <c r="B2289" i="8"/>
  <c r="A2289" i="8"/>
  <c r="AA2288" i="8"/>
  <c r="W2288" i="8"/>
  <c r="U2288" i="8"/>
  <c r="P2288" i="8"/>
  <c r="M2288" i="8"/>
  <c r="J2288" i="8"/>
  <c r="H2288" i="8"/>
  <c r="B2288" i="8"/>
  <c r="A2288" i="8"/>
  <c r="AA2287" i="8"/>
  <c r="W2287" i="8"/>
  <c r="U2287" i="8"/>
  <c r="P2287" i="8"/>
  <c r="M2287" i="8"/>
  <c r="J2287" i="8"/>
  <c r="H2287" i="8"/>
  <c r="B2287" i="8"/>
  <c r="A2287" i="8"/>
  <c r="AA2286" i="8"/>
  <c r="W2286" i="8"/>
  <c r="U2286" i="8"/>
  <c r="P2286" i="8"/>
  <c r="M2286" i="8"/>
  <c r="J2286" i="8"/>
  <c r="H2286" i="8"/>
  <c r="B2286" i="8"/>
  <c r="A2286" i="8"/>
  <c r="AA2285" i="8"/>
  <c r="W2285" i="8"/>
  <c r="U2285" i="8"/>
  <c r="P2285" i="8"/>
  <c r="M2285" i="8"/>
  <c r="J2285" i="8"/>
  <c r="H2285" i="8"/>
  <c r="B2285" i="8"/>
  <c r="A2285" i="8"/>
  <c r="AA2284" i="8"/>
  <c r="W2284" i="8"/>
  <c r="U2284" i="8"/>
  <c r="P2284" i="8"/>
  <c r="M2284" i="8"/>
  <c r="J2284" i="8"/>
  <c r="H2284" i="8"/>
  <c r="B2284" i="8"/>
  <c r="A2284" i="8"/>
  <c r="AA2283" i="8"/>
  <c r="W2283" i="8"/>
  <c r="U2283" i="8"/>
  <c r="P2283" i="8"/>
  <c r="M2283" i="8"/>
  <c r="J2283" i="8"/>
  <c r="H2283" i="8"/>
  <c r="B2283" i="8"/>
  <c r="A2283" i="8"/>
  <c r="AA2282" i="8"/>
  <c r="W2282" i="8"/>
  <c r="U2282" i="8"/>
  <c r="P2282" i="8"/>
  <c r="M2282" i="8"/>
  <c r="J2282" i="8"/>
  <c r="H2282" i="8"/>
  <c r="B2282" i="8"/>
  <c r="A2282" i="8"/>
  <c r="AA2281" i="8"/>
  <c r="W2281" i="8"/>
  <c r="U2281" i="8"/>
  <c r="P2281" i="8"/>
  <c r="M2281" i="8"/>
  <c r="J2281" i="8"/>
  <c r="H2281" i="8"/>
  <c r="B2281" i="8"/>
  <c r="A2281" i="8"/>
  <c r="AA2280" i="8"/>
  <c r="W2280" i="8"/>
  <c r="U2280" i="8"/>
  <c r="P2280" i="8"/>
  <c r="M2280" i="8"/>
  <c r="J2280" i="8"/>
  <c r="H2280" i="8"/>
  <c r="B2280" i="8"/>
  <c r="A2280" i="8"/>
  <c r="AA2279" i="8"/>
  <c r="W2279" i="8"/>
  <c r="U2279" i="8"/>
  <c r="P2279" i="8"/>
  <c r="M2279" i="8"/>
  <c r="J2279" i="8"/>
  <c r="H2279" i="8"/>
  <c r="B2279" i="8"/>
  <c r="A2279" i="8"/>
  <c r="AA2278" i="8"/>
  <c r="W2278" i="8"/>
  <c r="U2278" i="8"/>
  <c r="R2278" i="8"/>
  <c r="Q2278" i="8"/>
  <c r="P2278" i="8"/>
  <c r="M2278" i="8"/>
  <c r="J2278" i="8"/>
  <c r="H2278" i="8"/>
  <c r="B2278" i="8"/>
  <c r="A2278" i="8"/>
  <c r="AA2277" i="8"/>
  <c r="W2277" i="8"/>
  <c r="U2277" i="8"/>
  <c r="R2277" i="8"/>
  <c r="Q2277" i="8"/>
  <c r="P2277" i="8"/>
  <c r="M2277" i="8"/>
  <c r="J2277" i="8"/>
  <c r="H2277" i="8"/>
  <c r="B2277" i="8"/>
  <c r="A2277" i="8"/>
  <c r="AA2276" i="8"/>
  <c r="W2276" i="8"/>
  <c r="U2276" i="8"/>
  <c r="R2276" i="8"/>
  <c r="Q2276" i="8"/>
  <c r="P2276" i="8"/>
  <c r="M2276" i="8"/>
  <c r="J2276" i="8"/>
  <c r="H2276" i="8"/>
  <c r="B2276" i="8"/>
  <c r="A2276" i="8"/>
  <c r="AA2275" i="8"/>
  <c r="W2275" i="8"/>
  <c r="U2275" i="8"/>
  <c r="R2275" i="8"/>
  <c r="Q2275" i="8"/>
  <c r="P2275" i="8"/>
  <c r="M2275" i="8"/>
  <c r="J2275" i="8"/>
  <c r="H2275" i="8"/>
  <c r="B2275" i="8"/>
  <c r="A2275" i="8"/>
  <c r="AA2274" i="8"/>
  <c r="W2274" i="8"/>
  <c r="U2274" i="8"/>
  <c r="P2274" i="8"/>
  <c r="M2274" i="8"/>
  <c r="J2274" i="8"/>
  <c r="H2274" i="8"/>
  <c r="B2274" i="8"/>
  <c r="A2274" i="8"/>
  <c r="AA2273" i="8"/>
  <c r="W2273" i="8"/>
  <c r="U2273" i="8"/>
  <c r="R2273" i="8"/>
  <c r="Q2273" i="8"/>
  <c r="P2273" i="8"/>
  <c r="M2273" i="8"/>
  <c r="J2273" i="8"/>
  <c r="H2273" i="8"/>
  <c r="B2273" i="8"/>
  <c r="A2273" i="8"/>
  <c r="AA2272" i="8"/>
  <c r="W2272" i="8"/>
  <c r="U2272" i="8"/>
  <c r="R2272" i="8"/>
  <c r="Q2272" i="8"/>
  <c r="P2272" i="8"/>
  <c r="M2272" i="8"/>
  <c r="J2272" i="8"/>
  <c r="H2272" i="8"/>
  <c r="B2272" i="8"/>
  <c r="A2272" i="8"/>
  <c r="AA2271" i="8"/>
  <c r="W2271" i="8"/>
  <c r="U2271" i="8"/>
  <c r="P2271" i="8"/>
  <c r="M2271" i="8"/>
  <c r="J2271" i="8"/>
  <c r="H2271" i="8"/>
  <c r="B2271" i="8"/>
  <c r="A2271" i="8"/>
  <c r="AA2270" i="8"/>
  <c r="W2270" i="8"/>
  <c r="U2270" i="8"/>
  <c r="P2270" i="8"/>
  <c r="M2270" i="8"/>
  <c r="J2270" i="8"/>
  <c r="H2270" i="8"/>
  <c r="B2270" i="8"/>
  <c r="A2270" i="8"/>
  <c r="AA2269" i="8"/>
  <c r="W2269" i="8"/>
  <c r="U2269" i="8"/>
  <c r="R2269" i="8"/>
  <c r="Q2269" i="8"/>
  <c r="P2269" i="8"/>
  <c r="M2269" i="8"/>
  <c r="J2269" i="8"/>
  <c r="H2269" i="8"/>
  <c r="B2269" i="8"/>
  <c r="A2269" i="8"/>
  <c r="AA2268" i="8"/>
  <c r="W2268" i="8"/>
  <c r="U2268" i="8"/>
  <c r="P2268" i="8"/>
  <c r="M2268" i="8"/>
  <c r="J2268" i="8"/>
  <c r="H2268" i="8"/>
  <c r="B2268" i="8"/>
  <c r="A2268" i="8"/>
  <c r="AA2267" i="8"/>
  <c r="W2267" i="8"/>
  <c r="U2267" i="8"/>
  <c r="P2267" i="8"/>
  <c r="M2267" i="8"/>
  <c r="J2267" i="8"/>
  <c r="H2267" i="8"/>
  <c r="B2267" i="8"/>
  <c r="A2267" i="8"/>
  <c r="AA2266" i="8"/>
  <c r="W2266" i="8"/>
  <c r="U2266" i="8"/>
  <c r="P2266" i="8"/>
  <c r="M2266" i="8"/>
  <c r="J2266" i="8"/>
  <c r="H2266" i="8"/>
  <c r="B2266" i="8"/>
  <c r="A2266" i="8"/>
  <c r="AA2265" i="8"/>
  <c r="W2265" i="8"/>
  <c r="U2265" i="8"/>
  <c r="P2265" i="8"/>
  <c r="M2265" i="8"/>
  <c r="J2265" i="8"/>
  <c r="H2265" i="8"/>
  <c r="B2265" i="8"/>
  <c r="A2265" i="8"/>
  <c r="AA2264" i="8"/>
  <c r="W2264" i="8"/>
  <c r="U2264" i="8"/>
  <c r="P2264" i="8"/>
  <c r="M2264" i="8"/>
  <c r="J2264" i="8"/>
  <c r="H2264" i="8"/>
  <c r="B2264" i="8"/>
  <c r="A2264" i="8"/>
  <c r="AA2263" i="8"/>
  <c r="W2263" i="8"/>
  <c r="U2263" i="8"/>
  <c r="P2263" i="8"/>
  <c r="M2263" i="8"/>
  <c r="J2263" i="8"/>
  <c r="H2263" i="8"/>
  <c r="B2263" i="8"/>
  <c r="A2263" i="8"/>
  <c r="AA2262" i="8"/>
  <c r="W2262" i="8"/>
  <c r="U2262" i="8"/>
  <c r="R2262" i="8"/>
  <c r="Q2262" i="8"/>
  <c r="P2262" i="8"/>
  <c r="M2262" i="8"/>
  <c r="J2262" i="8"/>
  <c r="H2262" i="8"/>
  <c r="B2262" i="8"/>
  <c r="A2262" i="8"/>
  <c r="AA2261" i="8"/>
  <c r="W2261" i="8"/>
  <c r="U2261" i="8"/>
  <c r="P2261" i="8"/>
  <c r="M2261" i="8"/>
  <c r="J2261" i="8"/>
  <c r="H2261" i="8"/>
  <c r="B2261" i="8"/>
  <c r="A2261" i="8"/>
  <c r="AA2260" i="8"/>
  <c r="W2260" i="8"/>
  <c r="U2260" i="8"/>
  <c r="P2260" i="8"/>
  <c r="M2260" i="8"/>
  <c r="J2260" i="8"/>
  <c r="H2260" i="8"/>
  <c r="B2260" i="8"/>
  <c r="A2260" i="8"/>
  <c r="AA2259" i="8"/>
  <c r="W2259" i="8"/>
  <c r="U2259" i="8"/>
  <c r="R2259" i="8"/>
  <c r="Q2259" i="8"/>
  <c r="P2259" i="8"/>
  <c r="M2259" i="8"/>
  <c r="J2259" i="8"/>
  <c r="H2259" i="8"/>
  <c r="B2259" i="8"/>
  <c r="A2259" i="8"/>
  <c r="AA2258" i="8"/>
  <c r="W2258" i="8"/>
  <c r="U2258" i="8"/>
  <c r="P2258" i="8"/>
  <c r="M2258" i="8"/>
  <c r="J2258" i="8"/>
  <c r="H2258" i="8"/>
  <c r="B2258" i="8"/>
  <c r="A2258" i="8"/>
  <c r="AA2257" i="8"/>
  <c r="W2257" i="8"/>
  <c r="U2257" i="8"/>
  <c r="P2257" i="8"/>
  <c r="M2257" i="8"/>
  <c r="J2257" i="8"/>
  <c r="H2257" i="8"/>
  <c r="B2257" i="8"/>
  <c r="A2257" i="8"/>
  <c r="AA2256" i="8"/>
  <c r="W2256" i="8"/>
  <c r="U2256" i="8"/>
  <c r="P2256" i="8"/>
  <c r="M2256" i="8"/>
  <c r="J2256" i="8"/>
  <c r="H2256" i="8"/>
  <c r="B2256" i="8"/>
  <c r="A2256" i="8"/>
  <c r="AA2255" i="8"/>
  <c r="W2255" i="8"/>
  <c r="U2255" i="8"/>
  <c r="P2255" i="8"/>
  <c r="M2255" i="8"/>
  <c r="J2255" i="8"/>
  <c r="H2255" i="8"/>
  <c r="B2255" i="8"/>
  <c r="A2255" i="8"/>
  <c r="AA2254" i="8"/>
  <c r="W2254" i="8"/>
  <c r="U2254" i="8"/>
  <c r="P2254" i="8"/>
  <c r="M2254" i="8"/>
  <c r="J2254" i="8"/>
  <c r="H2254" i="8"/>
  <c r="B2254" i="8"/>
  <c r="A2254" i="8"/>
  <c r="AA2253" i="8"/>
  <c r="W2253" i="8"/>
  <c r="U2253" i="8"/>
  <c r="P2253" i="8"/>
  <c r="M2253" i="8"/>
  <c r="J2253" i="8"/>
  <c r="H2253" i="8"/>
  <c r="B2253" i="8"/>
  <c r="A2253" i="8"/>
  <c r="AA2252" i="8"/>
  <c r="W2252" i="8"/>
  <c r="U2252" i="8"/>
  <c r="P2252" i="8"/>
  <c r="M2252" i="8"/>
  <c r="J2252" i="8"/>
  <c r="H2252" i="8"/>
  <c r="B2252" i="8"/>
  <c r="A2252" i="8"/>
  <c r="AA2251" i="8"/>
  <c r="W2251" i="8"/>
  <c r="U2251" i="8"/>
  <c r="P2251" i="8"/>
  <c r="M2251" i="8"/>
  <c r="J2251" i="8"/>
  <c r="H2251" i="8"/>
  <c r="B2251" i="8"/>
  <c r="A2251" i="8"/>
  <c r="AA2250" i="8"/>
  <c r="W2250" i="8"/>
  <c r="U2250" i="8"/>
  <c r="P2250" i="8"/>
  <c r="M2250" i="8"/>
  <c r="J2250" i="8"/>
  <c r="H2250" i="8"/>
  <c r="B2250" i="8"/>
  <c r="A2250" i="8"/>
  <c r="AA2249" i="8"/>
  <c r="W2249" i="8"/>
  <c r="U2249" i="8"/>
  <c r="P2249" i="8"/>
  <c r="M2249" i="8"/>
  <c r="J2249" i="8"/>
  <c r="H2249" i="8"/>
  <c r="B2249" i="8"/>
  <c r="A2249" i="8"/>
  <c r="AA2248" i="8"/>
  <c r="W2248" i="8"/>
  <c r="U2248" i="8"/>
  <c r="P2248" i="8"/>
  <c r="M2248" i="8"/>
  <c r="J2248" i="8"/>
  <c r="H2248" i="8"/>
  <c r="B2248" i="8"/>
  <c r="A2248" i="8"/>
  <c r="AA2247" i="8"/>
  <c r="W2247" i="8"/>
  <c r="U2247" i="8"/>
  <c r="P2247" i="8"/>
  <c r="M2247" i="8"/>
  <c r="J2247" i="8"/>
  <c r="H2247" i="8"/>
  <c r="B2247" i="8"/>
  <c r="A2247" i="8"/>
  <c r="AA2246" i="8"/>
  <c r="W2246" i="8"/>
  <c r="U2246" i="8"/>
  <c r="P2246" i="8"/>
  <c r="M2246" i="8"/>
  <c r="J2246" i="8"/>
  <c r="H2246" i="8"/>
  <c r="B2246" i="8"/>
  <c r="A2246" i="8"/>
  <c r="AA2245" i="8"/>
  <c r="W2245" i="8"/>
  <c r="U2245" i="8"/>
  <c r="R2245" i="8"/>
  <c r="Q2245" i="8"/>
  <c r="P2245" i="8"/>
  <c r="M2245" i="8"/>
  <c r="J2245" i="8"/>
  <c r="H2245" i="8"/>
  <c r="B2245" i="8"/>
  <c r="A2245" i="8"/>
  <c r="AA2244" i="8"/>
  <c r="W2244" i="8"/>
  <c r="U2244" i="8"/>
  <c r="P2244" i="8"/>
  <c r="M2244" i="8"/>
  <c r="J2244" i="8"/>
  <c r="H2244" i="8"/>
  <c r="B2244" i="8"/>
  <c r="A2244" i="8"/>
  <c r="AA2243" i="8"/>
  <c r="W2243" i="8"/>
  <c r="U2243" i="8"/>
  <c r="P2243" i="8"/>
  <c r="M2243" i="8"/>
  <c r="J2243" i="8"/>
  <c r="H2243" i="8"/>
  <c r="B2243" i="8"/>
  <c r="A2243" i="8"/>
  <c r="AA2242" i="8"/>
  <c r="W2242" i="8"/>
  <c r="U2242" i="8"/>
  <c r="P2242" i="8"/>
  <c r="M2242" i="8"/>
  <c r="J2242" i="8"/>
  <c r="H2242" i="8"/>
  <c r="B2242" i="8"/>
  <c r="A2242" i="8"/>
  <c r="AA2241" i="8"/>
  <c r="W2241" i="8"/>
  <c r="U2241" i="8"/>
  <c r="P2241" i="8"/>
  <c r="M2241" i="8"/>
  <c r="J2241" i="8"/>
  <c r="H2241" i="8"/>
  <c r="B2241" i="8"/>
  <c r="A2241" i="8"/>
  <c r="AA2240" i="8"/>
  <c r="W2240" i="8"/>
  <c r="U2240" i="8"/>
  <c r="P2240" i="8"/>
  <c r="M2240" i="8"/>
  <c r="J2240" i="8"/>
  <c r="H2240" i="8"/>
  <c r="B2240" i="8"/>
  <c r="A2240" i="8"/>
  <c r="AA2239" i="8"/>
  <c r="W2239" i="8"/>
  <c r="U2239" i="8"/>
  <c r="P2239" i="8"/>
  <c r="M2239" i="8"/>
  <c r="J2239" i="8"/>
  <c r="H2239" i="8"/>
  <c r="B2239" i="8"/>
  <c r="A2239" i="8"/>
  <c r="AA2238" i="8"/>
  <c r="W2238" i="8"/>
  <c r="U2238" i="8"/>
  <c r="R2238" i="8"/>
  <c r="Q2238" i="8"/>
  <c r="P2238" i="8"/>
  <c r="M2238" i="8"/>
  <c r="J2238" i="8"/>
  <c r="H2238" i="8"/>
  <c r="B2238" i="8"/>
  <c r="A2238" i="8"/>
  <c r="AA2237" i="8"/>
  <c r="W2237" i="8"/>
  <c r="U2237" i="8"/>
  <c r="R2237" i="8"/>
  <c r="Q2237" i="8"/>
  <c r="P2237" i="8"/>
  <c r="M2237" i="8"/>
  <c r="J2237" i="8"/>
  <c r="H2237" i="8"/>
  <c r="B2237" i="8"/>
  <c r="A2237" i="8"/>
  <c r="AA2236" i="8"/>
  <c r="W2236" i="8"/>
  <c r="U2236" i="8"/>
  <c r="R2236" i="8"/>
  <c r="Q2236" i="8"/>
  <c r="P2236" i="8"/>
  <c r="M2236" i="8"/>
  <c r="J2236" i="8"/>
  <c r="H2236" i="8"/>
  <c r="B2236" i="8"/>
  <c r="A2236" i="8"/>
  <c r="AA2235" i="8"/>
  <c r="W2235" i="8"/>
  <c r="U2235" i="8"/>
  <c r="P2235" i="8"/>
  <c r="M2235" i="8"/>
  <c r="J2235" i="8"/>
  <c r="H2235" i="8"/>
  <c r="B2235" i="8"/>
  <c r="A2235" i="8"/>
  <c r="AA2234" i="8"/>
  <c r="W2234" i="8"/>
  <c r="U2234" i="8"/>
  <c r="R2234" i="8"/>
  <c r="Q2234" i="8"/>
  <c r="P2234" i="8"/>
  <c r="M2234" i="8"/>
  <c r="J2234" i="8"/>
  <c r="H2234" i="8"/>
  <c r="B2234" i="8"/>
  <c r="A2234" i="8"/>
  <c r="AA2233" i="8"/>
  <c r="W2233" i="8"/>
  <c r="U2233" i="8"/>
  <c r="P2233" i="8"/>
  <c r="M2233" i="8"/>
  <c r="J2233" i="8"/>
  <c r="H2233" i="8"/>
  <c r="B2233" i="8"/>
  <c r="A2233" i="8"/>
  <c r="AA2232" i="8"/>
  <c r="W2232" i="8"/>
  <c r="U2232" i="8"/>
  <c r="P2232" i="8"/>
  <c r="M2232" i="8"/>
  <c r="J2232" i="8"/>
  <c r="H2232" i="8"/>
  <c r="B2232" i="8"/>
  <c r="A2232" i="8"/>
  <c r="AA2231" i="8"/>
  <c r="W2231" i="8"/>
  <c r="U2231" i="8"/>
  <c r="P2231" i="8"/>
  <c r="M2231" i="8"/>
  <c r="J2231" i="8"/>
  <c r="H2231" i="8"/>
  <c r="B2231" i="8"/>
  <c r="A2231" i="8"/>
  <c r="AA2230" i="8"/>
  <c r="W2230" i="8"/>
  <c r="U2230" i="8"/>
  <c r="P2230" i="8"/>
  <c r="M2230" i="8"/>
  <c r="J2230" i="8"/>
  <c r="H2230" i="8"/>
  <c r="B2230" i="8"/>
  <c r="A2230" i="8"/>
  <c r="AA2229" i="8"/>
  <c r="W2229" i="8"/>
  <c r="U2229" i="8"/>
  <c r="P2229" i="8"/>
  <c r="M2229" i="8"/>
  <c r="J2229" i="8"/>
  <c r="H2229" i="8"/>
  <c r="B2229" i="8"/>
  <c r="A2229" i="8"/>
  <c r="AA2228" i="8"/>
  <c r="W2228" i="8"/>
  <c r="U2228" i="8"/>
  <c r="R2228" i="8"/>
  <c r="Q2228" i="8"/>
  <c r="P2228" i="8"/>
  <c r="M2228" i="8"/>
  <c r="J2228" i="8"/>
  <c r="H2228" i="8"/>
  <c r="B2228" i="8"/>
  <c r="A2228" i="8"/>
  <c r="AA2227" i="8"/>
  <c r="W2227" i="8"/>
  <c r="U2227" i="8"/>
  <c r="P2227" i="8"/>
  <c r="M2227" i="8"/>
  <c r="J2227" i="8"/>
  <c r="H2227" i="8"/>
  <c r="B2227" i="8"/>
  <c r="A2227" i="8"/>
  <c r="AA2226" i="8"/>
  <c r="W2226" i="8"/>
  <c r="U2226" i="8"/>
  <c r="P2226" i="8"/>
  <c r="M2226" i="8"/>
  <c r="J2226" i="8"/>
  <c r="H2226" i="8"/>
  <c r="B2226" i="8"/>
  <c r="A2226" i="8"/>
  <c r="AA2225" i="8"/>
  <c r="W2225" i="8"/>
  <c r="U2225" i="8"/>
  <c r="R2225" i="8"/>
  <c r="Q2225" i="8"/>
  <c r="P2225" i="8"/>
  <c r="M2225" i="8"/>
  <c r="J2225" i="8"/>
  <c r="H2225" i="8"/>
  <c r="B2225" i="8"/>
  <c r="A2225" i="8"/>
  <c r="AA2224" i="8"/>
  <c r="W2224" i="8"/>
  <c r="U2224" i="8"/>
  <c r="P2224" i="8"/>
  <c r="M2224" i="8"/>
  <c r="J2224" i="8"/>
  <c r="H2224" i="8"/>
  <c r="B2224" i="8"/>
  <c r="A2224" i="8"/>
  <c r="AA2223" i="8"/>
  <c r="W2223" i="8"/>
  <c r="U2223" i="8"/>
  <c r="P2223" i="8"/>
  <c r="M2223" i="8"/>
  <c r="J2223" i="8"/>
  <c r="H2223" i="8"/>
  <c r="B2223" i="8"/>
  <c r="A2223" i="8"/>
  <c r="AA2222" i="8"/>
  <c r="W2222" i="8"/>
  <c r="U2222" i="8"/>
  <c r="P2222" i="8"/>
  <c r="M2222" i="8"/>
  <c r="J2222" i="8"/>
  <c r="H2222" i="8"/>
  <c r="B2222" i="8"/>
  <c r="A2222" i="8"/>
  <c r="AA2221" i="8"/>
  <c r="W2221" i="8"/>
  <c r="U2221" i="8"/>
  <c r="P2221" i="8"/>
  <c r="M2221" i="8"/>
  <c r="J2221" i="8"/>
  <c r="H2221" i="8"/>
  <c r="B2221" i="8"/>
  <c r="A2221" i="8"/>
  <c r="AA2220" i="8"/>
  <c r="W2220" i="8"/>
  <c r="U2220" i="8"/>
  <c r="P2220" i="8"/>
  <c r="M2220" i="8"/>
  <c r="J2220" i="8"/>
  <c r="H2220" i="8"/>
  <c r="B2220" i="8"/>
  <c r="A2220" i="8"/>
  <c r="AA2219" i="8"/>
  <c r="W2219" i="8"/>
  <c r="U2219" i="8"/>
  <c r="R2219" i="8"/>
  <c r="Q2219" i="8"/>
  <c r="P2219" i="8"/>
  <c r="M2219" i="8"/>
  <c r="J2219" i="8"/>
  <c r="H2219" i="8"/>
  <c r="B2219" i="8"/>
  <c r="A2219" i="8"/>
  <c r="AA2218" i="8"/>
  <c r="W2218" i="8"/>
  <c r="U2218" i="8"/>
  <c r="R2218" i="8"/>
  <c r="Q2218" i="8"/>
  <c r="P2218" i="8"/>
  <c r="M2218" i="8"/>
  <c r="J2218" i="8"/>
  <c r="H2218" i="8"/>
  <c r="B2218" i="8"/>
  <c r="A2218" i="8"/>
  <c r="AA2217" i="8"/>
  <c r="W2217" i="8"/>
  <c r="U2217" i="8"/>
  <c r="R2217" i="8"/>
  <c r="Q2217" i="8"/>
  <c r="P2217" i="8"/>
  <c r="M2217" i="8"/>
  <c r="J2217" i="8"/>
  <c r="H2217" i="8"/>
  <c r="B2217" i="8"/>
  <c r="A2217" i="8"/>
  <c r="AA2216" i="8"/>
  <c r="W2216" i="8"/>
  <c r="U2216" i="8"/>
  <c r="P2216" i="8"/>
  <c r="M2216" i="8"/>
  <c r="J2216" i="8"/>
  <c r="H2216" i="8"/>
  <c r="B2216" i="8"/>
  <c r="A2216" i="8"/>
  <c r="AA2215" i="8"/>
  <c r="W2215" i="8"/>
  <c r="U2215" i="8"/>
  <c r="P2215" i="8"/>
  <c r="M2215" i="8"/>
  <c r="J2215" i="8"/>
  <c r="H2215" i="8"/>
  <c r="B2215" i="8"/>
  <c r="A2215" i="8"/>
  <c r="AA2214" i="8"/>
  <c r="W2214" i="8"/>
  <c r="U2214" i="8"/>
  <c r="P2214" i="8"/>
  <c r="M2214" i="8"/>
  <c r="J2214" i="8"/>
  <c r="H2214" i="8"/>
  <c r="B2214" i="8"/>
  <c r="A2214" i="8"/>
  <c r="AA2213" i="8"/>
  <c r="W2213" i="8"/>
  <c r="U2213" i="8"/>
  <c r="P2213" i="8"/>
  <c r="M2213" i="8"/>
  <c r="J2213" i="8"/>
  <c r="H2213" i="8"/>
  <c r="B2213" i="8"/>
  <c r="A2213" i="8"/>
  <c r="AA2212" i="8"/>
  <c r="W2212" i="8"/>
  <c r="U2212" i="8"/>
  <c r="P2212" i="8"/>
  <c r="M2212" i="8"/>
  <c r="J2212" i="8"/>
  <c r="H2212" i="8"/>
  <c r="B2212" i="8"/>
  <c r="A2212" i="8"/>
  <c r="AA2211" i="8"/>
  <c r="W2211" i="8"/>
  <c r="U2211" i="8"/>
  <c r="P2211" i="8"/>
  <c r="M2211" i="8"/>
  <c r="J2211" i="8"/>
  <c r="H2211" i="8"/>
  <c r="B2211" i="8"/>
  <c r="A2211" i="8"/>
  <c r="AA2210" i="8"/>
  <c r="W2210" i="8"/>
  <c r="U2210" i="8"/>
  <c r="P2210" i="8"/>
  <c r="M2210" i="8"/>
  <c r="J2210" i="8"/>
  <c r="H2210" i="8"/>
  <c r="B2210" i="8"/>
  <c r="A2210" i="8"/>
  <c r="AA2209" i="8"/>
  <c r="W2209" i="8"/>
  <c r="U2209" i="8"/>
  <c r="P2209" i="8"/>
  <c r="M2209" i="8"/>
  <c r="J2209" i="8"/>
  <c r="H2209" i="8"/>
  <c r="B2209" i="8"/>
  <c r="A2209" i="8"/>
  <c r="AA2208" i="8"/>
  <c r="W2208" i="8"/>
  <c r="U2208" i="8"/>
  <c r="P2208" i="8"/>
  <c r="M2208" i="8"/>
  <c r="J2208" i="8"/>
  <c r="H2208" i="8"/>
  <c r="B2208" i="8"/>
  <c r="A2208" i="8"/>
  <c r="AA2207" i="8"/>
  <c r="W2207" i="8"/>
  <c r="U2207" i="8"/>
  <c r="P2207" i="8"/>
  <c r="M2207" i="8"/>
  <c r="J2207" i="8"/>
  <c r="H2207" i="8"/>
  <c r="B2207" i="8"/>
  <c r="A2207" i="8"/>
  <c r="AA2206" i="8"/>
  <c r="W2206" i="8"/>
  <c r="U2206" i="8"/>
  <c r="P2206" i="8"/>
  <c r="M2206" i="8"/>
  <c r="J2206" i="8"/>
  <c r="H2206" i="8"/>
  <c r="B2206" i="8"/>
  <c r="A2206" i="8"/>
  <c r="AA2205" i="8"/>
  <c r="W2205" i="8"/>
  <c r="U2205" i="8"/>
  <c r="P2205" i="8"/>
  <c r="M2205" i="8"/>
  <c r="J2205" i="8"/>
  <c r="H2205" i="8"/>
  <c r="B2205" i="8"/>
  <c r="A2205" i="8"/>
  <c r="AA2204" i="8"/>
  <c r="W2204" i="8"/>
  <c r="U2204" i="8"/>
  <c r="P2204" i="8"/>
  <c r="M2204" i="8"/>
  <c r="J2204" i="8"/>
  <c r="H2204" i="8"/>
  <c r="B2204" i="8"/>
  <c r="A2204" i="8"/>
  <c r="AA2203" i="8"/>
  <c r="W2203" i="8"/>
  <c r="U2203" i="8"/>
  <c r="R2203" i="8"/>
  <c r="Q2203" i="8"/>
  <c r="P2203" i="8"/>
  <c r="M2203" i="8"/>
  <c r="J2203" i="8"/>
  <c r="H2203" i="8"/>
  <c r="B2203" i="8"/>
  <c r="A2203" i="8"/>
  <c r="AA2202" i="8"/>
  <c r="W2202" i="8"/>
  <c r="U2202" i="8"/>
  <c r="P2202" i="8"/>
  <c r="M2202" i="8"/>
  <c r="J2202" i="8"/>
  <c r="H2202" i="8"/>
  <c r="B2202" i="8"/>
  <c r="A2202" i="8"/>
  <c r="AA2201" i="8"/>
  <c r="W2201" i="8"/>
  <c r="U2201" i="8"/>
  <c r="P2201" i="8"/>
  <c r="M2201" i="8"/>
  <c r="J2201" i="8"/>
  <c r="H2201" i="8"/>
  <c r="B2201" i="8"/>
  <c r="A2201" i="8"/>
  <c r="AA2200" i="8"/>
  <c r="W2200" i="8"/>
  <c r="U2200" i="8"/>
  <c r="P2200" i="8"/>
  <c r="M2200" i="8"/>
  <c r="J2200" i="8"/>
  <c r="H2200" i="8"/>
  <c r="B2200" i="8"/>
  <c r="A2200" i="8"/>
  <c r="AA2199" i="8"/>
  <c r="W2199" i="8"/>
  <c r="U2199" i="8"/>
  <c r="P2199" i="8"/>
  <c r="M2199" i="8"/>
  <c r="J2199" i="8"/>
  <c r="H2199" i="8"/>
  <c r="B2199" i="8"/>
  <c r="A2199" i="8"/>
  <c r="AA2198" i="8"/>
  <c r="W2198" i="8"/>
  <c r="U2198" i="8"/>
  <c r="P2198" i="8"/>
  <c r="M2198" i="8"/>
  <c r="J2198" i="8"/>
  <c r="H2198" i="8"/>
  <c r="B2198" i="8"/>
  <c r="A2198" i="8"/>
  <c r="AA2197" i="8"/>
  <c r="W2197" i="8"/>
  <c r="U2197" i="8"/>
  <c r="P2197" i="8"/>
  <c r="M2197" i="8"/>
  <c r="J2197" i="8"/>
  <c r="H2197" i="8"/>
  <c r="B2197" i="8"/>
  <c r="A2197" i="8"/>
  <c r="AA2196" i="8"/>
  <c r="W2196" i="8"/>
  <c r="U2196" i="8"/>
  <c r="P2196" i="8"/>
  <c r="M2196" i="8"/>
  <c r="J2196" i="8"/>
  <c r="H2196" i="8"/>
  <c r="B2196" i="8"/>
  <c r="A2196" i="8"/>
  <c r="AA2195" i="8"/>
  <c r="W2195" i="8"/>
  <c r="U2195" i="8"/>
  <c r="P2195" i="8"/>
  <c r="M2195" i="8"/>
  <c r="J2195" i="8"/>
  <c r="H2195" i="8"/>
  <c r="B2195" i="8"/>
  <c r="A2195" i="8"/>
  <c r="AA2194" i="8"/>
  <c r="W2194" i="8"/>
  <c r="U2194" i="8"/>
  <c r="P2194" i="8"/>
  <c r="M2194" i="8"/>
  <c r="J2194" i="8"/>
  <c r="H2194" i="8"/>
  <c r="B2194" i="8"/>
  <c r="A2194" i="8"/>
  <c r="AA2193" i="8"/>
  <c r="W2193" i="8"/>
  <c r="U2193" i="8"/>
  <c r="P2193" i="8"/>
  <c r="M2193" i="8"/>
  <c r="J2193" i="8"/>
  <c r="H2193" i="8"/>
  <c r="B2193" i="8"/>
  <c r="A2193" i="8"/>
  <c r="AA2192" i="8"/>
  <c r="W2192" i="8"/>
  <c r="U2192" i="8"/>
  <c r="P2192" i="8"/>
  <c r="M2192" i="8"/>
  <c r="J2192" i="8"/>
  <c r="H2192" i="8"/>
  <c r="B2192" i="8"/>
  <c r="A2192" i="8"/>
  <c r="AA2191" i="8"/>
  <c r="W2191" i="8"/>
  <c r="U2191" i="8"/>
  <c r="P2191" i="8"/>
  <c r="M2191" i="8"/>
  <c r="J2191" i="8"/>
  <c r="H2191" i="8"/>
  <c r="B2191" i="8"/>
  <c r="A2191" i="8"/>
  <c r="AA2190" i="8"/>
  <c r="W2190" i="8"/>
  <c r="U2190" i="8"/>
  <c r="P2190" i="8"/>
  <c r="M2190" i="8"/>
  <c r="J2190" i="8"/>
  <c r="H2190" i="8"/>
  <c r="B2190" i="8"/>
  <c r="A2190" i="8"/>
  <c r="AA2189" i="8"/>
  <c r="W2189" i="8"/>
  <c r="U2189" i="8"/>
  <c r="P2189" i="8"/>
  <c r="M2189" i="8"/>
  <c r="J2189" i="8"/>
  <c r="H2189" i="8"/>
  <c r="B2189" i="8"/>
  <c r="A2189" i="8"/>
  <c r="AA2188" i="8"/>
  <c r="W2188" i="8"/>
  <c r="U2188" i="8"/>
  <c r="P2188" i="8"/>
  <c r="M2188" i="8"/>
  <c r="J2188" i="8"/>
  <c r="H2188" i="8"/>
  <c r="B2188" i="8"/>
  <c r="A2188" i="8"/>
  <c r="AA2187" i="8"/>
  <c r="W2187" i="8"/>
  <c r="U2187" i="8"/>
  <c r="P2187" i="8"/>
  <c r="M2187" i="8"/>
  <c r="J2187" i="8"/>
  <c r="H2187" i="8"/>
  <c r="B2187" i="8"/>
  <c r="A2187" i="8"/>
  <c r="AA2186" i="8"/>
  <c r="W2186" i="8"/>
  <c r="U2186" i="8"/>
  <c r="P2186" i="8"/>
  <c r="M2186" i="8"/>
  <c r="J2186" i="8"/>
  <c r="H2186" i="8"/>
  <c r="B2186" i="8"/>
  <c r="A2186" i="8"/>
  <c r="AA2185" i="8"/>
  <c r="W2185" i="8"/>
  <c r="U2185" i="8"/>
  <c r="R2185" i="8"/>
  <c r="Q2185" i="8"/>
  <c r="P2185" i="8"/>
  <c r="M2185" i="8"/>
  <c r="J2185" i="8"/>
  <c r="H2185" i="8"/>
  <c r="B2185" i="8"/>
  <c r="A2185" i="8"/>
  <c r="AA2184" i="8"/>
  <c r="W2184" i="8"/>
  <c r="U2184" i="8"/>
  <c r="P2184" i="8"/>
  <c r="M2184" i="8"/>
  <c r="J2184" i="8"/>
  <c r="H2184" i="8"/>
  <c r="B2184" i="8"/>
  <c r="A2184" i="8"/>
  <c r="AA2183" i="8"/>
  <c r="W2183" i="8"/>
  <c r="U2183" i="8"/>
  <c r="P2183" i="8"/>
  <c r="M2183" i="8"/>
  <c r="J2183" i="8"/>
  <c r="H2183" i="8"/>
  <c r="B2183" i="8"/>
  <c r="A2183" i="8"/>
  <c r="AA2182" i="8"/>
  <c r="W2182" i="8"/>
  <c r="U2182" i="8"/>
  <c r="P2182" i="8"/>
  <c r="M2182" i="8"/>
  <c r="J2182" i="8"/>
  <c r="H2182" i="8"/>
  <c r="B2182" i="8"/>
  <c r="A2182" i="8"/>
  <c r="AA2181" i="8"/>
  <c r="W2181" i="8"/>
  <c r="U2181" i="8"/>
  <c r="P2181" i="8"/>
  <c r="M2181" i="8"/>
  <c r="J2181" i="8"/>
  <c r="H2181" i="8"/>
  <c r="B2181" i="8"/>
  <c r="A2181" i="8"/>
  <c r="AA2180" i="8"/>
  <c r="W2180" i="8"/>
  <c r="U2180" i="8"/>
  <c r="P2180" i="8"/>
  <c r="M2180" i="8"/>
  <c r="J2180" i="8"/>
  <c r="H2180" i="8"/>
  <c r="B2180" i="8"/>
  <c r="A2180" i="8"/>
  <c r="AA2179" i="8"/>
  <c r="W2179" i="8"/>
  <c r="U2179" i="8"/>
  <c r="P2179" i="8"/>
  <c r="M2179" i="8"/>
  <c r="J2179" i="8"/>
  <c r="H2179" i="8"/>
  <c r="B2179" i="8"/>
  <c r="A2179" i="8"/>
  <c r="AA2178" i="8"/>
  <c r="W2178" i="8"/>
  <c r="U2178" i="8"/>
  <c r="R2178" i="8"/>
  <c r="Q2178" i="8"/>
  <c r="P2178" i="8"/>
  <c r="M2178" i="8"/>
  <c r="J2178" i="8"/>
  <c r="H2178" i="8"/>
  <c r="B2178" i="8"/>
  <c r="A2178" i="8"/>
  <c r="AA2177" i="8"/>
  <c r="W2177" i="8"/>
  <c r="U2177" i="8"/>
  <c r="P2177" i="8"/>
  <c r="M2177" i="8"/>
  <c r="J2177" i="8"/>
  <c r="H2177" i="8"/>
  <c r="B2177" i="8"/>
  <c r="A2177" i="8"/>
  <c r="AA2176" i="8"/>
  <c r="W2176" i="8"/>
  <c r="U2176" i="8"/>
  <c r="P2176" i="8"/>
  <c r="M2176" i="8"/>
  <c r="J2176" i="8"/>
  <c r="H2176" i="8"/>
  <c r="B2176" i="8"/>
  <c r="A2176" i="8"/>
  <c r="AA2175" i="8"/>
  <c r="W2175" i="8"/>
  <c r="U2175" i="8"/>
  <c r="P2175" i="8"/>
  <c r="M2175" i="8"/>
  <c r="J2175" i="8"/>
  <c r="H2175" i="8"/>
  <c r="B2175" i="8"/>
  <c r="A2175" i="8"/>
  <c r="AA2174" i="8"/>
  <c r="W2174" i="8"/>
  <c r="U2174" i="8"/>
  <c r="P2174" i="8"/>
  <c r="M2174" i="8"/>
  <c r="J2174" i="8"/>
  <c r="H2174" i="8"/>
  <c r="B2174" i="8"/>
  <c r="A2174" i="8"/>
  <c r="AA2173" i="8"/>
  <c r="W2173" i="8"/>
  <c r="U2173" i="8"/>
  <c r="P2173" i="8"/>
  <c r="M2173" i="8"/>
  <c r="J2173" i="8"/>
  <c r="H2173" i="8"/>
  <c r="B2173" i="8"/>
  <c r="A2173" i="8"/>
  <c r="AA2172" i="8"/>
  <c r="W2172" i="8"/>
  <c r="U2172" i="8"/>
  <c r="P2172" i="8"/>
  <c r="M2172" i="8"/>
  <c r="J2172" i="8"/>
  <c r="H2172" i="8"/>
  <c r="B2172" i="8"/>
  <c r="A2172" i="8"/>
  <c r="AA2171" i="8"/>
  <c r="W2171" i="8"/>
  <c r="U2171" i="8"/>
  <c r="P2171" i="8"/>
  <c r="M2171" i="8"/>
  <c r="J2171" i="8"/>
  <c r="H2171" i="8"/>
  <c r="B2171" i="8"/>
  <c r="A2171" i="8"/>
  <c r="AA2170" i="8"/>
  <c r="W2170" i="8"/>
  <c r="U2170" i="8"/>
  <c r="R2170" i="8"/>
  <c r="Q2170" i="8"/>
  <c r="P2170" i="8"/>
  <c r="M2170" i="8"/>
  <c r="J2170" i="8"/>
  <c r="H2170" i="8"/>
  <c r="B2170" i="8"/>
  <c r="A2170" i="8"/>
  <c r="AA2169" i="8"/>
  <c r="W2169" i="8"/>
  <c r="U2169" i="8"/>
  <c r="P2169" i="8"/>
  <c r="M2169" i="8"/>
  <c r="J2169" i="8"/>
  <c r="H2169" i="8"/>
  <c r="B2169" i="8"/>
  <c r="A2169" i="8"/>
  <c r="AA2168" i="8"/>
  <c r="W2168" i="8"/>
  <c r="U2168" i="8"/>
  <c r="P2168" i="8"/>
  <c r="M2168" i="8"/>
  <c r="J2168" i="8"/>
  <c r="H2168" i="8"/>
  <c r="B2168" i="8"/>
  <c r="A2168" i="8"/>
  <c r="AA2167" i="8"/>
  <c r="W2167" i="8"/>
  <c r="U2167" i="8"/>
  <c r="P2167" i="8"/>
  <c r="M2167" i="8"/>
  <c r="J2167" i="8"/>
  <c r="H2167" i="8"/>
  <c r="B2167" i="8"/>
  <c r="A2167" i="8"/>
  <c r="AA2166" i="8"/>
  <c r="W2166" i="8"/>
  <c r="U2166" i="8"/>
  <c r="P2166" i="8"/>
  <c r="M2166" i="8"/>
  <c r="J2166" i="8"/>
  <c r="H2166" i="8"/>
  <c r="B2166" i="8"/>
  <c r="A2166" i="8"/>
  <c r="AA2165" i="8"/>
  <c r="W2165" i="8"/>
  <c r="U2165" i="8"/>
  <c r="P2165" i="8"/>
  <c r="M2165" i="8"/>
  <c r="J2165" i="8"/>
  <c r="H2165" i="8"/>
  <c r="B2165" i="8"/>
  <c r="A2165" i="8"/>
  <c r="AA2164" i="8"/>
  <c r="W2164" i="8"/>
  <c r="U2164" i="8"/>
  <c r="P2164" i="8"/>
  <c r="M2164" i="8"/>
  <c r="J2164" i="8"/>
  <c r="H2164" i="8"/>
  <c r="B2164" i="8"/>
  <c r="A2164" i="8"/>
  <c r="AA2163" i="8"/>
  <c r="W2163" i="8"/>
  <c r="U2163" i="8"/>
  <c r="P2163" i="8"/>
  <c r="M2163" i="8"/>
  <c r="J2163" i="8"/>
  <c r="H2163" i="8"/>
  <c r="B2163" i="8"/>
  <c r="A2163" i="8"/>
  <c r="AA2162" i="8"/>
  <c r="W2162" i="8"/>
  <c r="U2162" i="8"/>
  <c r="P2162" i="8"/>
  <c r="M2162" i="8"/>
  <c r="J2162" i="8"/>
  <c r="H2162" i="8"/>
  <c r="B2162" i="8"/>
  <c r="A2162" i="8"/>
  <c r="AA2161" i="8"/>
  <c r="W2161" i="8"/>
  <c r="U2161" i="8"/>
  <c r="P2161" i="8"/>
  <c r="M2161" i="8"/>
  <c r="J2161" i="8"/>
  <c r="H2161" i="8"/>
  <c r="B2161" i="8"/>
  <c r="A2161" i="8"/>
  <c r="AA2160" i="8"/>
  <c r="W2160" i="8"/>
  <c r="U2160" i="8"/>
  <c r="P2160" i="8"/>
  <c r="M2160" i="8"/>
  <c r="J2160" i="8"/>
  <c r="H2160" i="8"/>
  <c r="B2160" i="8"/>
  <c r="A2160" i="8"/>
  <c r="AA2159" i="8"/>
  <c r="W2159" i="8"/>
  <c r="U2159" i="8"/>
  <c r="P2159" i="8"/>
  <c r="M2159" i="8"/>
  <c r="J2159" i="8"/>
  <c r="H2159" i="8"/>
  <c r="B2159" i="8"/>
  <c r="A2159" i="8"/>
  <c r="AA2158" i="8"/>
  <c r="W2158" i="8"/>
  <c r="U2158" i="8"/>
  <c r="P2158" i="8"/>
  <c r="M2158" i="8"/>
  <c r="J2158" i="8"/>
  <c r="H2158" i="8"/>
  <c r="B2158" i="8"/>
  <c r="A2158" i="8"/>
  <c r="AA2157" i="8"/>
  <c r="W2157" i="8"/>
  <c r="U2157" i="8"/>
  <c r="P2157" i="8"/>
  <c r="M2157" i="8"/>
  <c r="J2157" i="8"/>
  <c r="H2157" i="8"/>
  <c r="B2157" i="8"/>
  <c r="A2157" i="8"/>
  <c r="AA2156" i="8"/>
  <c r="W2156" i="8"/>
  <c r="U2156" i="8"/>
  <c r="P2156" i="8"/>
  <c r="M2156" i="8"/>
  <c r="J2156" i="8"/>
  <c r="H2156" i="8"/>
  <c r="B2156" i="8"/>
  <c r="A2156" i="8"/>
  <c r="AA2155" i="8"/>
  <c r="W2155" i="8"/>
  <c r="U2155" i="8"/>
  <c r="P2155" i="8"/>
  <c r="M2155" i="8"/>
  <c r="J2155" i="8"/>
  <c r="H2155" i="8"/>
  <c r="B2155" i="8"/>
  <c r="A2155" i="8"/>
  <c r="AA2154" i="8"/>
  <c r="W2154" i="8"/>
  <c r="U2154" i="8"/>
  <c r="P2154" i="8"/>
  <c r="M2154" i="8"/>
  <c r="J2154" i="8"/>
  <c r="H2154" i="8"/>
  <c r="B2154" i="8"/>
  <c r="A2154" i="8"/>
  <c r="AA2153" i="8"/>
  <c r="W2153" i="8"/>
  <c r="U2153" i="8"/>
  <c r="P2153" i="8"/>
  <c r="M2153" i="8"/>
  <c r="J2153" i="8"/>
  <c r="H2153" i="8"/>
  <c r="B2153" i="8"/>
  <c r="A2153" i="8"/>
  <c r="AA2152" i="8"/>
  <c r="W2152" i="8"/>
  <c r="U2152" i="8"/>
  <c r="P2152" i="8"/>
  <c r="M2152" i="8"/>
  <c r="J2152" i="8"/>
  <c r="H2152" i="8"/>
  <c r="B2152" i="8"/>
  <c r="A2152" i="8"/>
  <c r="AA2151" i="8"/>
  <c r="W2151" i="8"/>
  <c r="U2151" i="8"/>
  <c r="P2151" i="8"/>
  <c r="M2151" i="8"/>
  <c r="J2151" i="8"/>
  <c r="H2151" i="8"/>
  <c r="B2151" i="8"/>
  <c r="A2151" i="8"/>
  <c r="AA2150" i="8"/>
  <c r="W2150" i="8"/>
  <c r="U2150" i="8"/>
  <c r="P2150" i="8"/>
  <c r="M2150" i="8"/>
  <c r="J2150" i="8"/>
  <c r="H2150" i="8"/>
  <c r="B2150" i="8"/>
  <c r="A2150" i="8"/>
  <c r="AA2149" i="8"/>
  <c r="W2149" i="8"/>
  <c r="U2149" i="8"/>
  <c r="P2149" i="8"/>
  <c r="M2149" i="8"/>
  <c r="J2149" i="8"/>
  <c r="H2149" i="8"/>
  <c r="B2149" i="8"/>
  <c r="A2149" i="8"/>
  <c r="AA2148" i="8"/>
  <c r="W2148" i="8"/>
  <c r="U2148" i="8"/>
  <c r="P2148" i="8"/>
  <c r="M2148" i="8"/>
  <c r="J2148" i="8"/>
  <c r="H2148" i="8"/>
  <c r="B2148" i="8"/>
  <c r="A2148" i="8"/>
  <c r="AA2147" i="8"/>
  <c r="W2147" i="8"/>
  <c r="U2147" i="8"/>
  <c r="P2147" i="8"/>
  <c r="M2147" i="8"/>
  <c r="J2147" i="8"/>
  <c r="H2147" i="8"/>
  <c r="B2147" i="8"/>
  <c r="A2147" i="8"/>
  <c r="AA2146" i="8"/>
  <c r="W2146" i="8"/>
  <c r="U2146" i="8"/>
  <c r="P2146" i="8"/>
  <c r="M2146" i="8"/>
  <c r="J2146" i="8"/>
  <c r="H2146" i="8"/>
  <c r="B2146" i="8"/>
  <c r="A2146" i="8"/>
  <c r="AA2145" i="8"/>
  <c r="W2145" i="8"/>
  <c r="U2145" i="8"/>
  <c r="P2145" i="8"/>
  <c r="M2145" i="8"/>
  <c r="J2145" i="8"/>
  <c r="H2145" i="8"/>
  <c r="B2145" i="8"/>
  <c r="A2145" i="8"/>
  <c r="AA2144" i="8"/>
  <c r="W2144" i="8"/>
  <c r="U2144" i="8"/>
  <c r="P2144" i="8"/>
  <c r="M2144" i="8"/>
  <c r="J2144" i="8"/>
  <c r="H2144" i="8"/>
  <c r="B2144" i="8"/>
  <c r="A2144" i="8"/>
  <c r="AA2143" i="8"/>
  <c r="W2143" i="8"/>
  <c r="U2143" i="8"/>
  <c r="P2143" i="8"/>
  <c r="M2143" i="8"/>
  <c r="J2143" i="8"/>
  <c r="H2143" i="8"/>
  <c r="B2143" i="8"/>
  <c r="A2143" i="8"/>
  <c r="AA2142" i="8"/>
  <c r="W2142" i="8"/>
  <c r="U2142" i="8"/>
  <c r="P2142" i="8"/>
  <c r="M2142" i="8"/>
  <c r="J2142" i="8"/>
  <c r="H2142" i="8"/>
  <c r="B2142" i="8"/>
  <c r="A2142" i="8"/>
  <c r="AA2141" i="8"/>
  <c r="W2141" i="8"/>
  <c r="U2141" i="8"/>
  <c r="P2141" i="8"/>
  <c r="M2141" i="8"/>
  <c r="J2141" i="8"/>
  <c r="H2141" i="8"/>
  <c r="B2141" i="8"/>
  <c r="A2141" i="8"/>
  <c r="AA2140" i="8"/>
  <c r="W2140" i="8"/>
  <c r="U2140" i="8"/>
  <c r="P2140" i="8"/>
  <c r="M2140" i="8"/>
  <c r="J2140" i="8"/>
  <c r="H2140" i="8"/>
  <c r="B2140" i="8"/>
  <c r="A2140" i="8"/>
  <c r="AA2139" i="8"/>
  <c r="W2139" i="8"/>
  <c r="U2139" i="8"/>
  <c r="P2139" i="8"/>
  <c r="M2139" i="8"/>
  <c r="J2139" i="8"/>
  <c r="H2139" i="8"/>
  <c r="B2139" i="8"/>
  <c r="A2139" i="8"/>
  <c r="AA2138" i="8"/>
  <c r="W2138" i="8"/>
  <c r="U2138" i="8"/>
  <c r="P2138" i="8"/>
  <c r="M2138" i="8"/>
  <c r="J2138" i="8"/>
  <c r="H2138" i="8"/>
  <c r="B2138" i="8"/>
  <c r="A2138" i="8"/>
  <c r="AA2137" i="8"/>
  <c r="W2137" i="8"/>
  <c r="U2137" i="8"/>
  <c r="P2137" i="8"/>
  <c r="M2137" i="8"/>
  <c r="J2137" i="8"/>
  <c r="H2137" i="8"/>
  <c r="B2137" i="8"/>
  <c r="A2137" i="8"/>
  <c r="AA2136" i="8"/>
  <c r="W2136" i="8"/>
  <c r="U2136" i="8"/>
  <c r="P2136" i="8"/>
  <c r="M2136" i="8"/>
  <c r="J2136" i="8"/>
  <c r="H2136" i="8"/>
  <c r="B2136" i="8"/>
  <c r="A2136" i="8"/>
  <c r="AA2135" i="8"/>
  <c r="W2135" i="8"/>
  <c r="U2135" i="8"/>
  <c r="P2135" i="8"/>
  <c r="M2135" i="8"/>
  <c r="J2135" i="8"/>
  <c r="H2135" i="8"/>
  <c r="B2135" i="8"/>
  <c r="A2135" i="8"/>
  <c r="AA2134" i="8"/>
  <c r="W2134" i="8"/>
  <c r="U2134" i="8"/>
  <c r="P2134" i="8"/>
  <c r="M2134" i="8"/>
  <c r="J2134" i="8"/>
  <c r="H2134" i="8"/>
  <c r="B2134" i="8"/>
  <c r="A2134" i="8"/>
  <c r="AA2133" i="8"/>
  <c r="W2133" i="8"/>
  <c r="U2133" i="8"/>
  <c r="P2133" i="8"/>
  <c r="M2133" i="8"/>
  <c r="J2133" i="8"/>
  <c r="H2133" i="8"/>
  <c r="B2133" i="8"/>
  <c r="A2133" i="8"/>
  <c r="AA2132" i="8"/>
  <c r="W2132" i="8"/>
  <c r="U2132" i="8"/>
  <c r="P2132" i="8"/>
  <c r="M2132" i="8"/>
  <c r="J2132" i="8"/>
  <c r="H2132" i="8"/>
  <c r="B2132" i="8"/>
  <c r="A2132" i="8"/>
  <c r="AA2131" i="8"/>
  <c r="W2131" i="8"/>
  <c r="U2131" i="8"/>
  <c r="P2131" i="8"/>
  <c r="M2131" i="8"/>
  <c r="J2131" i="8"/>
  <c r="H2131" i="8"/>
  <c r="B2131" i="8"/>
  <c r="A2131" i="8"/>
  <c r="AA2130" i="8"/>
  <c r="W2130" i="8"/>
  <c r="U2130" i="8"/>
  <c r="P2130" i="8"/>
  <c r="M2130" i="8"/>
  <c r="J2130" i="8"/>
  <c r="H2130" i="8"/>
  <c r="B2130" i="8"/>
  <c r="A2130" i="8"/>
  <c r="AA2129" i="8"/>
  <c r="W2129" i="8"/>
  <c r="U2129" i="8"/>
  <c r="P2129" i="8"/>
  <c r="M2129" i="8"/>
  <c r="J2129" i="8"/>
  <c r="H2129" i="8"/>
  <c r="B2129" i="8"/>
  <c r="A2129" i="8"/>
  <c r="AA2128" i="8"/>
  <c r="W2128" i="8"/>
  <c r="U2128" i="8"/>
  <c r="P2128" i="8"/>
  <c r="M2128" i="8"/>
  <c r="J2128" i="8"/>
  <c r="H2128" i="8"/>
  <c r="B2128" i="8"/>
  <c r="A2128" i="8"/>
  <c r="AA2127" i="8"/>
  <c r="W2127" i="8"/>
  <c r="U2127" i="8"/>
  <c r="P2127" i="8"/>
  <c r="M2127" i="8"/>
  <c r="J2127" i="8"/>
  <c r="H2127" i="8"/>
  <c r="B2127" i="8"/>
  <c r="A2127" i="8"/>
  <c r="AA2126" i="8"/>
  <c r="W2126" i="8"/>
  <c r="U2126" i="8"/>
  <c r="P2126" i="8"/>
  <c r="M2126" i="8"/>
  <c r="J2126" i="8"/>
  <c r="H2126" i="8"/>
  <c r="B2126" i="8"/>
  <c r="A2126" i="8"/>
  <c r="AA2125" i="8"/>
  <c r="W2125" i="8"/>
  <c r="U2125" i="8"/>
  <c r="P2125" i="8"/>
  <c r="M2125" i="8"/>
  <c r="J2125" i="8"/>
  <c r="H2125" i="8"/>
  <c r="B2125" i="8"/>
  <c r="A2125" i="8"/>
  <c r="AA2124" i="8"/>
  <c r="W2124" i="8"/>
  <c r="U2124" i="8"/>
  <c r="P2124" i="8"/>
  <c r="M2124" i="8"/>
  <c r="J2124" i="8"/>
  <c r="H2124" i="8"/>
  <c r="B2124" i="8"/>
  <c r="A2124" i="8"/>
  <c r="AA2123" i="8"/>
  <c r="W2123" i="8"/>
  <c r="U2123" i="8"/>
  <c r="P2123" i="8"/>
  <c r="M2123" i="8"/>
  <c r="J2123" i="8"/>
  <c r="H2123" i="8"/>
  <c r="B2123" i="8"/>
  <c r="A2123" i="8"/>
  <c r="AA2122" i="8"/>
  <c r="W2122" i="8"/>
  <c r="U2122" i="8"/>
  <c r="P2122" i="8"/>
  <c r="M2122" i="8"/>
  <c r="J2122" i="8"/>
  <c r="H2122" i="8"/>
  <c r="B2122" i="8"/>
  <c r="A2122" i="8"/>
  <c r="AA2121" i="8"/>
  <c r="W2121" i="8"/>
  <c r="U2121" i="8"/>
  <c r="P2121" i="8"/>
  <c r="M2121" i="8"/>
  <c r="J2121" i="8"/>
  <c r="H2121" i="8"/>
  <c r="B2121" i="8"/>
  <c r="A2121" i="8"/>
  <c r="AA2120" i="8"/>
  <c r="W2120" i="8"/>
  <c r="U2120" i="8"/>
  <c r="P2120" i="8"/>
  <c r="M2120" i="8"/>
  <c r="J2120" i="8"/>
  <c r="H2120" i="8"/>
  <c r="B2120" i="8"/>
  <c r="A2120" i="8"/>
  <c r="AA2119" i="8"/>
  <c r="W2119" i="8"/>
  <c r="U2119" i="8"/>
  <c r="P2119" i="8"/>
  <c r="M2119" i="8"/>
  <c r="J2119" i="8"/>
  <c r="H2119" i="8"/>
  <c r="B2119" i="8"/>
  <c r="A2119" i="8"/>
  <c r="AA2118" i="8"/>
  <c r="W2118" i="8"/>
  <c r="U2118" i="8"/>
  <c r="P2118" i="8"/>
  <c r="M2118" i="8"/>
  <c r="J2118" i="8"/>
  <c r="H2118" i="8"/>
  <c r="B2118" i="8"/>
  <c r="A2118" i="8"/>
  <c r="AA2117" i="8"/>
  <c r="W2117" i="8"/>
  <c r="U2117" i="8"/>
  <c r="P2117" i="8"/>
  <c r="M2117" i="8"/>
  <c r="J2117" i="8"/>
  <c r="H2117" i="8"/>
  <c r="B2117" i="8"/>
  <c r="A2117" i="8"/>
  <c r="AA2116" i="8"/>
  <c r="W2116" i="8"/>
  <c r="U2116" i="8"/>
  <c r="P2116" i="8"/>
  <c r="M2116" i="8"/>
  <c r="J2116" i="8"/>
  <c r="H2116" i="8"/>
  <c r="B2116" i="8"/>
  <c r="A2116" i="8"/>
  <c r="AA2115" i="8"/>
  <c r="W2115" i="8"/>
  <c r="U2115" i="8"/>
  <c r="P2115" i="8"/>
  <c r="M2115" i="8"/>
  <c r="J2115" i="8"/>
  <c r="H2115" i="8"/>
  <c r="B2115" i="8"/>
  <c r="A2115" i="8"/>
  <c r="AA2114" i="8"/>
  <c r="W2114" i="8"/>
  <c r="U2114" i="8"/>
  <c r="P2114" i="8"/>
  <c r="M2114" i="8"/>
  <c r="J2114" i="8"/>
  <c r="H2114" i="8"/>
  <c r="B2114" i="8"/>
  <c r="A2114" i="8"/>
  <c r="AA2113" i="8"/>
  <c r="W2113" i="8"/>
  <c r="U2113" i="8"/>
  <c r="P2113" i="8"/>
  <c r="M2113" i="8"/>
  <c r="J2113" i="8"/>
  <c r="H2113" i="8"/>
  <c r="B2113" i="8"/>
  <c r="A2113" i="8"/>
  <c r="AA2112" i="8"/>
  <c r="W2112" i="8"/>
  <c r="U2112" i="8"/>
  <c r="P2112" i="8"/>
  <c r="M2112" i="8"/>
  <c r="J2112" i="8"/>
  <c r="H2112" i="8"/>
  <c r="B2112" i="8"/>
  <c r="A2112" i="8"/>
  <c r="AA2111" i="8"/>
  <c r="W2111" i="8"/>
  <c r="U2111" i="8"/>
  <c r="R2111" i="8"/>
  <c r="Q2111" i="8"/>
  <c r="P2111" i="8"/>
  <c r="M2111" i="8"/>
  <c r="J2111" i="8"/>
  <c r="H2111" i="8"/>
  <c r="B2111" i="8"/>
  <c r="A2111" i="8"/>
  <c r="AA2110" i="8"/>
  <c r="W2110" i="8"/>
  <c r="U2110" i="8"/>
  <c r="P2110" i="8"/>
  <c r="M2110" i="8"/>
  <c r="J2110" i="8"/>
  <c r="H2110" i="8"/>
  <c r="B2110" i="8"/>
  <c r="A2110" i="8"/>
  <c r="AA2109" i="8"/>
  <c r="W2109" i="8"/>
  <c r="U2109" i="8"/>
  <c r="P2109" i="8"/>
  <c r="M2109" i="8"/>
  <c r="J2109" i="8"/>
  <c r="H2109" i="8"/>
  <c r="B2109" i="8"/>
  <c r="A2109" i="8"/>
  <c r="AA2108" i="8"/>
  <c r="W2108" i="8"/>
  <c r="U2108" i="8"/>
  <c r="P2108" i="8"/>
  <c r="M2108" i="8"/>
  <c r="J2108" i="8"/>
  <c r="H2108" i="8"/>
  <c r="B2108" i="8"/>
  <c r="A2108" i="8"/>
  <c r="AA2107" i="8"/>
  <c r="W2107" i="8"/>
  <c r="U2107" i="8"/>
  <c r="P2107" i="8"/>
  <c r="M2107" i="8"/>
  <c r="J2107" i="8"/>
  <c r="H2107" i="8"/>
  <c r="B2107" i="8"/>
  <c r="A2107" i="8"/>
  <c r="AA2106" i="8"/>
  <c r="W2106" i="8"/>
  <c r="U2106" i="8"/>
  <c r="P2106" i="8"/>
  <c r="M2106" i="8"/>
  <c r="J2106" i="8"/>
  <c r="H2106" i="8"/>
  <c r="B2106" i="8"/>
  <c r="A2106" i="8"/>
  <c r="AA2105" i="8"/>
  <c r="W2105" i="8"/>
  <c r="U2105" i="8"/>
  <c r="P2105" i="8"/>
  <c r="M2105" i="8"/>
  <c r="J2105" i="8"/>
  <c r="H2105" i="8"/>
  <c r="B2105" i="8"/>
  <c r="A2105" i="8"/>
  <c r="AA2104" i="8"/>
  <c r="W2104" i="8"/>
  <c r="U2104" i="8"/>
  <c r="P2104" i="8"/>
  <c r="M2104" i="8"/>
  <c r="J2104" i="8"/>
  <c r="H2104" i="8"/>
  <c r="B2104" i="8"/>
  <c r="A2104" i="8"/>
  <c r="AA2103" i="8"/>
  <c r="W2103" i="8"/>
  <c r="U2103" i="8"/>
  <c r="R2103" i="8"/>
  <c r="Q2103" i="8"/>
  <c r="P2103" i="8"/>
  <c r="M2103" i="8"/>
  <c r="J2103" i="8"/>
  <c r="H2103" i="8"/>
  <c r="B2103" i="8"/>
  <c r="A2103" i="8"/>
  <c r="AA2102" i="8"/>
  <c r="W2102" i="8"/>
  <c r="U2102" i="8"/>
  <c r="P2102" i="8"/>
  <c r="M2102" i="8"/>
  <c r="J2102" i="8"/>
  <c r="H2102" i="8"/>
  <c r="B2102" i="8"/>
  <c r="A2102" i="8"/>
  <c r="AA2101" i="8"/>
  <c r="W2101" i="8"/>
  <c r="U2101" i="8"/>
  <c r="P2101" i="8"/>
  <c r="M2101" i="8"/>
  <c r="J2101" i="8"/>
  <c r="H2101" i="8"/>
  <c r="B2101" i="8"/>
  <c r="A2101" i="8"/>
  <c r="AA2100" i="8"/>
  <c r="W2100" i="8"/>
  <c r="U2100" i="8"/>
  <c r="P2100" i="8"/>
  <c r="M2100" i="8"/>
  <c r="J2100" i="8"/>
  <c r="H2100" i="8"/>
  <c r="B2100" i="8"/>
  <c r="A2100" i="8"/>
  <c r="AA2099" i="8"/>
  <c r="W2099" i="8"/>
  <c r="U2099" i="8"/>
  <c r="P2099" i="8"/>
  <c r="M2099" i="8"/>
  <c r="J2099" i="8"/>
  <c r="H2099" i="8"/>
  <c r="B2099" i="8"/>
  <c r="A2099" i="8"/>
  <c r="AA2098" i="8"/>
  <c r="W2098" i="8"/>
  <c r="U2098" i="8"/>
  <c r="P2098" i="8"/>
  <c r="M2098" i="8"/>
  <c r="J2098" i="8"/>
  <c r="H2098" i="8"/>
  <c r="B2098" i="8"/>
  <c r="A2098" i="8"/>
  <c r="AA2097" i="8"/>
  <c r="W2097" i="8"/>
  <c r="U2097" i="8"/>
  <c r="P2097" i="8"/>
  <c r="M2097" i="8"/>
  <c r="J2097" i="8"/>
  <c r="H2097" i="8"/>
  <c r="B2097" i="8"/>
  <c r="A2097" i="8"/>
  <c r="AA2096" i="8"/>
  <c r="W2096" i="8"/>
  <c r="U2096" i="8"/>
  <c r="P2096" i="8"/>
  <c r="M2096" i="8"/>
  <c r="J2096" i="8"/>
  <c r="H2096" i="8"/>
  <c r="B2096" i="8"/>
  <c r="A2096" i="8"/>
  <c r="AA2095" i="8"/>
  <c r="W2095" i="8"/>
  <c r="U2095" i="8"/>
  <c r="P2095" i="8"/>
  <c r="M2095" i="8"/>
  <c r="J2095" i="8"/>
  <c r="H2095" i="8"/>
  <c r="B2095" i="8"/>
  <c r="A2095" i="8"/>
  <c r="AA2094" i="8"/>
  <c r="W2094" i="8"/>
  <c r="U2094" i="8"/>
  <c r="R2094" i="8"/>
  <c r="Q2094" i="8"/>
  <c r="P2094" i="8"/>
  <c r="M2094" i="8"/>
  <c r="J2094" i="8"/>
  <c r="H2094" i="8"/>
  <c r="B2094" i="8"/>
  <c r="A2094" i="8"/>
  <c r="AA2093" i="8"/>
  <c r="W2093" i="8"/>
  <c r="U2093" i="8"/>
  <c r="P2093" i="8"/>
  <c r="M2093" i="8"/>
  <c r="J2093" i="8"/>
  <c r="H2093" i="8"/>
  <c r="B2093" i="8"/>
  <c r="A2093" i="8"/>
  <c r="AA2092" i="8"/>
  <c r="W2092" i="8"/>
  <c r="U2092" i="8"/>
  <c r="P2092" i="8"/>
  <c r="M2092" i="8"/>
  <c r="J2092" i="8"/>
  <c r="H2092" i="8"/>
  <c r="B2092" i="8"/>
  <c r="A2092" i="8"/>
  <c r="AA2091" i="8"/>
  <c r="W2091" i="8"/>
  <c r="U2091" i="8"/>
  <c r="P2091" i="8"/>
  <c r="M2091" i="8"/>
  <c r="J2091" i="8"/>
  <c r="H2091" i="8"/>
  <c r="B2091" i="8"/>
  <c r="A2091" i="8"/>
  <c r="AA2090" i="8"/>
  <c r="W2090" i="8"/>
  <c r="U2090" i="8"/>
  <c r="P2090" i="8"/>
  <c r="M2090" i="8"/>
  <c r="J2090" i="8"/>
  <c r="H2090" i="8"/>
  <c r="B2090" i="8"/>
  <c r="A2090" i="8"/>
  <c r="AA2089" i="8"/>
  <c r="W2089" i="8"/>
  <c r="U2089" i="8"/>
  <c r="P2089" i="8"/>
  <c r="M2089" i="8"/>
  <c r="J2089" i="8"/>
  <c r="H2089" i="8"/>
  <c r="B2089" i="8"/>
  <c r="A2089" i="8"/>
  <c r="AA2088" i="8"/>
  <c r="W2088" i="8"/>
  <c r="U2088" i="8"/>
  <c r="R2088" i="8"/>
  <c r="Q2088" i="8"/>
  <c r="P2088" i="8"/>
  <c r="M2088" i="8"/>
  <c r="J2088" i="8"/>
  <c r="H2088" i="8"/>
  <c r="B2088" i="8"/>
  <c r="A2088" i="8"/>
  <c r="AA2087" i="8"/>
  <c r="W2087" i="8"/>
  <c r="U2087" i="8"/>
  <c r="P2087" i="8"/>
  <c r="M2087" i="8"/>
  <c r="J2087" i="8"/>
  <c r="H2087" i="8"/>
  <c r="B2087" i="8"/>
  <c r="A2087" i="8"/>
  <c r="AA2086" i="8"/>
  <c r="W2086" i="8"/>
  <c r="U2086" i="8"/>
  <c r="P2086" i="8"/>
  <c r="M2086" i="8"/>
  <c r="J2086" i="8"/>
  <c r="H2086" i="8"/>
  <c r="B2086" i="8"/>
  <c r="A2086" i="8"/>
  <c r="AA2085" i="8"/>
  <c r="W2085" i="8"/>
  <c r="U2085" i="8"/>
  <c r="P2085" i="8"/>
  <c r="M2085" i="8"/>
  <c r="J2085" i="8"/>
  <c r="H2085" i="8"/>
  <c r="B2085" i="8"/>
  <c r="A2085" i="8"/>
  <c r="AA2084" i="8"/>
  <c r="W2084" i="8"/>
  <c r="U2084" i="8"/>
  <c r="P2084" i="8"/>
  <c r="M2084" i="8"/>
  <c r="J2084" i="8"/>
  <c r="H2084" i="8"/>
  <c r="B2084" i="8"/>
  <c r="A2084" i="8"/>
  <c r="AA2083" i="8"/>
  <c r="W2083" i="8"/>
  <c r="U2083" i="8"/>
  <c r="M2083" i="8"/>
  <c r="J2083" i="8"/>
  <c r="H2083" i="8"/>
  <c r="B2083" i="8"/>
  <c r="A2083" i="8"/>
  <c r="AA2082" i="8"/>
  <c r="W2082" i="8"/>
  <c r="U2082" i="8"/>
  <c r="R2082" i="8"/>
  <c r="Q2082" i="8"/>
  <c r="M2082" i="8"/>
  <c r="J2082" i="8"/>
  <c r="H2082" i="8"/>
  <c r="B2082" i="8"/>
  <c r="A2082" i="8"/>
  <c r="AA2081" i="8"/>
  <c r="W2081" i="8"/>
  <c r="U2081" i="8"/>
  <c r="P2081" i="8"/>
  <c r="M2081" i="8"/>
  <c r="J2081" i="8"/>
  <c r="H2081" i="8"/>
  <c r="B2081" i="8"/>
  <c r="A2081" i="8"/>
  <c r="AA2080" i="8"/>
  <c r="W2080" i="8"/>
  <c r="U2080" i="8"/>
  <c r="R2080" i="8"/>
  <c r="Q2080" i="8"/>
  <c r="P2080" i="8"/>
  <c r="M2080" i="8"/>
  <c r="J2080" i="8"/>
  <c r="H2080" i="8"/>
  <c r="B2080" i="8"/>
  <c r="A2080" i="8"/>
  <c r="AA2079" i="8"/>
  <c r="W2079" i="8"/>
  <c r="U2079" i="8"/>
  <c r="P2079" i="8"/>
  <c r="M2079" i="8"/>
  <c r="J2079" i="8"/>
  <c r="H2079" i="8"/>
  <c r="B2079" i="8"/>
  <c r="A2079" i="8"/>
  <c r="AA2078" i="8"/>
  <c r="W2078" i="8"/>
  <c r="U2078" i="8"/>
  <c r="P2078" i="8"/>
  <c r="M2078" i="8"/>
  <c r="J2078" i="8"/>
  <c r="H2078" i="8"/>
  <c r="B2078" i="8"/>
  <c r="A2078" i="8"/>
  <c r="AA2077" i="8"/>
  <c r="W2077" i="8"/>
  <c r="U2077" i="8"/>
  <c r="R2077" i="8"/>
  <c r="Q2077" i="8"/>
  <c r="P2077" i="8"/>
  <c r="M2077" i="8"/>
  <c r="J2077" i="8"/>
  <c r="H2077" i="8"/>
  <c r="B2077" i="8"/>
  <c r="A2077" i="8"/>
  <c r="AA2076" i="8"/>
  <c r="W2076" i="8"/>
  <c r="U2076" i="8"/>
  <c r="R2076" i="8"/>
  <c r="Q2076" i="8"/>
  <c r="P2076" i="8"/>
  <c r="M2076" i="8"/>
  <c r="J2076" i="8"/>
  <c r="H2076" i="8"/>
  <c r="B2076" i="8"/>
  <c r="A2076" i="8"/>
  <c r="AA2075" i="8"/>
  <c r="W2075" i="8"/>
  <c r="U2075" i="8"/>
  <c r="M2075" i="8"/>
  <c r="J2075" i="8"/>
  <c r="H2075" i="8"/>
  <c r="B2075" i="8"/>
  <c r="A2075" i="8"/>
  <c r="AA2074" i="8"/>
  <c r="W2074" i="8"/>
  <c r="U2074" i="8"/>
  <c r="P2074" i="8"/>
  <c r="M2074" i="8"/>
  <c r="J2074" i="8"/>
  <c r="H2074" i="8"/>
  <c r="B2074" i="8"/>
  <c r="A2074" i="8"/>
  <c r="AA2073" i="8"/>
  <c r="W2073" i="8"/>
  <c r="U2073" i="8"/>
  <c r="M2073" i="8"/>
  <c r="J2073" i="8"/>
  <c r="H2073" i="8"/>
  <c r="B2073" i="8"/>
  <c r="A2073" i="8"/>
  <c r="AA2072" i="8"/>
  <c r="W2072" i="8"/>
  <c r="U2072" i="8"/>
  <c r="P2072" i="8"/>
  <c r="M2072" i="8"/>
  <c r="J2072" i="8"/>
  <c r="H2072" i="8"/>
  <c r="B2072" i="8"/>
  <c r="A2072" i="8"/>
  <c r="AA2071" i="8"/>
  <c r="W2071" i="8"/>
  <c r="U2071" i="8"/>
  <c r="R2071" i="8"/>
  <c r="Q2071" i="8"/>
  <c r="P2071" i="8"/>
  <c r="M2071" i="8"/>
  <c r="J2071" i="8"/>
  <c r="H2071" i="8"/>
  <c r="B2071" i="8"/>
  <c r="A2071" i="8"/>
  <c r="AA2070" i="8"/>
  <c r="W2070" i="8"/>
  <c r="U2070" i="8"/>
  <c r="P2070" i="8"/>
  <c r="M2070" i="8"/>
  <c r="J2070" i="8"/>
  <c r="H2070" i="8"/>
  <c r="B2070" i="8"/>
  <c r="A2070" i="8"/>
  <c r="AA2069" i="8"/>
  <c r="W2069" i="8"/>
  <c r="U2069" i="8"/>
  <c r="P2069" i="8"/>
  <c r="M2069" i="8"/>
  <c r="J2069" i="8"/>
  <c r="H2069" i="8"/>
  <c r="B2069" i="8"/>
  <c r="A2069" i="8"/>
  <c r="AA2068" i="8"/>
  <c r="W2068" i="8"/>
  <c r="U2068" i="8"/>
  <c r="P2068" i="8"/>
  <c r="M2068" i="8"/>
  <c r="J2068" i="8"/>
  <c r="H2068" i="8"/>
  <c r="B2068" i="8"/>
  <c r="A2068" i="8"/>
  <c r="AA2067" i="8"/>
  <c r="W2067" i="8"/>
  <c r="U2067" i="8"/>
  <c r="P2067" i="8"/>
  <c r="M2067" i="8"/>
  <c r="J2067" i="8"/>
  <c r="H2067" i="8"/>
  <c r="B2067" i="8"/>
  <c r="A2067" i="8"/>
  <c r="AA2066" i="8"/>
  <c r="W2066" i="8"/>
  <c r="U2066" i="8"/>
  <c r="P2066" i="8"/>
  <c r="M2066" i="8"/>
  <c r="J2066" i="8"/>
  <c r="H2066" i="8"/>
  <c r="B2066" i="8"/>
  <c r="A2066" i="8"/>
  <c r="AA2065" i="8"/>
  <c r="W2065" i="8"/>
  <c r="U2065" i="8"/>
  <c r="P2065" i="8"/>
  <c r="M2065" i="8"/>
  <c r="J2065" i="8"/>
  <c r="H2065" i="8"/>
  <c r="B2065" i="8"/>
  <c r="A2065" i="8"/>
  <c r="AA2064" i="8"/>
  <c r="W2064" i="8"/>
  <c r="U2064" i="8"/>
  <c r="P2064" i="8"/>
  <c r="M2064" i="8"/>
  <c r="J2064" i="8"/>
  <c r="H2064" i="8"/>
  <c r="B2064" i="8"/>
  <c r="A2064" i="8"/>
  <c r="AA2063" i="8"/>
  <c r="W2063" i="8"/>
  <c r="U2063" i="8"/>
  <c r="P2063" i="8"/>
  <c r="M2063" i="8"/>
  <c r="J2063" i="8"/>
  <c r="H2063" i="8"/>
  <c r="B2063" i="8"/>
  <c r="A2063" i="8"/>
  <c r="AA2062" i="8"/>
  <c r="W2062" i="8"/>
  <c r="U2062" i="8"/>
  <c r="P2062" i="8"/>
  <c r="M2062" i="8"/>
  <c r="J2062" i="8"/>
  <c r="H2062" i="8"/>
  <c r="B2062" i="8"/>
  <c r="A2062" i="8"/>
  <c r="AA2061" i="8"/>
  <c r="W2061" i="8"/>
  <c r="U2061" i="8"/>
  <c r="P2061" i="8"/>
  <c r="M2061" i="8"/>
  <c r="J2061" i="8"/>
  <c r="H2061" i="8"/>
  <c r="B2061" i="8"/>
  <c r="A2061" i="8"/>
  <c r="AA2060" i="8"/>
  <c r="W2060" i="8"/>
  <c r="U2060" i="8"/>
  <c r="P2060" i="8"/>
  <c r="M2060" i="8"/>
  <c r="J2060" i="8"/>
  <c r="H2060" i="8"/>
  <c r="B2060" i="8"/>
  <c r="A2060" i="8"/>
  <c r="AA2059" i="8"/>
  <c r="W2059" i="8"/>
  <c r="U2059" i="8"/>
  <c r="P2059" i="8"/>
  <c r="M2059" i="8"/>
  <c r="J2059" i="8"/>
  <c r="H2059" i="8"/>
  <c r="B2059" i="8"/>
  <c r="A2059" i="8"/>
  <c r="AA2058" i="8"/>
  <c r="W2058" i="8"/>
  <c r="U2058" i="8"/>
  <c r="P2058" i="8"/>
  <c r="M2058" i="8"/>
  <c r="J2058" i="8"/>
  <c r="H2058" i="8"/>
  <c r="B2058" i="8"/>
  <c r="A2058" i="8"/>
  <c r="AA2057" i="8"/>
  <c r="W2057" i="8"/>
  <c r="U2057" i="8"/>
  <c r="P2057" i="8"/>
  <c r="M2057" i="8"/>
  <c r="J2057" i="8"/>
  <c r="H2057" i="8"/>
  <c r="B2057" i="8"/>
  <c r="A2057" i="8"/>
  <c r="AA2056" i="8"/>
  <c r="W2056" i="8"/>
  <c r="U2056" i="8"/>
  <c r="P2056" i="8"/>
  <c r="M2056" i="8"/>
  <c r="J2056" i="8"/>
  <c r="H2056" i="8"/>
  <c r="B2056" i="8"/>
  <c r="A2056" i="8"/>
  <c r="AA2055" i="8"/>
  <c r="W2055" i="8"/>
  <c r="U2055" i="8"/>
  <c r="P2055" i="8"/>
  <c r="M2055" i="8"/>
  <c r="J2055" i="8"/>
  <c r="H2055" i="8"/>
  <c r="B2055" i="8"/>
  <c r="A2055" i="8"/>
  <c r="AA2054" i="8"/>
  <c r="W2054" i="8"/>
  <c r="U2054" i="8"/>
  <c r="R2054" i="8"/>
  <c r="Q2054" i="8"/>
  <c r="P2054" i="8"/>
  <c r="M2054" i="8"/>
  <c r="J2054" i="8"/>
  <c r="H2054" i="8"/>
  <c r="B2054" i="8"/>
  <c r="A2054" i="8"/>
  <c r="AA2053" i="8"/>
  <c r="W2053" i="8"/>
  <c r="U2053" i="8"/>
  <c r="R2053" i="8"/>
  <c r="Q2053" i="8"/>
  <c r="P2053" i="8"/>
  <c r="M2053" i="8"/>
  <c r="J2053" i="8"/>
  <c r="H2053" i="8"/>
  <c r="B2053" i="8"/>
  <c r="A2053" i="8"/>
  <c r="AA2052" i="8"/>
  <c r="W2052" i="8"/>
  <c r="U2052" i="8"/>
  <c r="P2052" i="8"/>
  <c r="M2052" i="8"/>
  <c r="J2052" i="8"/>
  <c r="H2052" i="8"/>
  <c r="B2052" i="8"/>
  <c r="A2052" i="8"/>
  <c r="AA2051" i="8"/>
  <c r="W2051" i="8"/>
  <c r="U2051" i="8"/>
  <c r="P2051" i="8"/>
  <c r="M2051" i="8"/>
  <c r="J2051" i="8"/>
  <c r="H2051" i="8"/>
  <c r="B2051" i="8"/>
  <c r="A2051" i="8"/>
  <c r="AA2050" i="8"/>
  <c r="W2050" i="8"/>
  <c r="U2050" i="8"/>
  <c r="P2050" i="8"/>
  <c r="M2050" i="8"/>
  <c r="J2050" i="8"/>
  <c r="H2050" i="8"/>
  <c r="B2050" i="8"/>
  <c r="A2050" i="8"/>
  <c r="AA2049" i="8"/>
  <c r="W2049" i="8"/>
  <c r="U2049" i="8"/>
  <c r="R2049" i="8"/>
  <c r="Q2049" i="8"/>
  <c r="P2049" i="8"/>
  <c r="M2049" i="8"/>
  <c r="J2049" i="8"/>
  <c r="H2049" i="8"/>
  <c r="B2049" i="8"/>
  <c r="A2049" i="8"/>
  <c r="AA2048" i="8"/>
  <c r="W2048" i="8"/>
  <c r="U2048" i="8"/>
  <c r="M2048" i="8"/>
  <c r="J2048" i="8"/>
  <c r="H2048" i="8"/>
  <c r="B2048" i="8"/>
  <c r="A2048" i="8"/>
  <c r="AA2047" i="8"/>
  <c r="W2047" i="8"/>
  <c r="U2047" i="8"/>
  <c r="M2047" i="8"/>
  <c r="J2047" i="8"/>
  <c r="H2047" i="8"/>
  <c r="B2047" i="8"/>
  <c r="A2047" i="8"/>
  <c r="AA2046" i="8"/>
  <c r="W2046" i="8"/>
  <c r="U2046" i="8"/>
  <c r="M2046" i="8"/>
  <c r="J2046" i="8"/>
  <c r="H2046" i="8"/>
  <c r="B2046" i="8"/>
  <c r="A2046" i="8"/>
  <c r="AA2045" i="8"/>
  <c r="W2045" i="8"/>
  <c r="U2045" i="8"/>
  <c r="P2045" i="8"/>
  <c r="M2045" i="8"/>
  <c r="J2045" i="8"/>
  <c r="H2045" i="8"/>
  <c r="B2045" i="8"/>
  <c r="A2045" i="8"/>
  <c r="AA2044" i="8"/>
  <c r="W2044" i="8"/>
  <c r="U2044" i="8"/>
  <c r="P2044" i="8"/>
  <c r="M2044" i="8"/>
  <c r="J2044" i="8"/>
  <c r="H2044" i="8"/>
  <c r="B2044" i="8"/>
  <c r="A2044" i="8"/>
  <c r="AA2043" i="8"/>
  <c r="W2043" i="8"/>
  <c r="U2043" i="8"/>
  <c r="P2043" i="8"/>
  <c r="M2043" i="8"/>
  <c r="J2043" i="8"/>
  <c r="H2043" i="8"/>
  <c r="B2043" i="8"/>
  <c r="A2043" i="8"/>
  <c r="AA2042" i="8"/>
  <c r="W2042" i="8"/>
  <c r="U2042" i="8"/>
  <c r="P2042" i="8"/>
  <c r="M2042" i="8"/>
  <c r="J2042" i="8"/>
  <c r="H2042" i="8"/>
  <c r="B2042" i="8"/>
  <c r="A2042" i="8"/>
  <c r="AA2041" i="8"/>
  <c r="W2041" i="8"/>
  <c r="U2041" i="8"/>
  <c r="P2041" i="8"/>
  <c r="M2041" i="8"/>
  <c r="J2041" i="8"/>
  <c r="H2041" i="8"/>
  <c r="B2041" i="8"/>
  <c r="A2041" i="8"/>
  <c r="AA2040" i="8"/>
  <c r="W2040" i="8"/>
  <c r="U2040" i="8"/>
  <c r="M2040" i="8"/>
  <c r="J2040" i="8"/>
  <c r="H2040" i="8"/>
  <c r="B2040" i="8"/>
  <c r="A2040" i="8"/>
  <c r="AA2039" i="8"/>
  <c r="W2039" i="8"/>
  <c r="U2039" i="8"/>
  <c r="P2039" i="8"/>
  <c r="M2039" i="8"/>
  <c r="J2039" i="8"/>
  <c r="H2039" i="8"/>
  <c r="B2039" i="8"/>
  <c r="A2039" i="8"/>
  <c r="AA2038" i="8"/>
  <c r="W2038" i="8"/>
  <c r="U2038" i="8"/>
  <c r="M2038" i="8"/>
  <c r="J2038" i="8"/>
  <c r="H2038" i="8"/>
  <c r="B2038" i="8"/>
  <c r="A2038" i="8"/>
  <c r="AA2037" i="8"/>
  <c r="W2037" i="8"/>
  <c r="U2037" i="8"/>
  <c r="M2037" i="8"/>
  <c r="J2037" i="8"/>
  <c r="H2037" i="8"/>
  <c r="B2037" i="8"/>
  <c r="A2037" i="8"/>
  <c r="AA2036" i="8"/>
  <c r="W2036" i="8"/>
  <c r="U2036" i="8"/>
  <c r="P2036" i="8"/>
  <c r="M2036" i="8"/>
  <c r="J2036" i="8"/>
  <c r="H2036" i="8"/>
  <c r="B2036" i="8"/>
  <c r="A2036" i="8"/>
  <c r="AA2035" i="8"/>
  <c r="W2035" i="8"/>
  <c r="U2035" i="8"/>
  <c r="M2035" i="8"/>
  <c r="J2035" i="8"/>
  <c r="H2035" i="8"/>
  <c r="B2035" i="8"/>
  <c r="A2035" i="8"/>
  <c r="AA2034" i="8"/>
  <c r="W2034" i="8"/>
  <c r="U2034" i="8"/>
  <c r="P2034" i="8"/>
  <c r="M2034" i="8"/>
  <c r="J2034" i="8"/>
  <c r="H2034" i="8"/>
  <c r="B2034" i="8"/>
  <c r="A2034" i="8"/>
  <c r="AA2033" i="8"/>
  <c r="W2033" i="8"/>
  <c r="U2033" i="8"/>
  <c r="M2033" i="8"/>
  <c r="J2033" i="8"/>
  <c r="H2033" i="8"/>
  <c r="B2033" i="8"/>
  <c r="A2033" i="8"/>
  <c r="AA2032" i="8"/>
  <c r="W2032" i="8"/>
  <c r="U2032" i="8"/>
  <c r="P2032" i="8"/>
  <c r="M2032" i="8"/>
  <c r="J2032" i="8"/>
  <c r="H2032" i="8"/>
  <c r="B2032" i="8"/>
  <c r="A2032" i="8"/>
  <c r="AA2031" i="8"/>
  <c r="W2031" i="8"/>
  <c r="U2031" i="8"/>
  <c r="R2031" i="8"/>
  <c r="Q2031" i="8"/>
  <c r="M2031" i="8"/>
  <c r="J2031" i="8"/>
  <c r="H2031" i="8"/>
  <c r="B2031" i="8"/>
  <c r="A2031" i="8"/>
  <c r="AA2030" i="8"/>
  <c r="W2030" i="8"/>
  <c r="U2030" i="8"/>
  <c r="P2030" i="8"/>
  <c r="M2030" i="8"/>
  <c r="J2030" i="8"/>
  <c r="H2030" i="8"/>
  <c r="B2030" i="8"/>
  <c r="A2030" i="8"/>
  <c r="AA2029" i="8"/>
  <c r="W2029" i="8"/>
  <c r="U2029" i="8"/>
  <c r="R2029" i="8"/>
  <c r="Q2029" i="8"/>
  <c r="M2029" i="8"/>
  <c r="J2029" i="8"/>
  <c r="H2029" i="8"/>
  <c r="B2029" i="8"/>
  <c r="A2029" i="8"/>
  <c r="AA2028" i="8"/>
  <c r="W2028" i="8"/>
  <c r="U2028" i="8"/>
  <c r="P2028" i="8"/>
  <c r="M2028" i="8"/>
  <c r="J2028" i="8"/>
  <c r="H2028" i="8"/>
  <c r="B2028" i="8"/>
  <c r="A2028" i="8"/>
  <c r="AA2027" i="8"/>
  <c r="W2027" i="8"/>
  <c r="U2027" i="8"/>
  <c r="P2027" i="8"/>
  <c r="M2027" i="8"/>
  <c r="J2027" i="8"/>
  <c r="H2027" i="8"/>
  <c r="B2027" i="8"/>
  <c r="A2027" i="8"/>
  <c r="AA2026" i="8"/>
  <c r="W2026" i="8"/>
  <c r="U2026" i="8"/>
  <c r="P2026" i="8"/>
  <c r="M2026" i="8"/>
  <c r="J2026" i="8"/>
  <c r="H2026" i="8"/>
  <c r="B2026" i="8"/>
  <c r="A2026" i="8"/>
  <c r="AA2025" i="8"/>
  <c r="W2025" i="8"/>
  <c r="U2025" i="8"/>
  <c r="P2025" i="8"/>
  <c r="M2025" i="8"/>
  <c r="J2025" i="8"/>
  <c r="H2025" i="8"/>
  <c r="B2025" i="8"/>
  <c r="A2025" i="8"/>
  <c r="AA2024" i="8"/>
  <c r="W2024" i="8"/>
  <c r="U2024" i="8"/>
  <c r="P2024" i="8"/>
  <c r="M2024" i="8"/>
  <c r="J2024" i="8"/>
  <c r="H2024" i="8"/>
  <c r="B2024" i="8"/>
  <c r="A2024" i="8"/>
  <c r="AA2023" i="8"/>
  <c r="W2023" i="8"/>
  <c r="U2023" i="8"/>
  <c r="P2023" i="8"/>
  <c r="M2023" i="8"/>
  <c r="J2023" i="8"/>
  <c r="H2023" i="8"/>
  <c r="B2023" i="8"/>
  <c r="A2023" i="8"/>
  <c r="AA2022" i="8"/>
  <c r="W2022" i="8"/>
  <c r="U2022" i="8"/>
  <c r="M2022" i="8"/>
  <c r="J2022" i="8"/>
  <c r="H2022" i="8"/>
  <c r="B2022" i="8"/>
  <c r="A2022" i="8"/>
  <c r="AA2021" i="8"/>
  <c r="W2021" i="8"/>
  <c r="U2021" i="8"/>
  <c r="P2021" i="8"/>
  <c r="M2021" i="8"/>
  <c r="J2021" i="8"/>
  <c r="H2021" i="8"/>
  <c r="B2021" i="8"/>
  <c r="A2021" i="8"/>
  <c r="AA2020" i="8"/>
  <c r="W2020" i="8"/>
  <c r="U2020" i="8"/>
  <c r="R2020" i="8"/>
  <c r="Q2020" i="8"/>
  <c r="P2020" i="8"/>
  <c r="M2020" i="8"/>
  <c r="J2020" i="8"/>
  <c r="H2020" i="8"/>
  <c r="B2020" i="8"/>
  <c r="A2020" i="8"/>
  <c r="AA2019" i="8"/>
  <c r="W2019" i="8"/>
  <c r="U2019" i="8"/>
  <c r="R2019" i="8"/>
  <c r="Q2019" i="8"/>
  <c r="P2019" i="8"/>
  <c r="M2019" i="8"/>
  <c r="J2019" i="8"/>
  <c r="H2019" i="8"/>
  <c r="B2019" i="8"/>
  <c r="A2019" i="8"/>
  <c r="AA2018" i="8"/>
  <c r="W2018" i="8"/>
  <c r="U2018" i="8"/>
  <c r="P2018" i="8"/>
  <c r="M2018" i="8"/>
  <c r="J2018" i="8"/>
  <c r="H2018" i="8"/>
  <c r="B2018" i="8"/>
  <c r="A2018" i="8"/>
  <c r="AA2017" i="8"/>
  <c r="W2017" i="8"/>
  <c r="U2017" i="8"/>
  <c r="P2017" i="8"/>
  <c r="M2017" i="8"/>
  <c r="J2017" i="8"/>
  <c r="H2017" i="8"/>
  <c r="B2017" i="8"/>
  <c r="A2017" i="8"/>
  <c r="AA2016" i="8"/>
  <c r="W2016" i="8"/>
  <c r="U2016" i="8"/>
  <c r="R2016" i="8"/>
  <c r="Q2016" i="8"/>
  <c r="P2016" i="8"/>
  <c r="M2016" i="8"/>
  <c r="J2016" i="8"/>
  <c r="H2016" i="8"/>
  <c r="B2016" i="8"/>
  <c r="A2016" i="8"/>
  <c r="AA2015" i="8"/>
  <c r="W2015" i="8"/>
  <c r="U2015" i="8"/>
  <c r="R2015" i="8"/>
  <c r="Q2015" i="8"/>
  <c r="P2015" i="8"/>
  <c r="M2015" i="8"/>
  <c r="J2015" i="8"/>
  <c r="H2015" i="8"/>
  <c r="B2015" i="8"/>
  <c r="A2015" i="8"/>
  <c r="AA2014" i="8"/>
  <c r="W2014" i="8"/>
  <c r="U2014" i="8"/>
  <c r="R2014" i="8"/>
  <c r="Q2014" i="8"/>
  <c r="P2014" i="8"/>
  <c r="M2014" i="8"/>
  <c r="J2014" i="8"/>
  <c r="H2014" i="8"/>
  <c r="B2014" i="8"/>
  <c r="A2014" i="8"/>
  <c r="AA2013" i="8"/>
  <c r="W2013" i="8"/>
  <c r="U2013" i="8"/>
  <c r="R2013" i="8"/>
  <c r="Q2013" i="8"/>
  <c r="P2013" i="8"/>
  <c r="M2013" i="8"/>
  <c r="J2013" i="8"/>
  <c r="H2013" i="8"/>
  <c r="B2013" i="8"/>
  <c r="A2013" i="8"/>
  <c r="AA2012" i="8"/>
  <c r="W2012" i="8"/>
  <c r="U2012" i="8"/>
  <c r="P2012" i="8"/>
  <c r="M2012" i="8"/>
  <c r="J2012" i="8"/>
  <c r="H2012" i="8"/>
  <c r="B2012" i="8"/>
  <c r="A2012" i="8"/>
  <c r="AA2011" i="8"/>
  <c r="W2011" i="8"/>
  <c r="U2011" i="8"/>
  <c r="R2011" i="8"/>
  <c r="Q2011" i="8"/>
  <c r="P2011" i="8"/>
  <c r="M2011" i="8"/>
  <c r="J2011" i="8"/>
  <c r="H2011" i="8"/>
  <c r="B2011" i="8"/>
  <c r="A2011" i="8"/>
  <c r="AA2010" i="8"/>
  <c r="W2010" i="8"/>
  <c r="U2010" i="8"/>
  <c r="P2010" i="8"/>
  <c r="M2010" i="8"/>
  <c r="J2010" i="8"/>
  <c r="H2010" i="8"/>
  <c r="B2010" i="8"/>
  <c r="A2010" i="8"/>
  <c r="AA2009" i="8"/>
  <c r="W2009" i="8"/>
  <c r="U2009" i="8"/>
  <c r="P2009" i="8"/>
  <c r="M2009" i="8"/>
  <c r="J2009" i="8"/>
  <c r="H2009" i="8"/>
  <c r="B2009" i="8"/>
  <c r="A2009" i="8"/>
  <c r="AA2008" i="8"/>
  <c r="W2008" i="8"/>
  <c r="U2008" i="8"/>
  <c r="M2008" i="8"/>
  <c r="J2008" i="8"/>
  <c r="H2008" i="8"/>
  <c r="B2008" i="8"/>
  <c r="A2008" i="8"/>
  <c r="AA2007" i="8"/>
  <c r="W2007" i="8"/>
  <c r="U2007" i="8"/>
  <c r="P2007" i="8"/>
  <c r="M2007" i="8"/>
  <c r="J2007" i="8"/>
  <c r="H2007" i="8"/>
  <c r="B2007" i="8"/>
  <c r="A2007" i="8"/>
  <c r="AA2006" i="8"/>
  <c r="W2006" i="8"/>
  <c r="U2006" i="8"/>
  <c r="R2006" i="8"/>
  <c r="Q2006" i="8"/>
  <c r="P2006" i="8"/>
  <c r="M2006" i="8"/>
  <c r="J2006" i="8"/>
  <c r="H2006" i="8"/>
  <c r="B2006" i="8"/>
  <c r="A2006" i="8"/>
  <c r="AA2005" i="8"/>
  <c r="W2005" i="8"/>
  <c r="U2005" i="8"/>
  <c r="P2005" i="8"/>
  <c r="M2005" i="8"/>
  <c r="J2005" i="8"/>
  <c r="H2005" i="8"/>
  <c r="B2005" i="8"/>
  <c r="A2005" i="8"/>
  <c r="AA2004" i="8"/>
  <c r="W2004" i="8"/>
  <c r="U2004" i="8"/>
  <c r="R2004" i="8"/>
  <c r="Q2004" i="8"/>
  <c r="P2004" i="8"/>
  <c r="M2004" i="8"/>
  <c r="J2004" i="8"/>
  <c r="H2004" i="8"/>
  <c r="B2004" i="8"/>
  <c r="A2004" i="8"/>
  <c r="AA2003" i="8"/>
  <c r="W2003" i="8"/>
  <c r="U2003" i="8"/>
  <c r="P2003" i="8"/>
  <c r="M2003" i="8"/>
  <c r="J2003" i="8"/>
  <c r="H2003" i="8"/>
  <c r="B2003" i="8"/>
  <c r="A2003" i="8"/>
  <c r="AA2002" i="8"/>
  <c r="W2002" i="8"/>
  <c r="U2002" i="8"/>
  <c r="R2002" i="8"/>
  <c r="Q2002" i="8"/>
  <c r="P2002" i="8"/>
  <c r="M2002" i="8"/>
  <c r="J2002" i="8"/>
  <c r="H2002" i="8"/>
  <c r="B2002" i="8"/>
  <c r="A2002" i="8"/>
  <c r="AA2001" i="8"/>
  <c r="W2001" i="8"/>
  <c r="U2001" i="8"/>
  <c r="P2001" i="8"/>
  <c r="M2001" i="8"/>
  <c r="J2001" i="8"/>
  <c r="H2001" i="8"/>
  <c r="B2001" i="8"/>
  <c r="A2001" i="8"/>
  <c r="AA2000" i="8"/>
  <c r="W2000" i="8"/>
  <c r="U2000" i="8"/>
  <c r="R2000" i="8"/>
  <c r="Q2000" i="8"/>
  <c r="M2000" i="8"/>
  <c r="J2000" i="8"/>
  <c r="H2000" i="8"/>
  <c r="B2000" i="8"/>
  <c r="A2000" i="8"/>
  <c r="AA1999" i="8"/>
  <c r="W1999" i="8"/>
  <c r="U1999" i="8"/>
  <c r="P1999" i="8"/>
  <c r="M1999" i="8"/>
  <c r="J1999" i="8"/>
  <c r="H1999" i="8"/>
  <c r="B1999" i="8"/>
  <c r="A1999" i="8"/>
  <c r="AA1998" i="8"/>
  <c r="W1998" i="8"/>
  <c r="U1998" i="8"/>
  <c r="P1998" i="8"/>
  <c r="M1998" i="8"/>
  <c r="J1998" i="8"/>
  <c r="H1998" i="8"/>
  <c r="B1998" i="8"/>
  <c r="A1998" i="8"/>
  <c r="AA1997" i="8"/>
  <c r="W1997" i="8"/>
  <c r="U1997" i="8"/>
  <c r="P1997" i="8"/>
  <c r="M1997" i="8"/>
  <c r="J1997" i="8"/>
  <c r="H1997" i="8"/>
  <c r="B1997" i="8"/>
  <c r="A1997" i="8"/>
  <c r="AA1996" i="8"/>
  <c r="W1996" i="8"/>
  <c r="U1996" i="8"/>
  <c r="P1996" i="8"/>
  <c r="M1996" i="8"/>
  <c r="J1996" i="8"/>
  <c r="H1996" i="8"/>
  <c r="B1996" i="8"/>
  <c r="A1996" i="8"/>
  <c r="AA1995" i="8"/>
  <c r="W1995" i="8"/>
  <c r="U1995" i="8"/>
  <c r="P1995" i="8"/>
  <c r="M1995" i="8"/>
  <c r="J1995" i="8"/>
  <c r="H1995" i="8"/>
  <c r="B1995" i="8"/>
  <c r="A1995" i="8"/>
  <c r="AA1994" i="8"/>
  <c r="W1994" i="8"/>
  <c r="U1994" i="8"/>
  <c r="P1994" i="8"/>
  <c r="M1994" i="8"/>
  <c r="J1994" i="8"/>
  <c r="H1994" i="8"/>
  <c r="B1994" i="8"/>
  <c r="A1994" i="8"/>
  <c r="AA1993" i="8"/>
  <c r="W1993" i="8"/>
  <c r="U1993" i="8"/>
  <c r="M1993" i="8"/>
  <c r="J1993" i="8"/>
  <c r="H1993" i="8"/>
  <c r="B1993" i="8"/>
  <c r="A1993" i="8"/>
  <c r="AA1992" i="8"/>
  <c r="W1992" i="8"/>
  <c r="U1992" i="8"/>
  <c r="P1992" i="8"/>
  <c r="M1992" i="8"/>
  <c r="J1992" i="8"/>
  <c r="H1992" i="8"/>
  <c r="B1992" i="8"/>
  <c r="A1992" i="8"/>
  <c r="AA1991" i="8"/>
  <c r="W1991" i="8"/>
  <c r="U1991" i="8"/>
  <c r="P1991" i="8"/>
  <c r="M1991" i="8"/>
  <c r="J1991" i="8"/>
  <c r="H1991" i="8"/>
  <c r="B1991" i="8"/>
  <c r="A1991" i="8"/>
  <c r="AA1990" i="8"/>
  <c r="W1990" i="8"/>
  <c r="U1990" i="8"/>
  <c r="P1990" i="8"/>
  <c r="M1990" i="8"/>
  <c r="J1990" i="8"/>
  <c r="H1990" i="8"/>
  <c r="B1990" i="8"/>
  <c r="A1990" i="8"/>
  <c r="AA1989" i="8"/>
  <c r="W1989" i="8"/>
  <c r="U1989" i="8"/>
  <c r="P1989" i="8"/>
  <c r="M1989" i="8"/>
  <c r="J1989" i="8"/>
  <c r="H1989" i="8"/>
  <c r="B1989" i="8"/>
  <c r="A1989" i="8"/>
  <c r="AA1988" i="8"/>
  <c r="W1988" i="8"/>
  <c r="U1988" i="8"/>
  <c r="P1988" i="8"/>
  <c r="M1988" i="8"/>
  <c r="J1988" i="8"/>
  <c r="H1988" i="8"/>
  <c r="B1988" i="8"/>
  <c r="A1988" i="8"/>
  <c r="AA1987" i="8"/>
  <c r="W1987" i="8"/>
  <c r="U1987" i="8"/>
  <c r="P1987" i="8"/>
  <c r="M1987" i="8"/>
  <c r="J1987" i="8"/>
  <c r="H1987" i="8"/>
  <c r="B1987" i="8"/>
  <c r="A1987" i="8"/>
  <c r="AA1986" i="8"/>
  <c r="W1986" i="8"/>
  <c r="U1986" i="8"/>
  <c r="R1986" i="8"/>
  <c r="Q1986" i="8"/>
  <c r="P1986" i="8"/>
  <c r="M1986" i="8"/>
  <c r="J1986" i="8"/>
  <c r="H1986" i="8"/>
  <c r="B1986" i="8"/>
  <c r="A1986" i="8"/>
  <c r="AA1985" i="8"/>
  <c r="W1985" i="8"/>
  <c r="U1985" i="8"/>
  <c r="P1985" i="8"/>
  <c r="M1985" i="8"/>
  <c r="J1985" i="8"/>
  <c r="H1985" i="8"/>
  <c r="B1985" i="8"/>
  <c r="A1985" i="8"/>
  <c r="AA1984" i="8"/>
  <c r="W1984" i="8"/>
  <c r="U1984" i="8"/>
  <c r="P1984" i="8"/>
  <c r="M1984" i="8"/>
  <c r="J1984" i="8"/>
  <c r="H1984" i="8"/>
  <c r="B1984" i="8"/>
  <c r="A1984" i="8"/>
  <c r="AA1983" i="8"/>
  <c r="W1983" i="8"/>
  <c r="U1983" i="8"/>
  <c r="P1983" i="8"/>
  <c r="M1983" i="8"/>
  <c r="J1983" i="8"/>
  <c r="H1983" i="8"/>
  <c r="B1983" i="8"/>
  <c r="A1983" i="8"/>
  <c r="AA1982" i="8"/>
  <c r="W1982" i="8"/>
  <c r="U1982" i="8"/>
  <c r="P1982" i="8"/>
  <c r="M1982" i="8"/>
  <c r="J1982" i="8"/>
  <c r="H1982" i="8"/>
  <c r="B1982" i="8"/>
  <c r="A1982" i="8"/>
  <c r="AA1981" i="8"/>
  <c r="W1981" i="8"/>
  <c r="U1981" i="8"/>
  <c r="M1981" i="8"/>
  <c r="J1981" i="8"/>
  <c r="H1981" i="8"/>
  <c r="B1981" i="8"/>
  <c r="A1981" i="8"/>
  <c r="AA1980" i="8"/>
  <c r="W1980" i="8"/>
  <c r="U1980" i="8"/>
  <c r="P1980" i="8"/>
  <c r="M1980" i="8"/>
  <c r="J1980" i="8"/>
  <c r="H1980" i="8"/>
  <c r="B1980" i="8"/>
  <c r="A1980" i="8"/>
  <c r="AA1979" i="8"/>
  <c r="W1979" i="8"/>
  <c r="U1979" i="8"/>
  <c r="P1979" i="8"/>
  <c r="M1979" i="8"/>
  <c r="J1979" i="8"/>
  <c r="H1979" i="8"/>
  <c r="B1979" i="8"/>
  <c r="A1979" i="8"/>
  <c r="AA1978" i="8"/>
  <c r="W1978" i="8"/>
  <c r="U1978" i="8"/>
  <c r="M1978" i="8"/>
  <c r="J1978" i="8"/>
  <c r="H1978" i="8"/>
  <c r="B1978" i="8"/>
  <c r="A1978" i="8"/>
  <c r="AA1977" i="8"/>
  <c r="W1977" i="8"/>
  <c r="U1977" i="8"/>
  <c r="P1977" i="8"/>
  <c r="M1977" i="8"/>
  <c r="J1977" i="8"/>
  <c r="H1977" i="8"/>
  <c r="B1977" i="8"/>
  <c r="A1977" i="8"/>
  <c r="AA1976" i="8"/>
  <c r="W1976" i="8"/>
  <c r="U1976" i="8"/>
  <c r="P1976" i="8"/>
  <c r="M1976" i="8"/>
  <c r="J1976" i="8"/>
  <c r="H1976" i="8"/>
  <c r="B1976" i="8"/>
  <c r="A1976" i="8"/>
  <c r="AA1975" i="8"/>
  <c r="W1975" i="8"/>
  <c r="U1975" i="8"/>
  <c r="P1975" i="8"/>
  <c r="M1975" i="8"/>
  <c r="J1975" i="8"/>
  <c r="H1975" i="8"/>
  <c r="B1975" i="8"/>
  <c r="A1975" i="8"/>
  <c r="AA1974" i="8"/>
  <c r="W1974" i="8"/>
  <c r="U1974" i="8"/>
  <c r="P1974" i="8"/>
  <c r="M1974" i="8"/>
  <c r="J1974" i="8"/>
  <c r="H1974" i="8"/>
  <c r="B1974" i="8"/>
  <c r="A1974" i="8"/>
  <c r="AA1973" i="8"/>
  <c r="W1973" i="8"/>
  <c r="U1973" i="8"/>
  <c r="R1973" i="8"/>
  <c r="Q1973" i="8"/>
  <c r="P1973" i="8"/>
  <c r="M1973" i="8"/>
  <c r="J1973" i="8"/>
  <c r="H1973" i="8"/>
  <c r="B1973" i="8"/>
  <c r="A1973" i="8"/>
  <c r="AA1972" i="8"/>
  <c r="W1972" i="8"/>
  <c r="U1972" i="8"/>
  <c r="R1972" i="8"/>
  <c r="Q1972" i="8"/>
  <c r="P1972" i="8"/>
  <c r="M1972" i="8"/>
  <c r="J1972" i="8"/>
  <c r="H1972" i="8"/>
  <c r="B1972" i="8"/>
  <c r="A1972" i="8"/>
  <c r="AA1971" i="8"/>
  <c r="W1971" i="8"/>
  <c r="U1971" i="8"/>
  <c r="R1971" i="8"/>
  <c r="Q1971" i="8"/>
  <c r="M1971" i="8"/>
  <c r="J1971" i="8"/>
  <c r="H1971" i="8"/>
  <c r="B1971" i="8"/>
  <c r="A1971" i="8"/>
  <c r="AA1970" i="8"/>
  <c r="W1970" i="8"/>
  <c r="U1970" i="8"/>
  <c r="M1970" i="8"/>
  <c r="J1970" i="8"/>
  <c r="H1970" i="8"/>
  <c r="B1970" i="8"/>
  <c r="A1970" i="8"/>
  <c r="AA1969" i="8"/>
  <c r="W1969" i="8"/>
  <c r="U1969" i="8"/>
  <c r="P1969" i="8"/>
  <c r="M1969" i="8"/>
  <c r="J1969" i="8"/>
  <c r="H1969" i="8"/>
  <c r="B1969" i="8"/>
  <c r="A1969" i="8"/>
  <c r="AA1968" i="8"/>
  <c r="W1968" i="8"/>
  <c r="U1968" i="8"/>
  <c r="P1968" i="8"/>
  <c r="M1968" i="8"/>
  <c r="J1968" i="8"/>
  <c r="H1968" i="8"/>
  <c r="B1968" i="8"/>
  <c r="A1968" i="8"/>
  <c r="AA1967" i="8"/>
  <c r="W1967" i="8"/>
  <c r="U1967" i="8"/>
  <c r="P1967" i="8"/>
  <c r="M1967" i="8"/>
  <c r="J1967" i="8"/>
  <c r="H1967" i="8"/>
  <c r="B1967" i="8"/>
  <c r="A1967" i="8"/>
  <c r="AA1966" i="8"/>
  <c r="W1966" i="8"/>
  <c r="U1966" i="8"/>
  <c r="P1966" i="8"/>
  <c r="M1966" i="8"/>
  <c r="J1966" i="8"/>
  <c r="H1966" i="8"/>
  <c r="B1966" i="8"/>
  <c r="A1966" i="8"/>
  <c r="AA1965" i="8"/>
  <c r="W1965" i="8"/>
  <c r="U1965" i="8"/>
  <c r="M1965" i="8"/>
  <c r="J1965" i="8"/>
  <c r="H1965" i="8"/>
  <c r="B1965" i="8"/>
  <c r="A1965" i="8"/>
  <c r="AA1964" i="8"/>
  <c r="W1964" i="8"/>
  <c r="U1964" i="8"/>
  <c r="P1964" i="8"/>
  <c r="M1964" i="8"/>
  <c r="J1964" i="8"/>
  <c r="H1964" i="8"/>
  <c r="B1964" i="8"/>
  <c r="A1964" i="8"/>
  <c r="AA1963" i="8"/>
  <c r="W1963" i="8"/>
  <c r="U1963" i="8"/>
  <c r="R1963" i="8"/>
  <c r="Q1963" i="8"/>
  <c r="P1963" i="8"/>
  <c r="M1963" i="8"/>
  <c r="J1963" i="8"/>
  <c r="H1963" i="8"/>
  <c r="B1963" i="8"/>
  <c r="A1963" i="8"/>
  <c r="AA1962" i="8"/>
  <c r="W1962" i="8"/>
  <c r="U1962" i="8"/>
  <c r="P1962" i="8"/>
  <c r="M1962" i="8"/>
  <c r="J1962" i="8"/>
  <c r="H1962" i="8"/>
  <c r="B1962" i="8"/>
  <c r="A1962" i="8"/>
  <c r="AA1961" i="8"/>
  <c r="W1961" i="8"/>
  <c r="U1961" i="8"/>
  <c r="P1961" i="8"/>
  <c r="M1961" i="8"/>
  <c r="J1961" i="8"/>
  <c r="H1961" i="8"/>
  <c r="B1961" i="8"/>
  <c r="A1961" i="8"/>
  <c r="AA1960" i="8"/>
  <c r="W1960" i="8"/>
  <c r="U1960" i="8"/>
  <c r="P1960" i="8"/>
  <c r="M1960" i="8"/>
  <c r="J1960" i="8"/>
  <c r="H1960" i="8"/>
  <c r="B1960" i="8"/>
  <c r="A1960" i="8"/>
  <c r="AA1959" i="8"/>
  <c r="W1959" i="8"/>
  <c r="U1959" i="8"/>
  <c r="P1959" i="8"/>
  <c r="M1959" i="8"/>
  <c r="J1959" i="8"/>
  <c r="H1959" i="8"/>
  <c r="B1959" i="8"/>
  <c r="A1959" i="8"/>
  <c r="AA1958" i="8"/>
  <c r="W1958" i="8"/>
  <c r="U1958" i="8"/>
  <c r="P1958" i="8"/>
  <c r="M1958" i="8"/>
  <c r="J1958" i="8"/>
  <c r="H1958" i="8"/>
  <c r="B1958" i="8"/>
  <c r="A1958" i="8"/>
  <c r="AA1957" i="8"/>
  <c r="W1957" i="8"/>
  <c r="U1957" i="8"/>
  <c r="P1957" i="8"/>
  <c r="M1957" i="8"/>
  <c r="J1957" i="8"/>
  <c r="H1957" i="8"/>
  <c r="B1957" i="8"/>
  <c r="A1957" i="8"/>
  <c r="AA1956" i="8"/>
  <c r="W1956" i="8"/>
  <c r="U1956" i="8"/>
  <c r="R1956" i="8"/>
  <c r="Q1956" i="8"/>
  <c r="P1956" i="8"/>
  <c r="M1956" i="8"/>
  <c r="J1956" i="8"/>
  <c r="H1956" i="8"/>
  <c r="B1956" i="8"/>
  <c r="A1956" i="8"/>
  <c r="AA1955" i="8"/>
  <c r="W1955" i="8"/>
  <c r="U1955" i="8"/>
  <c r="P1955" i="8"/>
  <c r="M1955" i="8"/>
  <c r="J1955" i="8"/>
  <c r="H1955" i="8"/>
  <c r="B1955" i="8"/>
  <c r="A1955" i="8"/>
  <c r="AA1954" i="8"/>
  <c r="W1954" i="8"/>
  <c r="U1954" i="8"/>
  <c r="M1954" i="8"/>
  <c r="J1954" i="8"/>
  <c r="H1954" i="8"/>
  <c r="B1954" i="8"/>
  <c r="A1954" i="8"/>
  <c r="AA1953" i="8"/>
  <c r="W1953" i="8"/>
  <c r="U1953" i="8"/>
  <c r="P1953" i="8"/>
  <c r="M1953" i="8"/>
  <c r="J1953" i="8"/>
  <c r="H1953" i="8"/>
  <c r="B1953" i="8"/>
  <c r="A1953" i="8"/>
  <c r="AA1952" i="8"/>
  <c r="W1952" i="8"/>
  <c r="U1952" i="8"/>
  <c r="P1952" i="8"/>
  <c r="M1952" i="8"/>
  <c r="J1952" i="8"/>
  <c r="H1952" i="8"/>
  <c r="B1952" i="8"/>
  <c r="A1952" i="8"/>
  <c r="AA1951" i="8"/>
  <c r="W1951" i="8"/>
  <c r="U1951" i="8"/>
  <c r="P1951" i="8"/>
  <c r="M1951" i="8"/>
  <c r="J1951" i="8"/>
  <c r="H1951" i="8"/>
  <c r="B1951" i="8"/>
  <c r="A1951" i="8"/>
  <c r="AA1950" i="8"/>
  <c r="W1950" i="8"/>
  <c r="U1950" i="8"/>
  <c r="P1950" i="8"/>
  <c r="M1950" i="8"/>
  <c r="J1950" i="8"/>
  <c r="H1950" i="8"/>
  <c r="B1950" i="8"/>
  <c r="A1950" i="8"/>
  <c r="AA1949" i="8"/>
  <c r="W1949" i="8"/>
  <c r="U1949" i="8"/>
  <c r="P1949" i="8"/>
  <c r="M1949" i="8"/>
  <c r="J1949" i="8"/>
  <c r="H1949" i="8"/>
  <c r="B1949" i="8"/>
  <c r="A1949" i="8"/>
  <c r="AA1948" i="8"/>
  <c r="W1948" i="8"/>
  <c r="U1948" i="8"/>
  <c r="R1948" i="8"/>
  <c r="Q1948" i="8"/>
  <c r="P1948" i="8"/>
  <c r="M1948" i="8"/>
  <c r="J1948" i="8"/>
  <c r="H1948" i="8"/>
  <c r="B1948" i="8"/>
  <c r="A1948" i="8"/>
  <c r="AA1947" i="8"/>
  <c r="W1947" i="8"/>
  <c r="U1947" i="8"/>
  <c r="P1947" i="8"/>
  <c r="M1947" i="8"/>
  <c r="J1947" i="8"/>
  <c r="H1947" i="8"/>
  <c r="B1947" i="8"/>
  <c r="A1947" i="8"/>
  <c r="AA1946" i="8"/>
  <c r="W1946" i="8"/>
  <c r="U1946" i="8"/>
  <c r="P1946" i="8"/>
  <c r="M1946" i="8"/>
  <c r="J1946" i="8"/>
  <c r="H1946" i="8"/>
  <c r="B1946" i="8"/>
  <c r="A1946" i="8"/>
  <c r="AA1945" i="8"/>
  <c r="W1945" i="8"/>
  <c r="U1945" i="8"/>
  <c r="P1945" i="8"/>
  <c r="M1945" i="8"/>
  <c r="J1945" i="8"/>
  <c r="H1945" i="8"/>
  <c r="B1945" i="8"/>
  <c r="A1945" i="8"/>
  <c r="AA1944" i="8"/>
  <c r="W1944" i="8"/>
  <c r="U1944" i="8"/>
  <c r="P1944" i="8"/>
  <c r="M1944" i="8"/>
  <c r="J1944" i="8"/>
  <c r="H1944" i="8"/>
  <c r="B1944" i="8"/>
  <c r="A1944" i="8"/>
  <c r="AA1943" i="8"/>
  <c r="W1943" i="8"/>
  <c r="U1943" i="8"/>
  <c r="P1943" i="8"/>
  <c r="M1943" i="8"/>
  <c r="J1943" i="8"/>
  <c r="H1943" i="8"/>
  <c r="B1943" i="8"/>
  <c r="A1943" i="8"/>
  <c r="AA1942" i="8"/>
  <c r="W1942" i="8"/>
  <c r="U1942" i="8"/>
  <c r="P1942" i="8"/>
  <c r="M1942" i="8"/>
  <c r="J1942" i="8"/>
  <c r="H1942" i="8"/>
  <c r="B1942" i="8"/>
  <c r="A1942" i="8"/>
  <c r="AA1941" i="8"/>
  <c r="W1941" i="8"/>
  <c r="U1941" i="8"/>
  <c r="P1941" i="8"/>
  <c r="M1941" i="8"/>
  <c r="J1941" i="8"/>
  <c r="H1941" i="8"/>
  <c r="B1941" i="8"/>
  <c r="A1941" i="8"/>
  <c r="AA1940" i="8"/>
  <c r="W1940" i="8"/>
  <c r="U1940" i="8"/>
  <c r="P1940" i="8"/>
  <c r="M1940" i="8"/>
  <c r="J1940" i="8"/>
  <c r="H1940" i="8"/>
  <c r="B1940" i="8"/>
  <c r="A1940" i="8"/>
  <c r="AA1939" i="8"/>
  <c r="W1939" i="8"/>
  <c r="U1939" i="8"/>
  <c r="P1939" i="8"/>
  <c r="M1939" i="8"/>
  <c r="J1939" i="8"/>
  <c r="H1939" i="8"/>
  <c r="B1939" i="8"/>
  <c r="A1939" i="8"/>
  <c r="AA1938" i="8"/>
  <c r="W1938" i="8"/>
  <c r="U1938" i="8"/>
  <c r="P1938" i="8"/>
  <c r="M1938" i="8"/>
  <c r="J1938" i="8"/>
  <c r="H1938" i="8"/>
  <c r="B1938" i="8"/>
  <c r="A1938" i="8"/>
  <c r="AA1937" i="8"/>
  <c r="W1937" i="8"/>
  <c r="U1937" i="8"/>
  <c r="M1937" i="8"/>
  <c r="J1937" i="8"/>
  <c r="H1937" i="8"/>
  <c r="B1937" i="8"/>
  <c r="A1937" i="8"/>
  <c r="AA1936" i="8"/>
  <c r="W1936" i="8"/>
  <c r="U1936" i="8"/>
  <c r="P1936" i="8"/>
  <c r="M1936" i="8"/>
  <c r="J1936" i="8"/>
  <c r="H1936" i="8"/>
  <c r="B1936" i="8"/>
  <c r="A1936" i="8"/>
  <c r="AA1935" i="8"/>
  <c r="W1935" i="8"/>
  <c r="U1935" i="8"/>
  <c r="P1935" i="8"/>
  <c r="M1935" i="8"/>
  <c r="J1935" i="8"/>
  <c r="H1935" i="8"/>
  <c r="B1935" i="8"/>
  <c r="A1935" i="8"/>
  <c r="AA1934" i="8"/>
  <c r="W1934" i="8"/>
  <c r="U1934" i="8"/>
  <c r="R1934" i="8"/>
  <c r="Q1934" i="8"/>
  <c r="P1934" i="8"/>
  <c r="M1934" i="8"/>
  <c r="J1934" i="8"/>
  <c r="H1934" i="8"/>
  <c r="B1934" i="8"/>
  <c r="A1934" i="8"/>
  <c r="AA1933" i="8"/>
  <c r="W1933" i="8"/>
  <c r="U1933" i="8"/>
  <c r="P1933" i="8"/>
  <c r="M1933" i="8"/>
  <c r="J1933" i="8"/>
  <c r="H1933" i="8"/>
  <c r="B1933" i="8"/>
  <c r="A1933" i="8"/>
  <c r="AA1932" i="8"/>
  <c r="W1932" i="8"/>
  <c r="U1932" i="8"/>
  <c r="P1932" i="8"/>
  <c r="M1932" i="8"/>
  <c r="J1932" i="8"/>
  <c r="H1932" i="8"/>
  <c r="B1932" i="8"/>
  <c r="A1932" i="8"/>
  <c r="AA1931" i="8"/>
  <c r="W1931" i="8"/>
  <c r="U1931" i="8"/>
  <c r="P1931" i="8"/>
  <c r="M1931" i="8"/>
  <c r="J1931" i="8"/>
  <c r="H1931" i="8"/>
  <c r="B1931" i="8"/>
  <c r="A1931" i="8"/>
  <c r="AA1930" i="8"/>
  <c r="W1930" i="8"/>
  <c r="U1930" i="8"/>
  <c r="P1930" i="8"/>
  <c r="M1930" i="8"/>
  <c r="J1930" i="8"/>
  <c r="H1930" i="8"/>
  <c r="B1930" i="8"/>
  <c r="A1930" i="8"/>
  <c r="AA1929" i="8"/>
  <c r="W1929" i="8"/>
  <c r="U1929" i="8"/>
  <c r="R1929" i="8"/>
  <c r="Q1929" i="8"/>
  <c r="M1929" i="8"/>
  <c r="J1929" i="8"/>
  <c r="H1929" i="8"/>
  <c r="B1929" i="8"/>
  <c r="A1929" i="8"/>
  <c r="AA1928" i="8"/>
  <c r="W1928" i="8"/>
  <c r="U1928" i="8"/>
  <c r="M1928" i="8"/>
  <c r="J1928" i="8"/>
  <c r="H1928" i="8"/>
  <c r="B1928" i="8"/>
  <c r="A1928" i="8"/>
  <c r="AA1927" i="8"/>
  <c r="W1927" i="8"/>
  <c r="U1927" i="8"/>
  <c r="P1927" i="8"/>
  <c r="M1927" i="8"/>
  <c r="J1927" i="8"/>
  <c r="H1927" i="8"/>
  <c r="B1927" i="8"/>
  <c r="A1927" i="8"/>
  <c r="AA1926" i="8"/>
  <c r="W1926" i="8"/>
  <c r="U1926" i="8"/>
  <c r="P1926" i="8"/>
  <c r="M1926" i="8"/>
  <c r="J1926" i="8"/>
  <c r="H1926" i="8"/>
  <c r="B1926" i="8"/>
  <c r="A1926" i="8"/>
  <c r="AA1925" i="8"/>
  <c r="W1925" i="8"/>
  <c r="U1925" i="8"/>
  <c r="P1925" i="8"/>
  <c r="M1925" i="8"/>
  <c r="J1925" i="8"/>
  <c r="H1925" i="8"/>
  <c r="B1925" i="8"/>
  <c r="A1925" i="8"/>
  <c r="AA1924" i="8"/>
  <c r="W1924" i="8"/>
  <c r="U1924" i="8"/>
  <c r="P1924" i="8"/>
  <c r="M1924" i="8"/>
  <c r="J1924" i="8"/>
  <c r="H1924" i="8"/>
  <c r="B1924" i="8"/>
  <c r="A1924" i="8"/>
  <c r="AA1923" i="8"/>
  <c r="W1923" i="8"/>
  <c r="U1923" i="8"/>
  <c r="P1923" i="8"/>
  <c r="M1923" i="8"/>
  <c r="J1923" i="8"/>
  <c r="H1923" i="8"/>
  <c r="B1923" i="8"/>
  <c r="A1923" i="8"/>
  <c r="AA1922" i="8"/>
  <c r="W1922" i="8"/>
  <c r="U1922" i="8"/>
  <c r="P1922" i="8"/>
  <c r="M1922" i="8"/>
  <c r="J1922" i="8"/>
  <c r="H1922" i="8"/>
  <c r="B1922" i="8"/>
  <c r="A1922" i="8"/>
  <c r="AA1921" i="8"/>
  <c r="W1921" i="8"/>
  <c r="U1921" i="8"/>
  <c r="M1921" i="8"/>
  <c r="J1921" i="8"/>
  <c r="H1921" i="8"/>
  <c r="B1921" i="8"/>
  <c r="A1921" i="8"/>
  <c r="AA1920" i="8"/>
  <c r="W1920" i="8"/>
  <c r="U1920" i="8"/>
  <c r="P1920" i="8"/>
  <c r="M1920" i="8"/>
  <c r="J1920" i="8"/>
  <c r="H1920" i="8"/>
  <c r="B1920" i="8"/>
  <c r="A1920" i="8"/>
  <c r="AA1919" i="8"/>
  <c r="W1919" i="8"/>
  <c r="U1919" i="8"/>
  <c r="P1919" i="8"/>
  <c r="M1919" i="8"/>
  <c r="J1919" i="8"/>
  <c r="H1919" i="8"/>
  <c r="B1919" i="8"/>
  <c r="A1919" i="8"/>
  <c r="AA1918" i="8"/>
  <c r="W1918" i="8"/>
  <c r="U1918" i="8"/>
  <c r="P1918" i="8"/>
  <c r="M1918" i="8"/>
  <c r="J1918" i="8"/>
  <c r="H1918" i="8"/>
  <c r="B1918" i="8"/>
  <c r="A1918" i="8"/>
  <c r="AA1917" i="8"/>
  <c r="W1917" i="8"/>
  <c r="U1917" i="8"/>
  <c r="P1917" i="8"/>
  <c r="M1917" i="8"/>
  <c r="J1917" i="8"/>
  <c r="H1917" i="8"/>
  <c r="B1917" i="8"/>
  <c r="A1917" i="8"/>
  <c r="AA1916" i="8"/>
  <c r="W1916" i="8"/>
  <c r="U1916" i="8"/>
  <c r="P1916" i="8"/>
  <c r="M1916" i="8"/>
  <c r="J1916" i="8"/>
  <c r="H1916" i="8"/>
  <c r="B1916" i="8"/>
  <c r="A1916" i="8"/>
  <c r="AA1915" i="8"/>
  <c r="W1915" i="8"/>
  <c r="U1915" i="8"/>
  <c r="P1915" i="8"/>
  <c r="M1915" i="8"/>
  <c r="J1915" i="8"/>
  <c r="H1915" i="8"/>
  <c r="B1915" i="8"/>
  <c r="A1915" i="8"/>
  <c r="AA1914" i="8"/>
  <c r="W1914" i="8"/>
  <c r="U1914" i="8"/>
  <c r="P1914" i="8"/>
  <c r="M1914" i="8"/>
  <c r="J1914" i="8"/>
  <c r="H1914" i="8"/>
  <c r="B1914" i="8"/>
  <c r="A1914" i="8"/>
  <c r="AA1913" i="8"/>
  <c r="W1913" i="8"/>
  <c r="U1913" i="8"/>
  <c r="M1913" i="8"/>
  <c r="J1913" i="8"/>
  <c r="H1913" i="8"/>
  <c r="B1913" i="8"/>
  <c r="A1913" i="8"/>
  <c r="AA1912" i="8"/>
  <c r="W1912" i="8"/>
  <c r="U1912" i="8"/>
  <c r="P1912" i="8"/>
  <c r="M1912" i="8"/>
  <c r="J1912" i="8"/>
  <c r="H1912" i="8"/>
  <c r="B1912" i="8"/>
  <c r="A1912" i="8"/>
  <c r="AA1911" i="8"/>
  <c r="W1911" i="8"/>
  <c r="U1911" i="8"/>
  <c r="M1911" i="8"/>
  <c r="J1911" i="8"/>
  <c r="H1911" i="8"/>
  <c r="B1911" i="8"/>
  <c r="A1911" i="8"/>
  <c r="AA1910" i="8"/>
  <c r="W1910" i="8"/>
  <c r="U1910" i="8"/>
  <c r="P1910" i="8"/>
  <c r="M1910" i="8"/>
  <c r="J1910" i="8"/>
  <c r="H1910" i="8"/>
  <c r="B1910" i="8"/>
  <c r="A1910" i="8"/>
  <c r="AA1909" i="8"/>
  <c r="W1909" i="8"/>
  <c r="U1909" i="8"/>
  <c r="R1909" i="8"/>
  <c r="Q1909" i="8"/>
  <c r="P1909" i="8"/>
  <c r="M1909" i="8"/>
  <c r="J1909" i="8"/>
  <c r="H1909" i="8"/>
  <c r="B1909" i="8"/>
  <c r="A1909" i="8"/>
  <c r="AA1908" i="8"/>
  <c r="W1908" i="8"/>
  <c r="U1908" i="8"/>
  <c r="P1908" i="8"/>
  <c r="M1908" i="8"/>
  <c r="J1908" i="8"/>
  <c r="H1908" i="8"/>
  <c r="B1908" i="8"/>
  <c r="A1908" i="8"/>
  <c r="AA1907" i="8"/>
  <c r="W1907" i="8"/>
  <c r="U1907" i="8"/>
  <c r="P1907" i="8"/>
  <c r="M1907" i="8"/>
  <c r="J1907" i="8"/>
  <c r="H1907" i="8"/>
  <c r="B1907" i="8"/>
  <c r="A1907" i="8"/>
  <c r="AA1906" i="8"/>
  <c r="W1906" i="8"/>
  <c r="U1906" i="8"/>
  <c r="P1906" i="8"/>
  <c r="M1906" i="8"/>
  <c r="J1906" i="8"/>
  <c r="H1906" i="8"/>
  <c r="B1906" i="8"/>
  <c r="A1906" i="8"/>
  <c r="AA1905" i="8"/>
  <c r="W1905" i="8"/>
  <c r="U1905" i="8"/>
  <c r="M1905" i="8"/>
  <c r="J1905" i="8"/>
  <c r="H1905" i="8"/>
  <c r="B1905" i="8"/>
  <c r="A1905" i="8"/>
  <c r="AA1904" i="8"/>
  <c r="W1904" i="8"/>
  <c r="U1904" i="8"/>
  <c r="P1904" i="8"/>
  <c r="M1904" i="8"/>
  <c r="J1904" i="8"/>
  <c r="H1904" i="8"/>
  <c r="B1904" i="8"/>
  <c r="A1904" i="8"/>
  <c r="AA1903" i="8"/>
  <c r="W1903" i="8"/>
  <c r="U1903" i="8"/>
  <c r="P1903" i="8"/>
  <c r="M1903" i="8"/>
  <c r="J1903" i="8"/>
  <c r="H1903" i="8"/>
  <c r="B1903" i="8"/>
  <c r="A1903" i="8"/>
  <c r="AA1902" i="8"/>
  <c r="W1902" i="8"/>
  <c r="U1902" i="8"/>
  <c r="P1902" i="8"/>
  <c r="M1902" i="8"/>
  <c r="J1902" i="8"/>
  <c r="H1902" i="8"/>
  <c r="B1902" i="8"/>
  <c r="A1902" i="8"/>
  <c r="AA1901" i="8"/>
  <c r="W1901" i="8"/>
  <c r="U1901" i="8"/>
  <c r="R1901" i="8"/>
  <c r="Q1901" i="8"/>
  <c r="P1901" i="8"/>
  <c r="M1901" i="8"/>
  <c r="J1901" i="8"/>
  <c r="H1901" i="8"/>
  <c r="B1901" i="8"/>
  <c r="A1901" i="8"/>
  <c r="AA1900" i="8"/>
  <c r="W1900" i="8"/>
  <c r="U1900" i="8"/>
  <c r="P1900" i="8"/>
  <c r="M1900" i="8"/>
  <c r="J1900" i="8"/>
  <c r="H1900" i="8"/>
  <c r="B1900" i="8"/>
  <c r="A1900" i="8"/>
  <c r="AA1899" i="8"/>
  <c r="W1899" i="8"/>
  <c r="U1899" i="8"/>
  <c r="P1899" i="8"/>
  <c r="M1899" i="8"/>
  <c r="J1899" i="8"/>
  <c r="H1899" i="8"/>
  <c r="B1899" i="8"/>
  <c r="A1899" i="8"/>
  <c r="AA1898" i="8"/>
  <c r="W1898" i="8"/>
  <c r="U1898" i="8"/>
  <c r="P1898" i="8"/>
  <c r="M1898" i="8"/>
  <c r="J1898" i="8"/>
  <c r="H1898" i="8"/>
  <c r="B1898" i="8"/>
  <c r="A1898" i="8"/>
  <c r="AA1897" i="8"/>
  <c r="W1897" i="8"/>
  <c r="U1897" i="8"/>
  <c r="P1897" i="8"/>
  <c r="M1897" i="8"/>
  <c r="J1897" i="8"/>
  <c r="H1897" i="8"/>
  <c r="B1897" i="8"/>
  <c r="A1897" i="8"/>
  <c r="AA1896" i="8"/>
  <c r="W1896" i="8"/>
  <c r="U1896" i="8"/>
  <c r="P1896" i="8"/>
  <c r="M1896" i="8"/>
  <c r="J1896" i="8"/>
  <c r="H1896" i="8"/>
  <c r="B1896" i="8"/>
  <c r="A1896" i="8"/>
  <c r="AA1895" i="8"/>
  <c r="W1895" i="8"/>
  <c r="U1895" i="8"/>
  <c r="R1895" i="8"/>
  <c r="Q1895" i="8"/>
  <c r="P1895" i="8"/>
  <c r="M1895" i="8"/>
  <c r="J1895" i="8"/>
  <c r="H1895" i="8"/>
  <c r="B1895" i="8"/>
  <c r="A1895" i="8"/>
  <c r="AA1894" i="8"/>
  <c r="W1894" i="8"/>
  <c r="U1894" i="8"/>
  <c r="P1894" i="8"/>
  <c r="M1894" i="8"/>
  <c r="J1894" i="8"/>
  <c r="H1894" i="8"/>
  <c r="B1894" i="8"/>
  <c r="A1894" i="8"/>
  <c r="AA1893" i="8"/>
  <c r="W1893" i="8"/>
  <c r="U1893" i="8"/>
  <c r="P1893" i="8"/>
  <c r="M1893" i="8"/>
  <c r="J1893" i="8"/>
  <c r="H1893" i="8"/>
  <c r="B1893" i="8"/>
  <c r="A1893" i="8"/>
  <c r="AA1892" i="8"/>
  <c r="W1892" i="8"/>
  <c r="U1892" i="8"/>
  <c r="P1892" i="8"/>
  <c r="M1892" i="8"/>
  <c r="J1892" i="8"/>
  <c r="H1892" i="8"/>
  <c r="B1892" i="8"/>
  <c r="A1892" i="8"/>
  <c r="AA1891" i="8"/>
  <c r="W1891" i="8"/>
  <c r="U1891" i="8"/>
  <c r="P1891" i="8"/>
  <c r="M1891" i="8"/>
  <c r="J1891" i="8"/>
  <c r="H1891" i="8"/>
  <c r="B1891" i="8"/>
  <c r="A1891" i="8"/>
  <c r="AA1890" i="8"/>
  <c r="W1890" i="8"/>
  <c r="U1890" i="8"/>
  <c r="P1890" i="8"/>
  <c r="M1890" i="8"/>
  <c r="J1890" i="8"/>
  <c r="H1890" i="8"/>
  <c r="B1890" i="8"/>
  <c r="A1890" i="8"/>
  <c r="AA1889" i="8"/>
  <c r="W1889" i="8"/>
  <c r="U1889" i="8"/>
  <c r="P1889" i="8"/>
  <c r="M1889" i="8"/>
  <c r="J1889" i="8"/>
  <c r="H1889" i="8"/>
  <c r="B1889" i="8"/>
  <c r="A1889" i="8"/>
  <c r="AA1888" i="8"/>
  <c r="W1888" i="8"/>
  <c r="U1888" i="8"/>
  <c r="P1888" i="8"/>
  <c r="M1888" i="8"/>
  <c r="J1888" i="8"/>
  <c r="H1888" i="8"/>
  <c r="B1888" i="8"/>
  <c r="A1888" i="8"/>
  <c r="AA1887" i="8"/>
  <c r="W1887" i="8"/>
  <c r="U1887" i="8"/>
  <c r="M1887" i="8"/>
  <c r="J1887" i="8"/>
  <c r="H1887" i="8"/>
  <c r="B1887" i="8"/>
  <c r="A1887" i="8"/>
  <c r="AA1886" i="8"/>
  <c r="W1886" i="8"/>
  <c r="U1886" i="8"/>
  <c r="P1886" i="8"/>
  <c r="M1886" i="8"/>
  <c r="J1886" i="8"/>
  <c r="H1886" i="8"/>
  <c r="B1886" i="8"/>
  <c r="A1886" i="8"/>
  <c r="AA1885" i="8"/>
  <c r="W1885" i="8"/>
  <c r="U1885" i="8"/>
  <c r="P1885" i="8"/>
  <c r="M1885" i="8"/>
  <c r="J1885" i="8"/>
  <c r="H1885" i="8"/>
  <c r="B1885" i="8"/>
  <c r="A1885" i="8"/>
  <c r="AA1884" i="8"/>
  <c r="W1884" i="8"/>
  <c r="U1884" i="8"/>
  <c r="P1884" i="8"/>
  <c r="M1884" i="8"/>
  <c r="J1884" i="8"/>
  <c r="H1884" i="8"/>
  <c r="B1884" i="8"/>
  <c r="A1884" i="8"/>
  <c r="AA1883" i="8"/>
  <c r="W1883" i="8"/>
  <c r="U1883" i="8"/>
  <c r="P1883" i="8"/>
  <c r="M1883" i="8"/>
  <c r="J1883" i="8"/>
  <c r="H1883" i="8"/>
  <c r="B1883" i="8"/>
  <c r="A1883" i="8"/>
  <c r="AA1882" i="8"/>
  <c r="W1882" i="8"/>
  <c r="U1882" i="8"/>
  <c r="P1882" i="8"/>
  <c r="M1882" i="8"/>
  <c r="J1882" i="8"/>
  <c r="H1882" i="8"/>
  <c r="B1882" i="8"/>
  <c r="A1882" i="8"/>
  <c r="AA1881" i="8"/>
  <c r="W1881" i="8"/>
  <c r="U1881" i="8"/>
  <c r="P1881" i="8"/>
  <c r="M1881" i="8"/>
  <c r="J1881" i="8"/>
  <c r="H1881" i="8"/>
  <c r="B1881" i="8"/>
  <c r="A1881" i="8"/>
  <c r="AA1880" i="8"/>
  <c r="W1880" i="8"/>
  <c r="U1880" i="8"/>
  <c r="R1880" i="8"/>
  <c r="Q1880" i="8"/>
  <c r="P1880" i="8"/>
  <c r="M1880" i="8"/>
  <c r="J1880" i="8"/>
  <c r="H1880" i="8"/>
  <c r="B1880" i="8"/>
  <c r="A1880" i="8"/>
  <c r="AA1879" i="8"/>
  <c r="W1879" i="8"/>
  <c r="U1879" i="8"/>
  <c r="P1879" i="8"/>
  <c r="M1879" i="8"/>
  <c r="J1879" i="8"/>
  <c r="H1879" i="8"/>
  <c r="B1879" i="8"/>
  <c r="A1879" i="8"/>
  <c r="AA1878" i="8"/>
  <c r="W1878" i="8"/>
  <c r="U1878" i="8"/>
  <c r="P1878" i="8"/>
  <c r="M1878" i="8"/>
  <c r="J1878" i="8"/>
  <c r="H1878" i="8"/>
  <c r="B1878" i="8"/>
  <c r="A1878" i="8"/>
  <c r="AA1877" i="8"/>
  <c r="W1877" i="8"/>
  <c r="U1877" i="8"/>
  <c r="P1877" i="8"/>
  <c r="M1877" i="8"/>
  <c r="J1877" i="8"/>
  <c r="H1877" i="8"/>
  <c r="B1877" i="8"/>
  <c r="A1877" i="8"/>
  <c r="AA1876" i="8"/>
  <c r="W1876" i="8"/>
  <c r="U1876" i="8"/>
  <c r="P1876" i="8"/>
  <c r="M1876" i="8"/>
  <c r="J1876" i="8"/>
  <c r="H1876" i="8"/>
  <c r="B1876" i="8"/>
  <c r="A1876" i="8"/>
  <c r="AA1875" i="8"/>
  <c r="W1875" i="8"/>
  <c r="U1875" i="8"/>
  <c r="M1875" i="8"/>
  <c r="J1875" i="8"/>
  <c r="H1875" i="8"/>
  <c r="B1875" i="8"/>
  <c r="A1875" i="8"/>
  <c r="AA1874" i="8"/>
  <c r="W1874" i="8"/>
  <c r="U1874" i="8"/>
  <c r="P1874" i="8"/>
  <c r="M1874" i="8"/>
  <c r="J1874" i="8"/>
  <c r="H1874" i="8"/>
  <c r="B1874" i="8"/>
  <c r="A1874" i="8"/>
  <c r="AA1873" i="8"/>
  <c r="W1873" i="8"/>
  <c r="U1873" i="8"/>
  <c r="P1873" i="8"/>
  <c r="M1873" i="8"/>
  <c r="J1873" i="8"/>
  <c r="H1873" i="8"/>
  <c r="B1873" i="8"/>
  <c r="A1873" i="8"/>
  <c r="AA1872" i="8"/>
  <c r="W1872" i="8"/>
  <c r="U1872" i="8"/>
  <c r="P1872" i="8"/>
  <c r="M1872" i="8"/>
  <c r="J1872" i="8"/>
  <c r="H1872" i="8"/>
  <c r="B1872" i="8"/>
  <c r="A1872" i="8"/>
  <c r="AA1871" i="8"/>
  <c r="W1871" i="8"/>
  <c r="U1871" i="8"/>
  <c r="P1871" i="8"/>
  <c r="M1871" i="8"/>
  <c r="J1871" i="8"/>
  <c r="H1871" i="8"/>
  <c r="B1871" i="8"/>
  <c r="A1871" i="8"/>
  <c r="AA1870" i="8"/>
  <c r="W1870" i="8"/>
  <c r="U1870" i="8"/>
  <c r="M1870" i="8"/>
  <c r="J1870" i="8"/>
  <c r="H1870" i="8"/>
  <c r="B1870" i="8"/>
  <c r="A1870" i="8"/>
  <c r="AA1869" i="8"/>
  <c r="W1869" i="8"/>
  <c r="U1869" i="8"/>
  <c r="P1869" i="8"/>
  <c r="M1869" i="8"/>
  <c r="J1869" i="8"/>
  <c r="H1869" i="8"/>
  <c r="B1869" i="8"/>
  <c r="A1869" i="8"/>
  <c r="AA1868" i="8"/>
  <c r="W1868" i="8"/>
  <c r="U1868" i="8"/>
  <c r="P1868" i="8"/>
  <c r="M1868" i="8"/>
  <c r="J1868" i="8"/>
  <c r="H1868" i="8"/>
  <c r="B1868" i="8"/>
  <c r="A1868" i="8"/>
  <c r="AA1867" i="8"/>
  <c r="W1867" i="8"/>
  <c r="U1867" i="8"/>
  <c r="P1867" i="8"/>
  <c r="M1867" i="8"/>
  <c r="J1867" i="8"/>
  <c r="H1867" i="8"/>
  <c r="B1867" i="8"/>
  <c r="A1867" i="8"/>
  <c r="AA1866" i="8"/>
  <c r="W1866" i="8"/>
  <c r="U1866" i="8"/>
  <c r="P1866" i="8"/>
  <c r="M1866" i="8"/>
  <c r="J1866" i="8"/>
  <c r="H1866" i="8"/>
  <c r="B1866" i="8"/>
  <c r="A1866" i="8"/>
  <c r="AA1865" i="8"/>
  <c r="W1865" i="8"/>
  <c r="U1865" i="8"/>
  <c r="P1865" i="8"/>
  <c r="M1865" i="8"/>
  <c r="J1865" i="8"/>
  <c r="H1865" i="8"/>
  <c r="B1865" i="8"/>
  <c r="A1865" i="8"/>
  <c r="AA1864" i="8"/>
  <c r="W1864" i="8"/>
  <c r="U1864" i="8"/>
  <c r="M1864" i="8"/>
  <c r="J1864" i="8"/>
  <c r="H1864" i="8"/>
  <c r="B1864" i="8"/>
  <c r="A1864" i="8"/>
  <c r="AA1863" i="8"/>
  <c r="W1863" i="8"/>
  <c r="U1863" i="8"/>
  <c r="P1863" i="8"/>
  <c r="M1863" i="8"/>
  <c r="J1863" i="8"/>
  <c r="H1863" i="8"/>
  <c r="B1863" i="8"/>
  <c r="A1863" i="8"/>
  <c r="AA1862" i="8"/>
  <c r="W1862" i="8"/>
  <c r="U1862" i="8"/>
  <c r="P1862" i="8"/>
  <c r="M1862" i="8"/>
  <c r="J1862" i="8"/>
  <c r="H1862" i="8"/>
  <c r="B1862" i="8"/>
  <c r="A1862" i="8"/>
  <c r="AA1861" i="8"/>
  <c r="W1861" i="8"/>
  <c r="U1861" i="8"/>
  <c r="R1861" i="8"/>
  <c r="Q1861" i="8"/>
  <c r="P1861" i="8"/>
  <c r="M1861" i="8"/>
  <c r="J1861" i="8"/>
  <c r="H1861" i="8"/>
  <c r="B1861" i="8"/>
  <c r="A1861" i="8"/>
  <c r="AA1860" i="8"/>
  <c r="W1860" i="8"/>
  <c r="U1860" i="8"/>
  <c r="R1860" i="8"/>
  <c r="Q1860" i="8"/>
  <c r="P1860" i="8"/>
  <c r="M1860" i="8"/>
  <c r="J1860" i="8"/>
  <c r="H1860" i="8"/>
  <c r="B1860" i="8"/>
  <c r="A1860" i="8"/>
  <c r="AA1859" i="8"/>
  <c r="W1859" i="8"/>
  <c r="U1859" i="8"/>
  <c r="P1859" i="8"/>
  <c r="M1859" i="8"/>
  <c r="J1859" i="8"/>
  <c r="H1859" i="8"/>
  <c r="B1859" i="8"/>
  <c r="A1859" i="8"/>
  <c r="AA1858" i="8"/>
  <c r="W1858" i="8"/>
  <c r="U1858" i="8"/>
  <c r="R1858" i="8"/>
  <c r="Q1858" i="8"/>
  <c r="P1858" i="8"/>
  <c r="M1858" i="8"/>
  <c r="J1858" i="8"/>
  <c r="H1858" i="8"/>
  <c r="B1858" i="8"/>
  <c r="A1858" i="8"/>
  <c r="AA1857" i="8"/>
  <c r="W1857" i="8"/>
  <c r="U1857" i="8"/>
  <c r="R1857" i="8"/>
  <c r="Q1857" i="8"/>
  <c r="P1857" i="8"/>
  <c r="M1857" i="8"/>
  <c r="J1857" i="8"/>
  <c r="H1857" i="8"/>
  <c r="B1857" i="8"/>
  <c r="A1857" i="8"/>
  <c r="AA1856" i="8"/>
  <c r="W1856" i="8"/>
  <c r="U1856" i="8"/>
  <c r="P1856" i="8"/>
  <c r="M1856" i="8"/>
  <c r="J1856" i="8"/>
  <c r="H1856" i="8"/>
  <c r="B1856" i="8"/>
  <c r="A1856" i="8"/>
  <c r="AA1855" i="8"/>
  <c r="W1855" i="8"/>
  <c r="U1855" i="8"/>
  <c r="P1855" i="8"/>
  <c r="M1855" i="8"/>
  <c r="J1855" i="8"/>
  <c r="H1855" i="8"/>
  <c r="B1855" i="8"/>
  <c r="A1855" i="8"/>
  <c r="AA1854" i="8"/>
  <c r="W1854" i="8"/>
  <c r="U1854" i="8"/>
  <c r="P1854" i="8"/>
  <c r="M1854" i="8"/>
  <c r="J1854" i="8"/>
  <c r="H1854" i="8"/>
  <c r="B1854" i="8"/>
  <c r="A1854" i="8"/>
  <c r="AA1853" i="8"/>
  <c r="W1853" i="8"/>
  <c r="U1853" i="8"/>
  <c r="P1853" i="8"/>
  <c r="M1853" i="8"/>
  <c r="J1853" i="8"/>
  <c r="H1853" i="8"/>
  <c r="B1853" i="8"/>
  <c r="A1853" i="8"/>
  <c r="AA1852" i="8"/>
  <c r="W1852" i="8"/>
  <c r="U1852" i="8"/>
  <c r="P1852" i="8"/>
  <c r="M1852" i="8"/>
  <c r="J1852" i="8"/>
  <c r="H1852" i="8"/>
  <c r="B1852" i="8"/>
  <c r="A1852" i="8"/>
  <c r="AA1851" i="8"/>
  <c r="W1851" i="8"/>
  <c r="U1851" i="8"/>
  <c r="P1851" i="8"/>
  <c r="M1851" i="8"/>
  <c r="J1851" i="8"/>
  <c r="H1851" i="8"/>
  <c r="B1851" i="8"/>
  <c r="A1851" i="8"/>
  <c r="AA1850" i="8"/>
  <c r="W1850" i="8"/>
  <c r="U1850" i="8"/>
  <c r="P1850" i="8"/>
  <c r="M1850" i="8"/>
  <c r="J1850" i="8"/>
  <c r="H1850" i="8"/>
  <c r="B1850" i="8"/>
  <c r="A1850" i="8"/>
  <c r="AA1849" i="8"/>
  <c r="W1849" i="8"/>
  <c r="U1849" i="8"/>
  <c r="P1849" i="8"/>
  <c r="M1849" i="8"/>
  <c r="J1849" i="8"/>
  <c r="H1849" i="8"/>
  <c r="B1849" i="8"/>
  <c r="A1849" i="8"/>
  <c r="AA1848" i="8"/>
  <c r="W1848" i="8"/>
  <c r="U1848" i="8"/>
  <c r="P1848" i="8"/>
  <c r="M1848" i="8"/>
  <c r="J1848" i="8"/>
  <c r="H1848" i="8"/>
  <c r="B1848" i="8"/>
  <c r="A1848" i="8"/>
  <c r="AA1847" i="8"/>
  <c r="W1847" i="8"/>
  <c r="U1847" i="8"/>
  <c r="P1847" i="8"/>
  <c r="M1847" i="8"/>
  <c r="J1847" i="8"/>
  <c r="H1847" i="8"/>
  <c r="B1847" i="8"/>
  <c r="A1847" i="8"/>
  <c r="AA1846" i="8"/>
  <c r="W1846" i="8"/>
  <c r="U1846" i="8"/>
  <c r="P1846" i="8"/>
  <c r="M1846" i="8"/>
  <c r="J1846" i="8"/>
  <c r="H1846" i="8"/>
  <c r="B1846" i="8"/>
  <c r="A1846" i="8"/>
  <c r="AA1845" i="8"/>
  <c r="W1845" i="8"/>
  <c r="U1845" i="8"/>
  <c r="P1845" i="8"/>
  <c r="M1845" i="8"/>
  <c r="J1845" i="8"/>
  <c r="H1845" i="8"/>
  <c r="B1845" i="8"/>
  <c r="A1845" i="8"/>
  <c r="AA1844" i="8"/>
  <c r="W1844" i="8"/>
  <c r="U1844" i="8"/>
  <c r="M1844" i="8"/>
  <c r="J1844" i="8"/>
  <c r="H1844" i="8"/>
  <c r="B1844" i="8"/>
  <c r="A1844" i="8"/>
  <c r="AA1843" i="8"/>
  <c r="W1843" i="8"/>
  <c r="U1843" i="8"/>
  <c r="P1843" i="8"/>
  <c r="M1843" i="8"/>
  <c r="J1843" i="8"/>
  <c r="H1843" i="8"/>
  <c r="B1843" i="8"/>
  <c r="A1843" i="8"/>
  <c r="AA1842" i="8"/>
  <c r="W1842" i="8"/>
  <c r="U1842" i="8"/>
  <c r="P1842" i="8"/>
  <c r="M1842" i="8"/>
  <c r="J1842" i="8"/>
  <c r="H1842" i="8"/>
  <c r="B1842" i="8"/>
  <c r="A1842" i="8"/>
  <c r="AA1841" i="8"/>
  <c r="W1841" i="8"/>
  <c r="U1841" i="8"/>
  <c r="P1841" i="8"/>
  <c r="M1841" i="8"/>
  <c r="J1841" i="8"/>
  <c r="H1841" i="8"/>
  <c r="B1841" i="8"/>
  <c r="A1841" i="8"/>
  <c r="AA1840" i="8"/>
  <c r="W1840" i="8"/>
  <c r="U1840" i="8"/>
  <c r="R1840" i="8"/>
  <c r="Q1840" i="8"/>
  <c r="P1840" i="8"/>
  <c r="M1840" i="8"/>
  <c r="J1840" i="8"/>
  <c r="H1840" i="8"/>
  <c r="B1840" i="8"/>
  <c r="A1840" i="8"/>
  <c r="AA1839" i="8"/>
  <c r="W1839" i="8"/>
  <c r="U1839" i="8"/>
  <c r="R1839" i="8"/>
  <c r="Q1839" i="8"/>
  <c r="P1839" i="8"/>
  <c r="M1839" i="8"/>
  <c r="J1839" i="8"/>
  <c r="H1839" i="8"/>
  <c r="B1839" i="8"/>
  <c r="A1839" i="8"/>
  <c r="AA1838" i="8"/>
  <c r="W1838" i="8"/>
  <c r="U1838" i="8"/>
  <c r="P1838" i="8"/>
  <c r="M1838" i="8"/>
  <c r="J1838" i="8"/>
  <c r="H1838" i="8"/>
  <c r="B1838" i="8"/>
  <c r="A1838" i="8"/>
  <c r="AA1837" i="8"/>
  <c r="W1837" i="8"/>
  <c r="U1837" i="8"/>
  <c r="P1837" i="8"/>
  <c r="M1837" i="8"/>
  <c r="J1837" i="8"/>
  <c r="H1837" i="8"/>
  <c r="B1837" i="8"/>
  <c r="A1837" i="8"/>
  <c r="AA1836" i="8"/>
  <c r="W1836" i="8"/>
  <c r="U1836" i="8"/>
  <c r="P1836" i="8"/>
  <c r="M1836" i="8"/>
  <c r="J1836" i="8"/>
  <c r="H1836" i="8"/>
  <c r="B1836" i="8"/>
  <c r="A1836" i="8"/>
  <c r="AA1835" i="8"/>
  <c r="W1835" i="8"/>
  <c r="U1835" i="8"/>
  <c r="P1835" i="8"/>
  <c r="M1835" i="8"/>
  <c r="J1835" i="8"/>
  <c r="H1835" i="8"/>
  <c r="B1835" i="8"/>
  <c r="A1835" i="8"/>
  <c r="AA1834" i="8"/>
  <c r="W1834" i="8"/>
  <c r="U1834" i="8"/>
  <c r="M1834" i="8"/>
  <c r="J1834" i="8"/>
  <c r="H1834" i="8"/>
  <c r="B1834" i="8"/>
  <c r="A1834" i="8"/>
  <c r="AA1833" i="8"/>
  <c r="W1833" i="8"/>
  <c r="U1833" i="8"/>
  <c r="P1833" i="8"/>
  <c r="M1833" i="8"/>
  <c r="J1833" i="8"/>
  <c r="H1833" i="8"/>
  <c r="B1833" i="8"/>
  <c r="A1833" i="8"/>
  <c r="AA1832" i="8"/>
  <c r="W1832" i="8"/>
  <c r="U1832" i="8"/>
  <c r="P1832" i="8"/>
  <c r="M1832" i="8"/>
  <c r="J1832" i="8"/>
  <c r="H1832" i="8"/>
  <c r="B1832" i="8"/>
  <c r="A1832" i="8"/>
  <c r="AA1831" i="8"/>
  <c r="W1831" i="8"/>
  <c r="U1831" i="8"/>
  <c r="R1831" i="8"/>
  <c r="Q1831" i="8"/>
  <c r="P1831" i="8"/>
  <c r="M1831" i="8"/>
  <c r="J1831" i="8"/>
  <c r="H1831" i="8"/>
  <c r="B1831" i="8"/>
  <c r="A1831" i="8"/>
  <c r="AA1830" i="8"/>
  <c r="W1830" i="8"/>
  <c r="U1830" i="8"/>
  <c r="M1830" i="8"/>
  <c r="J1830" i="8"/>
  <c r="H1830" i="8"/>
  <c r="B1830" i="8"/>
  <c r="A1830" i="8"/>
  <c r="AA1829" i="8"/>
  <c r="W1829" i="8"/>
  <c r="U1829" i="8"/>
  <c r="P1829" i="8"/>
  <c r="M1829" i="8"/>
  <c r="J1829" i="8"/>
  <c r="H1829" i="8"/>
  <c r="B1829" i="8"/>
  <c r="A1829" i="8"/>
  <c r="AA1828" i="8"/>
  <c r="W1828" i="8"/>
  <c r="U1828" i="8"/>
  <c r="P1828" i="8"/>
  <c r="M1828" i="8"/>
  <c r="J1828" i="8"/>
  <c r="H1828" i="8"/>
  <c r="B1828" i="8"/>
  <c r="A1828" i="8"/>
  <c r="AA1827" i="8"/>
  <c r="W1827" i="8"/>
  <c r="U1827" i="8"/>
  <c r="P1827" i="8"/>
  <c r="M1827" i="8"/>
  <c r="J1827" i="8"/>
  <c r="H1827" i="8"/>
  <c r="B1827" i="8"/>
  <c r="A1827" i="8"/>
  <c r="AA1826" i="8"/>
  <c r="W1826" i="8"/>
  <c r="U1826" i="8"/>
  <c r="P1826" i="8"/>
  <c r="M1826" i="8"/>
  <c r="J1826" i="8"/>
  <c r="H1826" i="8"/>
  <c r="B1826" i="8"/>
  <c r="A1826" i="8"/>
  <c r="AA1825" i="8"/>
  <c r="W1825" i="8"/>
  <c r="U1825" i="8"/>
  <c r="P1825" i="8"/>
  <c r="M1825" i="8"/>
  <c r="J1825" i="8"/>
  <c r="H1825" i="8"/>
  <c r="B1825" i="8"/>
  <c r="A1825" i="8"/>
  <c r="AA1824" i="8"/>
  <c r="W1824" i="8"/>
  <c r="U1824" i="8"/>
  <c r="P1824" i="8"/>
  <c r="M1824" i="8"/>
  <c r="J1824" i="8"/>
  <c r="H1824" i="8"/>
  <c r="B1824" i="8"/>
  <c r="A1824" i="8"/>
  <c r="AA1823" i="8"/>
  <c r="W1823" i="8"/>
  <c r="U1823" i="8"/>
  <c r="M1823" i="8"/>
  <c r="J1823" i="8"/>
  <c r="H1823" i="8"/>
  <c r="B1823" i="8"/>
  <c r="A1823" i="8"/>
  <c r="AA1822" i="8"/>
  <c r="W1822" i="8"/>
  <c r="U1822" i="8"/>
  <c r="M1822" i="8"/>
  <c r="J1822" i="8"/>
  <c r="H1822" i="8"/>
  <c r="B1822" i="8"/>
  <c r="A1822" i="8"/>
  <c r="AA1821" i="8"/>
  <c r="W1821" i="8"/>
  <c r="U1821" i="8"/>
  <c r="P1821" i="8"/>
  <c r="M1821" i="8"/>
  <c r="J1821" i="8"/>
  <c r="H1821" i="8"/>
  <c r="B1821" i="8"/>
  <c r="A1821" i="8"/>
  <c r="AA1820" i="8"/>
  <c r="W1820" i="8"/>
  <c r="U1820" i="8"/>
  <c r="P1820" i="8"/>
  <c r="M1820" i="8"/>
  <c r="J1820" i="8"/>
  <c r="H1820" i="8"/>
  <c r="B1820" i="8"/>
  <c r="A1820" i="8"/>
  <c r="AA1819" i="8"/>
  <c r="W1819" i="8"/>
  <c r="U1819" i="8"/>
  <c r="R1819" i="8"/>
  <c r="Q1819" i="8"/>
  <c r="P1819" i="8"/>
  <c r="M1819" i="8"/>
  <c r="J1819" i="8"/>
  <c r="H1819" i="8"/>
  <c r="B1819" i="8"/>
  <c r="A1819" i="8"/>
  <c r="AA1818" i="8"/>
  <c r="W1818" i="8"/>
  <c r="U1818" i="8"/>
  <c r="P1818" i="8"/>
  <c r="M1818" i="8"/>
  <c r="J1818" i="8"/>
  <c r="H1818" i="8"/>
  <c r="B1818" i="8"/>
  <c r="A1818" i="8"/>
  <c r="AA1817" i="8"/>
  <c r="W1817" i="8"/>
  <c r="U1817" i="8"/>
  <c r="P1817" i="8"/>
  <c r="M1817" i="8"/>
  <c r="J1817" i="8"/>
  <c r="H1817" i="8"/>
  <c r="B1817" i="8"/>
  <c r="A1817" i="8"/>
  <c r="AA1816" i="8"/>
  <c r="W1816" i="8"/>
  <c r="U1816" i="8"/>
  <c r="P1816" i="8"/>
  <c r="M1816" i="8"/>
  <c r="J1816" i="8"/>
  <c r="H1816" i="8"/>
  <c r="B1816" i="8"/>
  <c r="A1816" i="8"/>
  <c r="AA1815" i="8"/>
  <c r="W1815" i="8"/>
  <c r="U1815" i="8"/>
  <c r="R1815" i="8"/>
  <c r="Q1815" i="8"/>
  <c r="M1815" i="8"/>
  <c r="J1815" i="8"/>
  <c r="H1815" i="8"/>
  <c r="B1815" i="8"/>
  <c r="A1815" i="8"/>
  <c r="AA1814" i="8"/>
  <c r="W1814" i="8"/>
  <c r="U1814" i="8"/>
  <c r="P1814" i="8"/>
  <c r="M1814" i="8"/>
  <c r="J1814" i="8"/>
  <c r="H1814" i="8"/>
  <c r="B1814" i="8"/>
  <c r="A1814" i="8"/>
  <c r="AA1813" i="8"/>
  <c r="W1813" i="8"/>
  <c r="U1813" i="8"/>
  <c r="P1813" i="8"/>
  <c r="M1813" i="8"/>
  <c r="J1813" i="8"/>
  <c r="H1813" i="8"/>
  <c r="B1813" i="8"/>
  <c r="A1813" i="8"/>
  <c r="AA1812" i="8"/>
  <c r="W1812" i="8"/>
  <c r="U1812" i="8"/>
  <c r="R1812" i="8"/>
  <c r="Q1812" i="8"/>
  <c r="P1812" i="8"/>
  <c r="M1812" i="8"/>
  <c r="J1812" i="8"/>
  <c r="H1812" i="8"/>
  <c r="B1812" i="8"/>
  <c r="A1812" i="8"/>
  <c r="AA1811" i="8"/>
  <c r="W1811" i="8"/>
  <c r="U1811" i="8"/>
  <c r="R1811" i="8"/>
  <c r="Q1811" i="8"/>
  <c r="P1811" i="8"/>
  <c r="M1811" i="8"/>
  <c r="J1811" i="8"/>
  <c r="H1811" i="8"/>
  <c r="B1811" i="8"/>
  <c r="A1811" i="8"/>
  <c r="AA1810" i="8"/>
  <c r="W1810" i="8"/>
  <c r="U1810" i="8"/>
  <c r="P1810" i="8"/>
  <c r="M1810" i="8"/>
  <c r="J1810" i="8"/>
  <c r="H1810" i="8"/>
  <c r="B1810" i="8"/>
  <c r="A1810" i="8"/>
  <c r="AA1809" i="8"/>
  <c r="W1809" i="8"/>
  <c r="U1809" i="8"/>
  <c r="P1809" i="8"/>
  <c r="M1809" i="8"/>
  <c r="J1809" i="8"/>
  <c r="H1809" i="8"/>
  <c r="B1809" i="8"/>
  <c r="A1809" i="8"/>
  <c r="AA1808" i="8"/>
  <c r="W1808" i="8"/>
  <c r="U1808" i="8"/>
  <c r="R1808" i="8"/>
  <c r="Q1808" i="8"/>
  <c r="M1808" i="8"/>
  <c r="J1808" i="8"/>
  <c r="H1808" i="8"/>
  <c r="B1808" i="8"/>
  <c r="A1808" i="8"/>
  <c r="AA1807" i="8"/>
  <c r="W1807" i="8"/>
  <c r="U1807" i="8"/>
  <c r="P1807" i="8"/>
  <c r="M1807" i="8"/>
  <c r="J1807" i="8"/>
  <c r="H1807" i="8"/>
  <c r="B1807" i="8"/>
  <c r="A1807" i="8"/>
  <c r="AA1806" i="8"/>
  <c r="W1806" i="8"/>
  <c r="U1806" i="8"/>
  <c r="P1806" i="8"/>
  <c r="M1806" i="8"/>
  <c r="J1806" i="8"/>
  <c r="H1806" i="8"/>
  <c r="B1806" i="8"/>
  <c r="A1806" i="8"/>
  <c r="AA1805" i="8"/>
  <c r="W1805" i="8"/>
  <c r="U1805" i="8"/>
  <c r="P1805" i="8"/>
  <c r="M1805" i="8"/>
  <c r="J1805" i="8"/>
  <c r="H1805" i="8"/>
  <c r="B1805" i="8"/>
  <c r="A1805" i="8"/>
  <c r="AA1804" i="8"/>
  <c r="W1804" i="8"/>
  <c r="U1804" i="8"/>
  <c r="P1804" i="8"/>
  <c r="M1804" i="8"/>
  <c r="J1804" i="8"/>
  <c r="H1804" i="8"/>
  <c r="B1804" i="8"/>
  <c r="A1804" i="8"/>
  <c r="AA1803" i="8"/>
  <c r="W1803" i="8"/>
  <c r="U1803" i="8"/>
  <c r="M1803" i="8"/>
  <c r="J1803" i="8"/>
  <c r="H1803" i="8"/>
  <c r="B1803" i="8"/>
  <c r="A1803" i="8"/>
  <c r="AA1802" i="8"/>
  <c r="W1802" i="8"/>
  <c r="U1802" i="8"/>
  <c r="R1802" i="8"/>
  <c r="Q1802" i="8"/>
  <c r="P1802" i="8"/>
  <c r="M1802" i="8"/>
  <c r="J1802" i="8"/>
  <c r="H1802" i="8"/>
  <c r="B1802" i="8"/>
  <c r="A1802" i="8"/>
  <c r="AA1801" i="8"/>
  <c r="W1801" i="8"/>
  <c r="U1801" i="8"/>
  <c r="P1801" i="8"/>
  <c r="M1801" i="8"/>
  <c r="J1801" i="8"/>
  <c r="H1801" i="8"/>
  <c r="B1801" i="8"/>
  <c r="A1801" i="8"/>
  <c r="AA1800" i="8"/>
  <c r="W1800" i="8"/>
  <c r="U1800" i="8"/>
  <c r="P1800" i="8"/>
  <c r="M1800" i="8"/>
  <c r="J1800" i="8"/>
  <c r="H1800" i="8"/>
  <c r="B1800" i="8"/>
  <c r="A1800" i="8"/>
  <c r="AA1799" i="8"/>
  <c r="W1799" i="8"/>
  <c r="U1799" i="8"/>
  <c r="P1799" i="8"/>
  <c r="M1799" i="8"/>
  <c r="J1799" i="8"/>
  <c r="H1799" i="8"/>
  <c r="B1799" i="8"/>
  <c r="A1799" i="8"/>
  <c r="AA1798" i="8"/>
  <c r="W1798" i="8"/>
  <c r="U1798" i="8"/>
  <c r="P1798" i="8"/>
  <c r="M1798" i="8"/>
  <c r="J1798" i="8"/>
  <c r="H1798" i="8"/>
  <c r="B1798" i="8"/>
  <c r="A1798" i="8"/>
  <c r="AA1797" i="8"/>
  <c r="W1797" i="8"/>
  <c r="U1797" i="8"/>
  <c r="M1797" i="8"/>
  <c r="J1797" i="8"/>
  <c r="H1797" i="8"/>
  <c r="B1797" i="8"/>
  <c r="A1797" i="8"/>
  <c r="AA1796" i="8"/>
  <c r="W1796" i="8"/>
  <c r="U1796" i="8"/>
  <c r="R1796" i="8"/>
  <c r="Q1796" i="8"/>
  <c r="P1796" i="8"/>
  <c r="M1796" i="8"/>
  <c r="J1796" i="8"/>
  <c r="H1796" i="8"/>
  <c r="B1796" i="8"/>
  <c r="A1796" i="8"/>
  <c r="AA1795" i="8"/>
  <c r="W1795" i="8"/>
  <c r="U1795" i="8"/>
  <c r="P1795" i="8"/>
  <c r="M1795" i="8"/>
  <c r="J1795" i="8"/>
  <c r="H1795" i="8"/>
  <c r="B1795" i="8"/>
  <c r="A1795" i="8"/>
  <c r="AA1794" i="8"/>
  <c r="W1794" i="8"/>
  <c r="U1794" i="8"/>
  <c r="P1794" i="8"/>
  <c r="M1794" i="8"/>
  <c r="J1794" i="8"/>
  <c r="H1794" i="8"/>
  <c r="B1794" i="8"/>
  <c r="A1794" i="8"/>
  <c r="AA1793" i="8"/>
  <c r="W1793" i="8"/>
  <c r="U1793" i="8"/>
  <c r="P1793" i="8"/>
  <c r="M1793" i="8"/>
  <c r="J1793" i="8"/>
  <c r="H1793" i="8"/>
  <c r="B1793" i="8"/>
  <c r="A1793" i="8"/>
  <c r="AA1792" i="8"/>
  <c r="W1792" i="8"/>
  <c r="U1792" i="8"/>
  <c r="M1792" i="8"/>
  <c r="J1792" i="8"/>
  <c r="H1792" i="8"/>
  <c r="B1792" i="8"/>
  <c r="A1792" i="8"/>
  <c r="AA1791" i="8"/>
  <c r="W1791" i="8"/>
  <c r="U1791" i="8"/>
  <c r="P1791" i="8"/>
  <c r="M1791" i="8"/>
  <c r="J1791" i="8"/>
  <c r="H1791" i="8"/>
  <c r="B1791" i="8"/>
  <c r="A1791" i="8"/>
  <c r="AA1790" i="8"/>
  <c r="W1790" i="8"/>
  <c r="U1790" i="8"/>
  <c r="P1790" i="8"/>
  <c r="M1790" i="8"/>
  <c r="J1790" i="8"/>
  <c r="H1790" i="8"/>
  <c r="B1790" i="8"/>
  <c r="A1790" i="8"/>
  <c r="AA1789" i="8"/>
  <c r="W1789" i="8"/>
  <c r="U1789" i="8"/>
  <c r="P1789" i="8"/>
  <c r="M1789" i="8"/>
  <c r="J1789" i="8"/>
  <c r="H1789" i="8"/>
  <c r="B1789" i="8"/>
  <c r="A1789" i="8"/>
  <c r="AA1788" i="8"/>
  <c r="W1788" i="8"/>
  <c r="U1788" i="8"/>
  <c r="P1788" i="8"/>
  <c r="M1788" i="8"/>
  <c r="J1788" i="8"/>
  <c r="H1788" i="8"/>
  <c r="B1788" i="8"/>
  <c r="A1788" i="8"/>
  <c r="AA1787" i="8"/>
  <c r="W1787" i="8"/>
  <c r="U1787" i="8"/>
  <c r="P1787" i="8"/>
  <c r="M1787" i="8"/>
  <c r="J1787" i="8"/>
  <c r="H1787" i="8"/>
  <c r="B1787" i="8"/>
  <c r="A1787" i="8"/>
  <c r="AA1786" i="8"/>
  <c r="W1786" i="8"/>
  <c r="U1786" i="8"/>
  <c r="P1786" i="8"/>
  <c r="M1786" i="8"/>
  <c r="J1786" i="8"/>
  <c r="H1786" i="8"/>
  <c r="B1786" i="8"/>
  <c r="A1786" i="8"/>
  <c r="AA1785" i="8"/>
  <c r="W1785" i="8"/>
  <c r="U1785" i="8"/>
  <c r="P1785" i="8"/>
  <c r="M1785" i="8"/>
  <c r="J1785" i="8"/>
  <c r="H1785" i="8"/>
  <c r="B1785" i="8"/>
  <c r="A1785" i="8"/>
  <c r="AA1784" i="8"/>
  <c r="W1784" i="8"/>
  <c r="U1784" i="8"/>
  <c r="P1784" i="8"/>
  <c r="M1784" i="8"/>
  <c r="J1784" i="8"/>
  <c r="H1784" i="8"/>
  <c r="B1784" i="8"/>
  <c r="A1784" i="8"/>
  <c r="AA1783" i="8"/>
  <c r="W1783" i="8"/>
  <c r="U1783" i="8"/>
  <c r="P1783" i="8"/>
  <c r="M1783" i="8"/>
  <c r="J1783" i="8"/>
  <c r="H1783" i="8"/>
  <c r="B1783" i="8"/>
  <c r="A1783" i="8"/>
  <c r="AA1782" i="8"/>
  <c r="W1782" i="8"/>
  <c r="U1782" i="8"/>
  <c r="P1782" i="8"/>
  <c r="M1782" i="8"/>
  <c r="J1782" i="8"/>
  <c r="H1782" i="8"/>
  <c r="B1782" i="8"/>
  <c r="A1782" i="8"/>
  <c r="AA1781" i="8"/>
  <c r="W1781" i="8"/>
  <c r="U1781" i="8"/>
  <c r="P1781" i="8"/>
  <c r="M1781" i="8"/>
  <c r="J1781" i="8"/>
  <c r="H1781" i="8"/>
  <c r="B1781" i="8"/>
  <c r="A1781" i="8"/>
  <c r="AA1780" i="8"/>
  <c r="W1780" i="8"/>
  <c r="U1780" i="8"/>
  <c r="P1780" i="8"/>
  <c r="M1780" i="8"/>
  <c r="J1780" i="8"/>
  <c r="H1780" i="8"/>
  <c r="B1780" i="8"/>
  <c r="A1780" i="8"/>
  <c r="AA1779" i="8"/>
  <c r="W1779" i="8"/>
  <c r="U1779" i="8"/>
  <c r="R1779" i="8"/>
  <c r="Q1779" i="8"/>
  <c r="M1779" i="8"/>
  <c r="J1779" i="8"/>
  <c r="H1779" i="8"/>
  <c r="B1779" i="8"/>
  <c r="A1779" i="8"/>
  <c r="AA1778" i="8"/>
  <c r="W1778" i="8"/>
  <c r="U1778" i="8"/>
  <c r="R1778" i="8"/>
  <c r="Q1778" i="8"/>
  <c r="M1778" i="8"/>
  <c r="J1778" i="8"/>
  <c r="H1778" i="8"/>
  <c r="B1778" i="8"/>
  <c r="A1778" i="8"/>
  <c r="AA1777" i="8"/>
  <c r="W1777" i="8"/>
  <c r="U1777" i="8"/>
  <c r="P1777" i="8"/>
  <c r="M1777" i="8"/>
  <c r="J1777" i="8"/>
  <c r="H1777" i="8"/>
  <c r="B1777" i="8"/>
  <c r="A1777" i="8"/>
  <c r="AA1776" i="8"/>
  <c r="W1776" i="8"/>
  <c r="U1776" i="8"/>
  <c r="P1776" i="8"/>
  <c r="M1776" i="8"/>
  <c r="J1776" i="8"/>
  <c r="H1776" i="8"/>
  <c r="B1776" i="8"/>
  <c r="A1776" i="8"/>
  <c r="AA1775" i="8"/>
  <c r="W1775" i="8"/>
  <c r="U1775" i="8"/>
  <c r="M1775" i="8"/>
  <c r="J1775" i="8"/>
  <c r="H1775" i="8"/>
  <c r="B1775" i="8"/>
  <c r="A1775" i="8"/>
  <c r="AA1774" i="8"/>
  <c r="W1774" i="8"/>
  <c r="U1774" i="8"/>
  <c r="P1774" i="8"/>
  <c r="M1774" i="8"/>
  <c r="J1774" i="8"/>
  <c r="H1774" i="8"/>
  <c r="B1774" i="8"/>
  <c r="A1774" i="8"/>
  <c r="AA1773" i="8"/>
  <c r="W1773" i="8"/>
  <c r="U1773" i="8"/>
  <c r="M1773" i="8"/>
  <c r="J1773" i="8"/>
  <c r="H1773" i="8"/>
  <c r="B1773" i="8"/>
  <c r="A1773" i="8"/>
  <c r="AA1772" i="8"/>
  <c r="W1772" i="8"/>
  <c r="U1772" i="8"/>
  <c r="M1772" i="8"/>
  <c r="J1772" i="8"/>
  <c r="H1772" i="8"/>
  <c r="B1772" i="8"/>
  <c r="A1772" i="8"/>
  <c r="AA1771" i="8"/>
  <c r="W1771" i="8"/>
  <c r="U1771" i="8"/>
  <c r="P1771" i="8"/>
  <c r="M1771" i="8"/>
  <c r="J1771" i="8"/>
  <c r="H1771" i="8"/>
  <c r="B1771" i="8"/>
  <c r="A1771" i="8"/>
  <c r="AA1770" i="8"/>
  <c r="W1770" i="8"/>
  <c r="U1770" i="8"/>
  <c r="P1770" i="8"/>
  <c r="M1770" i="8"/>
  <c r="J1770" i="8"/>
  <c r="H1770" i="8"/>
  <c r="B1770" i="8"/>
  <c r="A1770" i="8"/>
  <c r="AA1769" i="8"/>
  <c r="W1769" i="8"/>
  <c r="U1769" i="8"/>
  <c r="P1769" i="8"/>
  <c r="M1769" i="8"/>
  <c r="J1769" i="8"/>
  <c r="H1769" i="8"/>
  <c r="B1769" i="8"/>
  <c r="A1769" i="8"/>
  <c r="AA1768" i="8"/>
  <c r="W1768" i="8"/>
  <c r="U1768" i="8"/>
  <c r="R1768" i="8"/>
  <c r="Q1768" i="8"/>
  <c r="P1768" i="8"/>
  <c r="M1768" i="8"/>
  <c r="J1768" i="8"/>
  <c r="H1768" i="8"/>
  <c r="B1768" i="8"/>
  <c r="A1768" i="8"/>
  <c r="AA1767" i="8"/>
  <c r="W1767" i="8"/>
  <c r="U1767" i="8"/>
  <c r="R1767" i="8"/>
  <c r="Q1767" i="8"/>
  <c r="P1767" i="8"/>
  <c r="M1767" i="8"/>
  <c r="J1767" i="8"/>
  <c r="H1767" i="8"/>
  <c r="B1767" i="8"/>
  <c r="A1767" i="8"/>
  <c r="AA1766" i="8"/>
  <c r="W1766" i="8"/>
  <c r="U1766" i="8"/>
  <c r="P1766" i="8"/>
  <c r="M1766" i="8"/>
  <c r="J1766" i="8"/>
  <c r="H1766" i="8"/>
  <c r="B1766" i="8"/>
  <c r="A1766" i="8"/>
  <c r="AA1765" i="8"/>
  <c r="W1765" i="8"/>
  <c r="U1765" i="8"/>
  <c r="P1765" i="8"/>
  <c r="M1765" i="8"/>
  <c r="J1765" i="8"/>
  <c r="H1765" i="8"/>
  <c r="B1765" i="8"/>
  <c r="A1765" i="8"/>
  <c r="AA1764" i="8"/>
  <c r="W1764" i="8"/>
  <c r="U1764" i="8"/>
  <c r="R1764" i="8"/>
  <c r="Q1764" i="8"/>
  <c r="P1764" i="8"/>
  <c r="M1764" i="8"/>
  <c r="J1764" i="8"/>
  <c r="H1764" i="8"/>
  <c r="B1764" i="8"/>
  <c r="A1764" i="8"/>
  <c r="AA1763" i="8"/>
  <c r="W1763" i="8"/>
  <c r="U1763" i="8"/>
  <c r="P1763" i="8"/>
  <c r="M1763" i="8"/>
  <c r="J1763" i="8"/>
  <c r="H1763" i="8"/>
  <c r="B1763" i="8"/>
  <c r="A1763" i="8"/>
  <c r="AA1762" i="8"/>
  <c r="W1762" i="8"/>
  <c r="U1762" i="8"/>
  <c r="P1762" i="8"/>
  <c r="M1762" i="8"/>
  <c r="J1762" i="8"/>
  <c r="H1762" i="8"/>
  <c r="B1762" i="8"/>
  <c r="A1762" i="8"/>
  <c r="AA1761" i="8"/>
  <c r="W1761" i="8"/>
  <c r="U1761" i="8"/>
  <c r="P1761" i="8"/>
  <c r="M1761" i="8"/>
  <c r="J1761" i="8"/>
  <c r="H1761" i="8"/>
  <c r="B1761" i="8"/>
  <c r="A1761" i="8"/>
  <c r="AA1760" i="8"/>
  <c r="W1760" i="8"/>
  <c r="U1760" i="8"/>
  <c r="P1760" i="8"/>
  <c r="M1760" i="8"/>
  <c r="J1760" i="8"/>
  <c r="H1760" i="8"/>
  <c r="B1760" i="8"/>
  <c r="A1760" i="8"/>
  <c r="AA1759" i="8"/>
  <c r="W1759" i="8"/>
  <c r="U1759" i="8"/>
  <c r="P1759" i="8"/>
  <c r="M1759" i="8"/>
  <c r="J1759" i="8"/>
  <c r="H1759" i="8"/>
  <c r="B1759" i="8"/>
  <c r="A1759" i="8"/>
  <c r="AA1758" i="8"/>
  <c r="W1758" i="8"/>
  <c r="U1758" i="8"/>
  <c r="P1758" i="8"/>
  <c r="M1758" i="8"/>
  <c r="J1758" i="8"/>
  <c r="H1758" i="8"/>
  <c r="B1758" i="8"/>
  <c r="A1758" i="8"/>
  <c r="AA1757" i="8"/>
  <c r="W1757" i="8"/>
  <c r="U1757" i="8"/>
  <c r="R1757" i="8"/>
  <c r="Q1757" i="8"/>
  <c r="M1757" i="8"/>
  <c r="J1757" i="8"/>
  <c r="H1757" i="8"/>
  <c r="B1757" i="8"/>
  <c r="A1757" i="8"/>
  <c r="AA1756" i="8"/>
  <c r="W1756" i="8"/>
  <c r="U1756" i="8"/>
  <c r="P1756" i="8"/>
  <c r="M1756" i="8"/>
  <c r="J1756" i="8"/>
  <c r="H1756" i="8"/>
  <c r="B1756" i="8"/>
  <c r="A1756" i="8"/>
  <c r="AA1755" i="8"/>
  <c r="W1755" i="8"/>
  <c r="U1755" i="8"/>
  <c r="P1755" i="8"/>
  <c r="M1755" i="8"/>
  <c r="J1755" i="8"/>
  <c r="H1755" i="8"/>
  <c r="B1755" i="8"/>
  <c r="A1755" i="8"/>
  <c r="AA1754" i="8"/>
  <c r="W1754" i="8"/>
  <c r="U1754" i="8"/>
  <c r="P1754" i="8"/>
  <c r="M1754" i="8"/>
  <c r="J1754" i="8"/>
  <c r="H1754" i="8"/>
  <c r="B1754" i="8"/>
  <c r="A1754" i="8"/>
  <c r="AA1753" i="8"/>
  <c r="W1753" i="8"/>
  <c r="U1753" i="8"/>
  <c r="P1753" i="8"/>
  <c r="M1753" i="8"/>
  <c r="J1753" i="8"/>
  <c r="H1753" i="8"/>
  <c r="B1753" i="8"/>
  <c r="A1753" i="8"/>
  <c r="AA1752" i="8"/>
  <c r="W1752" i="8"/>
  <c r="U1752" i="8"/>
  <c r="R1752" i="8"/>
  <c r="Q1752" i="8"/>
  <c r="P1752" i="8"/>
  <c r="M1752" i="8"/>
  <c r="J1752" i="8"/>
  <c r="H1752" i="8"/>
  <c r="B1752" i="8"/>
  <c r="A1752" i="8"/>
  <c r="AA1751" i="8"/>
  <c r="W1751" i="8"/>
  <c r="U1751" i="8"/>
  <c r="P1751" i="8"/>
  <c r="M1751" i="8"/>
  <c r="J1751" i="8"/>
  <c r="H1751" i="8"/>
  <c r="B1751" i="8"/>
  <c r="A1751" i="8"/>
  <c r="AA1750" i="8"/>
  <c r="W1750" i="8"/>
  <c r="U1750" i="8"/>
  <c r="P1750" i="8"/>
  <c r="M1750" i="8"/>
  <c r="J1750" i="8"/>
  <c r="H1750" i="8"/>
  <c r="B1750" i="8"/>
  <c r="A1750" i="8"/>
  <c r="AA1749" i="8"/>
  <c r="W1749" i="8"/>
  <c r="U1749" i="8"/>
  <c r="P1749" i="8"/>
  <c r="M1749" i="8"/>
  <c r="J1749" i="8"/>
  <c r="H1749" i="8"/>
  <c r="B1749" i="8"/>
  <c r="A1749" i="8"/>
  <c r="AA1748" i="8"/>
  <c r="W1748" i="8"/>
  <c r="U1748" i="8"/>
  <c r="P1748" i="8"/>
  <c r="M1748" i="8"/>
  <c r="J1748" i="8"/>
  <c r="H1748" i="8"/>
  <c r="B1748" i="8"/>
  <c r="A1748" i="8"/>
  <c r="AA1747" i="8"/>
  <c r="W1747" i="8"/>
  <c r="U1747" i="8"/>
  <c r="P1747" i="8"/>
  <c r="M1747" i="8"/>
  <c r="J1747" i="8"/>
  <c r="H1747" i="8"/>
  <c r="B1747" i="8"/>
  <c r="A1747" i="8"/>
  <c r="AA1746" i="8"/>
  <c r="W1746" i="8"/>
  <c r="U1746" i="8"/>
  <c r="P1746" i="8"/>
  <c r="M1746" i="8"/>
  <c r="J1746" i="8"/>
  <c r="H1746" i="8"/>
  <c r="B1746" i="8"/>
  <c r="A1746" i="8"/>
  <c r="AA1745" i="8"/>
  <c r="W1745" i="8"/>
  <c r="U1745" i="8"/>
  <c r="P1745" i="8"/>
  <c r="M1745" i="8"/>
  <c r="J1745" i="8"/>
  <c r="H1745" i="8"/>
  <c r="B1745" i="8"/>
  <c r="A1745" i="8"/>
  <c r="AA1744" i="8"/>
  <c r="W1744" i="8"/>
  <c r="U1744" i="8"/>
  <c r="P1744" i="8"/>
  <c r="M1744" i="8"/>
  <c r="J1744" i="8"/>
  <c r="H1744" i="8"/>
  <c r="B1744" i="8"/>
  <c r="A1744" i="8"/>
  <c r="AA1743" i="8"/>
  <c r="W1743" i="8"/>
  <c r="U1743" i="8"/>
  <c r="R1743" i="8"/>
  <c r="Q1743" i="8"/>
  <c r="P1743" i="8"/>
  <c r="M1743" i="8"/>
  <c r="J1743" i="8"/>
  <c r="H1743" i="8"/>
  <c r="B1743" i="8"/>
  <c r="A1743" i="8"/>
  <c r="AA1742" i="8"/>
  <c r="W1742" i="8"/>
  <c r="U1742" i="8"/>
  <c r="P1742" i="8"/>
  <c r="M1742" i="8"/>
  <c r="J1742" i="8"/>
  <c r="H1742" i="8"/>
  <c r="B1742" i="8"/>
  <c r="A1742" i="8"/>
  <c r="AA1741" i="8"/>
  <c r="W1741" i="8"/>
  <c r="U1741" i="8"/>
  <c r="M1741" i="8"/>
  <c r="J1741" i="8"/>
  <c r="H1741" i="8"/>
  <c r="B1741" i="8"/>
  <c r="A1741" i="8"/>
  <c r="AA1740" i="8"/>
  <c r="W1740" i="8"/>
  <c r="U1740" i="8"/>
  <c r="R1740" i="8"/>
  <c r="Q1740" i="8"/>
  <c r="M1740" i="8"/>
  <c r="J1740" i="8"/>
  <c r="H1740" i="8"/>
  <c r="B1740" i="8"/>
  <c r="A1740" i="8"/>
  <c r="AA1739" i="8"/>
  <c r="W1739" i="8"/>
  <c r="U1739" i="8"/>
  <c r="P1739" i="8"/>
  <c r="M1739" i="8"/>
  <c r="J1739" i="8"/>
  <c r="H1739" i="8"/>
  <c r="B1739" i="8"/>
  <c r="A1739" i="8"/>
  <c r="AA1738" i="8"/>
  <c r="W1738" i="8"/>
  <c r="U1738" i="8"/>
  <c r="P1738" i="8"/>
  <c r="M1738" i="8"/>
  <c r="J1738" i="8"/>
  <c r="H1738" i="8"/>
  <c r="B1738" i="8"/>
  <c r="A1738" i="8"/>
  <c r="AA1737" i="8"/>
  <c r="W1737" i="8"/>
  <c r="U1737" i="8"/>
  <c r="P1737" i="8"/>
  <c r="M1737" i="8"/>
  <c r="J1737" i="8"/>
  <c r="H1737" i="8"/>
  <c r="B1737" i="8"/>
  <c r="A1737" i="8"/>
  <c r="AA1736" i="8"/>
  <c r="W1736" i="8"/>
  <c r="U1736" i="8"/>
  <c r="P1736" i="8"/>
  <c r="M1736" i="8"/>
  <c r="J1736" i="8"/>
  <c r="H1736" i="8"/>
  <c r="B1736" i="8"/>
  <c r="A1736" i="8"/>
  <c r="AA1735" i="8"/>
  <c r="W1735" i="8"/>
  <c r="U1735" i="8"/>
  <c r="P1735" i="8"/>
  <c r="M1735" i="8"/>
  <c r="J1735" i="8"/>
  <c r="H1735" i="8"/>
  <c r="B1735" i="8"/>
  <c r="A1735" i="8"/>
  <c r="AA1734" i="8"/>
  <c r="W1734" i="8"/>
  <c r="U1734" i="8"/>
  <c r="P1734" i="8"/>
  <c r="M1734" i="8"/>
  <c r="J1734" i="8"/>
  <c r="H1734" i="8"/>
  <c r="B1734" i="8"/>
  <c r="A1734" i="8"/>
  <c r="AA1733" i="8"/>
  <c r="W1733" i="8"/>
  <c r="U1733" i="8"/>
  <c r="P1733" i="8"/>
  <c r="M1733" i="8"/>
  <c r="J1733" i="8"/>
  <c r="H1733" i="8"/>
  <c r="B1733" i="8"/>
  <c r="A1733" i="8"/>
  <c r="AA1732" i="8"/>
  <c r="W1732" i="8"/>
  <c r="U1732" i="8"/>
  <c r="R1732" i="8"/>
  <c r="Q1732" i="8"/>
  <c r="M1732" i="8"/>
  <c r="J1732" i="8"/>
  <c r="H1732" i="8"/>
  <c r="B1732" i="8"/>
  <c r="A1732" i="8"/>
  <c r="AA1731" i="8"/>
  <c r="W1731" i="8"/>
  <c r="U1731" i="8"/>
  <c r="R1731" i="8"/>
  <c r="Q1731" i="8"/>
  <c r="M1731" i="8"/>
  <c r="J1731" i="8"/>
  <c r="H1731" i="8"/>
  <c r="B1731" i="8"/>
  <c r="A1731" i="8"/>
  <c r="AA1730" i="8"/>
  <c r="W1730" i="8"/>
  <c r="U1730" i="8"/>
  <c r="R1730" i="8"/>
  <c r="Q1730" i="8"/>
  <c r="M1730" i="8"/>
  <c r="J1730" i="8"/>
  <c r="H1730" i="8"/>
  <c r="B1730" i="8"/>
  <c r="A1730" i="8"/>
  <c r="AA1729" i="8"/>
  <c r="W1729" i="8"/>
  <c r="U1729" i="8"/>
  <c r="M1729" i="8"/>
  <c r="J1729" i="8"/>
  <c r="H1729" i="8"/>
  <c r="B1729" i="8"/>
  <c r="A1729" i="8"/>
  <c r="AA1728" i="8"/>
  <c r="W1728" i="8"/>
  <c r="U1728" i="8"/>
  <c r="M1728" i="8"/>
  <c r="J1728" i="8"/>
  <c r="H1728" i="8"/>
  <c r="B1728" i="8"/>
  <c r="A1728" i="8"/>
  <c r="AA1727" i="8"/>
  <c r="W1727" i="8"/>
  <c r="U1727" i="8"/>
  <c r="P1727" i="8"/>
  <c r="M1727" i="8"/>
  <c r="J1727" i="8"/>
  <c r="H1727" i="8"/>
  <c r="B1727" i="8"/>
  <c r="A1727" i="8"/>
  <c r="AA1726" i="8"/>
  <c r="W1726" i="8"/>
  <c r="U1726" i="8"/>
  <c r="P1726" i="8"/>
  <c r="M1726" i="8"/>
  <c r="J1726" i="8"/>
  <c r="H1726" i="8"/>
  <c r="B1726" i="8"/>
  <c r="A1726" i="8"/>
  <c r="AA1725" i="8"/>
  <c r="W1725" i="8"/>
  <c r="U1725" i="8"/>
  <c r="M1725" i="8"/>
  <c r="J1725" i="8"/>
  <c r="H1725" i="8"/>
  <c r="B1725" i="8"/>
  <c r="A1725" i="8"/>
  <c r="AA1724" i="8"/>
  <c r="W1724" i="8"/>
  <c r="U1724" i="8"/>
  <c r="P1724" i="8"/>
  <c r="M1724" i="8"/>
  <c r="J1724" i="8"/>
  <c r="H1724" i="8"/>
  <c r="B1724" i="8"/>
  <c r="A1724" i="8"/>
  <c r="AA1723" i="8"/>
  <c r="W1723" i="8"/>
  <c r="U1723" i="8"/>
  <c r="P1723" i="8"/>
  <c r="M1723" i="8"/>
  <c r="J1723" i="8"/>
  <c r="H1723" i="8"/>
  <c r="B1723" i="8"/>
  <c r="A1723" i="8"/>
  <c r="AA1722" i="8"/>
  <c r="W1722" i="8"/>
  <c r="U1722" i="8"/>
  <c r="P1722" i="8"/>
  <c r="M1722" i="8"/>
  <c r="J1722" i="8"/>
  <c r="H1722" i="8"/>
  <c r="B1722" i="8"/>
  <c r="A1722" i="8"/>
  <c r="AA1721" i="8"/>
  <c r="W1721" i="8"/>
  <c r="U1721" i="8"/>
  <c r="P1721" i="8"/>
  <c r="M1721" i="8"/>
  <c r="J1721" i="8"/>
  <c r="H1721" i="8"/>
  <c r="B1721" i="8"/>
  <c r="A1721" i="8"/>
  <c r="AA1720" i="8"/>
  <c r="W1720" i="8"/>
  <c r="U1720" i="8"/>
  <c r="P1720" i="8"/>
  <c r="M1720" i="8"/>
  <c r="J1720" i="8"/>
  <c r="H1720" i="8"/>
  <c r="B1720" i="8"/>
  <c r="A1720" i="8"/>
  <c r="AA1719" i="8"/>
  <c r="W1719" i="8"/>
  <c r="U1719" i="8"/>
  <c r="P1719" i="8"/>
  <c r="M1719" i="8"/>
  <c r="J1719" i="8"/>
  <c r="H1719" i="8"/>
  <c r="B1719" i="8"/>
  <c r="A1719" i="8"/>
  <c r="AA1718" i="8"/>
  <c r="W1718" i="8"/>
  <c r="U1718" i="8"/>
  <c r="P1718" i="8"/>
  <c r="M1718" i="8"/>
  <c r="J1718" i="8"/>
  <c r="H1718" i="8"/>
  <c r="B1718" i="8"/>
  <c r="A1718" i="8"/>
  <c r="AA1717" i="8"/>
  <c r="W1717" i="8"/>
  <c r="U1717" i="8"/>
  <c r="P1717" i="8"/>
  <c r="M1717" i="8"/>
  <c r="J1717" i="8"/>
  <c r="H1717" i="8"/>
  <c r="B1717" i="8"/>
  <c r="A1717" i="8"/>
  <c r="AA1716" i="8"/>
  <c r="W1716" i="8"/>
  <c r="U1716" i="8"/>
  <c r="M1716" i="8"/>
  <c r="J1716" i="8"/>
  <c r="H1716" i="8"/>
  <c r="B1716" i="8"/>
  <c r="A1716" i="8"/>
  <c r="AA1715" i="8"/>
  <c r="W1715" i="8"/>
  <c r="U1715" i="8"/>
  <c r="P1715" i="8"/>
  <c r="M1715" i="8"/>
  <c r="J1715" i="8"/>
  <c r="H1715" i="8"/>
  <c r="B1715" i="8"/>
  <c r="A1715" i="8"/>
  <c r="AA1714" i="8"/>
  <c r="W1714" i="8"/>
  <c r="U1714" i="8"/>
  <c r="P1714" i="8"/>
  <c r="M1714" i="8"/>
  <c r="J1714" i="8"/>
  <c r="H1714" i="8"/>
  <c r="B1714" i="8"/>
  <c r="A1714" i="8"/>
  <c r="AA1713" i="8"/>
  <c r="W1713" i="8"/>
  <c r="U1713" i="8"/>
  <c r="P1713" i="8"/>
  <c r="M1713" i="8"/>
  <c r="J1713" i="8"/>
  <c r="H1713" i="8"/>
  <c r="B1713" i="8"/>
  <c r="A1713" i="8"/>
  <c r="AA1712" i="8"/>
  <c r="W1712" i="8"/>
  <c r="U1712" i="8"/>
  <c r="M1712" i="8"/>
  <c r="J1712" i="8"/>
  <c r="H1712" i="8"/>
  <c r="B1712" i="8"/>
  <c r="A1712" i="8"/>
  <c r="AA1711" i="8"/>
  <c r="W1711" i="8"/>
  <c r="U1711" i="8"/>
  <c r="P1711" i="8"/>
  <c r="M1711" i="8"/>
  <c r="J1711" i="8"/>
  <c r="H1711" i="8"/>
  <c r="B1711" i="8"/>
  <c r="A1711" i="8"/>
  <c r="AA1710" i="8"/>
  <c r="W1710" i="8"/>
  <c r="U1710" i="8"/>
  <c r="P1710" i="8"/>
  <c r="M1710" i="8"/>
  <c r="J1710" i="8"/>
  <c r="H1710" i="8"/>
  <c r="B1710" i="8"/>
  <c r="A1710" i="8"/>
  <c r="AA1709" i="8"/>
  <c r="W1709" i="8"/>
  <c r="U1709" i="8"/>
  <c r="R1709" i="8"/>
  <c r="Q1709" i="8"/>
  <c r="P1709" i="8"/>
  <c r="M1709" i="8"/>
  <c r="J1709" i="8"/>
  <c r="H1709" i="8"/>
  <c r="B1709" i="8"/>
  <c r="A1709" i="8"/>
  <c r="AA1708" i="8"/>
  <c r="W1708" i="8"/>
  <c r="U1708" i="8"/>
  <c r="P1708" i="8"/>
  <c r="M1708" i="8"/>
  <c r="J1708" i="8"/>
  <c r="H1708" i="8"/>
  <c r="B1708" i="8"/>
  <c r="A1708" i="8"/>
  <c r="AA1707" i="8"/>
  <c r="W1707" i="8"/>
  <c r="U1707" i="8"/>
  <c r="P1707" i="8"/>
  <c r="M1707" i="8"/>
  <c r="J1707" i="8"/>
  <c r="H1707" i="8"/>
  <c r="B1707" i="8"/>
  <c r="A1707" i="8"/>
  <c r="AA1706" i="8"/>
  <c r="W1706" i="8"/>
  <c r="U1706" i="8"/>
  <c r="M1706" i="8"/>
  <c r="J1706" i="8"/>
  <c r="H1706" i="8"/>
  <c r="B1706" i="8"/>
  <c r="A1706" i="8"/>
  <c r="AA1705" i="8"/>
  <c r="W1705" i="8"/>
  <c r="U1705" i="8"/>
  <c r="P1705" i="8"/>
  <c r="M1705" i="8"/>
  <c r="J1705" i="8"/>
  <c r="H1705" i="8"/>
  <c r="B1705" i="8"/>
  <c r="A1705" i="8"/>
  <c r="AA1704" i="8"/>
  <c r="W1704" i="8"/>
  <c r="U1704" i="8"/>
  <c r="M1704" i="8"/>
  <c r="J1704" i="8"/>
  <c r="H1704" i="8"/>
  <c r="B1704" i="8"/>
  <c r="A1704" i="8"/>
  <c r="AA1703" i="8"/>
  <c r="W1703" i="8"/>
  <c r="U1703" i="8"/>
  <c r="R1703" i="8"/>
  <c r="Q1703" i="8"/>
  <c r="P1703" i="8"/>
  <c r="M1703" i="8"/>
  <c r="J1703" i="8"/>
  <c r="H1703" i="8"/>
  <c r="B1703" i="8"/>
  <c r="A1703" i="8"/>
  <c r="AA1702" i="8"/>
  <c r="W1702" i="8"/>
  <c r="U1702" i="8"/>
  <c r="M1702" i="8"/>
  <c r="J1702" i="8"/>
  <c r="H1702" i="8"/>
  <c r="B1702" i="8"/>
  <c r="A1702" i="8"/>
  <c r="AA1701" i="8"/>
  <c r="W1701" i="8"/>
  <c r="U1701" i="8"/>
  <c r="P1701" i="8"/>
  <c r="M1701" i="8"/>
  <c r="J1701" i="8"/>
  <c r="H1701" i="8"/>
  <c r="B1701" i="8"/>
  <c r="A1701" i="8"/>
  <c r="AA1700" i="8"/>
  <c r="W1700" i="8"/>
  <c r="U1700" i="8"/>
  <c r="P1700" i="8"/>
  <c r="M1700" i="8"/>
  <c r="J1700" i="8"/>
  <c r="H1700" i="8"/>
  <c r="B1700" i="8"/>
  <c r="A1700" i="8"/>
  <c r="AA1699" i="8"/>
  <c r="W1699" i="8"/>
  <c r="U1699" i="8"/>
  <c r="P1699" i="8"/>
  <c r="M1699" i="8"/>
  <c r="J1699" i="8"/>
  <c r="H1699" i="8"/>
  <c r="B1699" i="8"/>
  <c r="A1699" i="8"/>
  <c r="AA1698" i="8"/>
  <c r="W1698" i="8"/>
  <c r="U1698" i="8"/>
  <c r="P1698" i="8"/>
  <c r="M1698" i="8"/>
  <c r="J1698" i="8"/>
  <c r="H1698" i="8"/>
  <c r="B1698" i="8"/>
  <c r="A1698" i="8"/>
  <c r="AA1697" i="8"/>
  <c r="W1697" i="8"/>
  <c r="U1697" i="8"/>
  <c r="P1697" i="8"/>
  <c r="M1697" i="8"/>
  <c r="J1697" i="8"/>
  <c r="H1697" i="8"/>
  <c r="B1697" i="8"/>
  <c r="A1697" i="8"/>
  <c r="AA1696" i="8"/>
  <c r="W1696" i="8"/>
  <c r="U1696" i="8"/>
  <c r="M1696" i="8"/>
  <c r="J1696" i="8"/>
  <c r="H1696" i="8"/>
  <c r="B1696" i="8"/>
  <c r="A1696" i="8"/>
  <c r="AA1695" i="8"/>
  <c r="W1695" i="8"/>
  <c r="U1695" i="8"/>
  <c r="P1695" i="8"/>
  <c r="M1695" i="8"/>
  <c r="J1695" i="8"/>
  <c r="H1695" i="8"/>
  <c r="B1695" i="8"/>
  <c r="A1695" i="8"/>
  <c r="AA1694" i="8"/>
  <c r="W1694" i="8"/>
  <c r="U1694" i="8"/>
  <c r="R1694" i="8"/>
  <c r="Q1694" i="8"/>
  <c r="M1694" i="8"/>
  <c r="J1694" i="8"/>
  <c r="H1694" i="8"/>
  <c r="B1694" i="8"/>
  <c r="A1694" i="8"/>
  <c r="AA1693" i="8"/>
  <c r="W1693" i="8"/>
  <c r="U1693" i="8"/>
  <c r="M1693" i="8"/>
  <c r="J1693" i="8"/>
  <c r="H1693" i="8"/>
  <c r="B1693" i="8"/>
  <c r="A1693" i="8"/>
  <c r="AA1692" i="8"/>
  <c r="W1692" i="8"/>
  <c r="U1692" i="8"/>
  <c r="M1692" i="8"/>
  <c r="J1692" i="8"/>
  <c r="H1692" i="8"/>
  <c r="B1692" i="8"/>
  <c r="A1692" i="8"/>
  <c r="AA1691" i="8"/>
  <c r="W1691" i="8"/>
  <c r="U1691" i="8"/>
  <c r="M1691" i="8"/>
  <c r="J1691" i="8"/>
  <c r="H1691" i="8"/>
  <c r="B1691" i="8"/>
  <c r="A1691" i="8"/>
  <c r="AA1690" i="8"/>
  <c r="W1690" i="8"/>
  <c r="U1690" i="8"/>
  <c r="P1690" i="8"/>
  <c r="M1690" i="8"/>
  <c r="J1690" i="8"/>
  <c r="H1690" i="8"/>
  <c r="B1690" i="8"/>
  <c r="A1690" i="8"/>
  <c r="AA1689" i="8"/>
  <c r="W1689" i="8"/>
  <c r="U1689" i="8"/>
  <c r="P1689" i="8"/>
  <c r="M1689" i="8"/>
  <c r="J1689" i="8"/>
  <c r="H1689" i="8"/>
  <c r="B1689" i="8"/>
  <c r="A1689" i="8"/>
  <c r="AA1688" i="8"/>
  <c r="W1688" i="8"/>
  <c r="U1688" i="8"/>
  <c r="P1688" i="8"/>
  <c r="M1688" i="8"/>
  <c r="J1688" i="8"/>
  <c r="H1688" i="8"/>
  <c r="B1688" i="8"/>
  <c r="A1688" i="8"/>
  <c r="AA1687" i="8"/>
  <c r="W1687" i="8"/>
  <c r="U1687" i="8"/>
  <c r="P1687" i="8"/>
  <c r="M1687" i="8"/>
  <c r="J1687" i="8"/>
  <c r="H1687" i="8"/>
  <c r="B1687" i="8"/>
  <c r="A1687" i="8"/>
  <c r="AA1686" i="8"/>
  <c r="W1686" i="8"/>
  <c r="U1686" i="8"/>
  <c r="P1686" i="8"/>
  <c r="M1686" i="8"/>
  <c r="J1686" i="8"/>
  <c r="H1686" i="8"/>
  <c r="B1686" i="8"/>
  <c r="A1686" i="8"/>
  <c r="AA1685" i="8"/>
  <c r="W1685" i="8"/>
  <c r="U1685" i="8"/>
  <c r="P1685" i="8"/>
  <c r="M1685" i="8"/>
  <c r="J1685" i="8"/>
  <c r="H1685" i="8"/>
  <c r="B1685" i="8"/>
  <c r="A1685" i="8"/>
  <c r="AA1684" i="8"/>
  <c r="W1684" i="8"/>
  <c r="U1684" i="8"/>
  <c r="R1684" i="8"/>
  <c r="Q1684" i="8"/>
  <c r="P1684" i="8"/>
  <c r="M1684" i="8"/>
  <c r="J1684" i="8"/>
  <c r="H1684" i="8"/>
  <c r="B1684" i="8"/>
  <c r="A1684" i="8"/>
  <c r="AA1683" i="8"/>
  <c r="W1683" i="8"/>
  <c r="U1683" i="8"/>
  <c r="R1683" i="8"/>
  <c r="Q1683" i="8"/>
  <c r="M1683" i="8"/>
  <c r="J1683" i="8"/>
  <c r="H1683" i="8"/>
  <c r="B1683" i="8"/>
  <c r="A1683" i="8"/>
  <c r="AA1682" i="8"/>
  <c r="W1682" i="8"/>
  <c r="U1682" i="8"/>
  <c r="P1682" i="8"/>
  <c r="M1682" i="8"/>
  <c r="J1682" i="8"/>
  <c r="H1682" i="8"/>
  <c r="B1682" i="8"/>
  <c r="A1682" i="8"/>
  <c r="AA1681" i="8"/>
  <c r="W1681" i="8"/>
  <c r="U1681" i="8"/>
  <c r="P1681" i="8"/>
  <c r="M1681" i="8"/>
  <c r="J1681" i="8"/>
  <c r="H1681" i="8"/>
  <c r="B1681" i="8"/>
  <c r="A1681" i="8"/>
  <c r="AA1680" i="8"/>
  <c r="W1680" i="8"/>
  <c r="U1680" i="8"/>
  <c r="P1680" i="8"/>
  <c r="M1680" i="8"/>
  <c r="J1680" i="8"/>
  <c r="H1680" i="8"/>
  <c r="B1680" i="8"/>
  <c r="A1680" i="8"/>
  <c r="AA1679" i="8"/>
  <c r="W1679" i="8"/>
  <c r="U1679" i="8"/>
  <c r="P1679" i="8"/>
  <c r="M1679" i="8"/>
  <c r="J1679" i="8"/>
  <c r="H1679" i="8"/>
  <c r="B1679" i="8"/>
  <c r="A1679" i="8"/>
  <c r="AA1678" i="8"/>
  <c r="W1678" i="8"/>
  <c r="U1678" i="8"/>
  <c r="P1678" i="8"/>
  <c r="M1678" i="8"/>
  <c r="J1678" i="8"/>
  <c r="H1678" i="8"/>
  <c r="B1678" i="8"/>
  <c r="A1678" i="8"/>
  <c r="AA1677" i="8"/>
  <c r="W1677" i="8"/>
  <c r="U1677" i="8"/>
  <c r="P1677" i="8"/>
  <c r="M1677" i="8"/>
  <c r="J1677" i="8"/>
  <c r="H1677" i="8"/>
  <c r="B1677" i="8"/>
  <c r="A1677" i="8"/>
  <c r="AA1676" i="8"/>
  <c r="W1676" i="8"/>
  <c r="U1676" i="8"/>
  <c r="P1676" i="8"/>
  <c r="M1676" i="8"/>
  <c r="J1676" i="8"/>
  <c r="H1676" i="8"/>
  <c r="B1676" i="8"/>
  <c r="A1676" i="8"/>
  <c r="AA1675" i="8"/>
  <c r="W1675" i="8"/>
  <c r="U1675" i="8"/>
  <c r="P1675" i="8"/>
  <c r="M1675" i="8"/>
  <c r="J1675" i="8"/>
  <c r="H1675" i="8"/>
  <c r="B1675" i="8"/>
  <c r="A1675" i="8"/>
  <c r="AA1674" i="8"/>
  <c r="W1674" i="8"/>
  <c r="U1674" i="8"/>
  <c r="R1674" i="8"/>
  <c r="Q1674" i="8"/>
  <c r="P1674" i="8"/>
  <c r="M1674" i="8"/>
  <c r="J1674" i="8"/>
  <c r="H1674" i="8"/>
  <c r="B1674" i="8"/>
  <c r="A1674" i="8"/>
  <c r="AA1673" i="8"/>
  <c r="W1673" i="8"/>
  <c r="U1673" i="8"/>
  <c r="P1673" i="8"/>
  <c r="M1673" i="8"/>
  <c r="J1673" i="8"/>
  <c r="H1673" i="8"/>
  <c r="B1673" i="8"/>
  <c r="A1673" i="8"/>
  <c r="AA1672" i="8"/>
  <c r="W1672" i="8"/>
  <c r="U1672" i="8"/>
  <c r="P1672" i="8"/>
  <c r="M1672" i="8"/>
  <c r="J1672" i="8"/>
  <c r="H1672" i="8"/>
  <c r="B1672" i="8"/>
  <c r="A1672" i="8"/>
  <c r="AA1671" i="8"/>
  <c r="W1671" i="8"/>
  <c r="U1671" i="8"/>
  <c r="P1671" i="8"/>
  <c r="M1671" i="8"/>
  <c r="J1671" i="8"/>
  <c r="H1671" i="8"/>
  <c r="B1671" i="8"/>
  <c r="A1671" i="8"/>
  <c r="AA1670" i="8"/>
  <c r="W1670" i="8"/>
  <c r="U1670" i="8"/>
  <c r="P1670" i="8"/>
  <c r="M1670" i="8"/>
  <c r="J1670" i="8"/>
  <c r="H1670" i="8"/>
  <c r="B1670" i="8"/>
  <c r="A1670" i="8"/>
  <c r="AA1669" i="8"/>
  <c r="W1669" i="8"/>
  <c r="U1669" i="8"/>
  <c r="P1669" i="8"/>
  <c r="M1669" i="8"/>
  <c r="J1669" i="8"/>
  <c r="H1669" i="8"/>
  <c r="B1669" i="8"/>
  <c r="A1669" i="8"/>
  <c r="AA1668" i="8"/>
  <c r="W1668" i="8"/>
  <c r="U1668" i="8"/>
  <c r="P1668" i="8"/>
  <c r="M1668" i="8"/>
  <c r="J1668" i="8"/>
  <c r="H1668" i="8"/>
  <c r="B1668" i="8"/>
  <c r="A1668" i="8"/>
  <c r="AA1667" i="8"/>
  <c r="W1667" i="8"/>
  <c r="U1667" i="8"/>
  <c r="P1667" i="8"/>
  <c r="M1667" i="8"/>
  <c r="J1667" i="8"/>
  <c r="H1667" i="8"/>
  <c r="B1667" i="8"/>
  <c r="A1667" i="8"/>
  <c r="AA1666" i="8"/>
  <c r="W1666" i="8"/>
  <c r="U1666" i="8"/>
  <c r="P1666" i="8"/>
  <c r="M1666" i="8"/>
  <c r="J1666" i="8"/>
  <c r="H1666" i="8"/>
  <c r="B1666" i="8"/>
  <c r="A1666" i="8"/>
  <c r="AA1665" i="8"/>
  <c r="W1665" i="8"/>
  <c r="U1665" i="8"/>
  <c r="P1665" i="8"/>
  <c r="M1665" i="8"/>
  <c r="J1665" i="8"/>
  <c r="H1665" i="8"/>
  <c r="B1665" i="8"/>
  <c r="A1665" i="8"/>
  <c r="AA1664" i="8"/>
  <c r="W1664" i="8"/>
  <c r="U1664" i="8"/>
  <c r="P1664" i="8"/>
  <c r="M1664" i="8"/>
  <c r="J1664" i="8"/>
  <c r="H1664" i="8"/>
  <c r="B1664" i="8"/>
  <c r="A1664" i="8"/>
  <c r="AA1663" i="8"/>
  <c r="W1663" i="8"/>
  <c r="U1663" i="8"/>
  <c r="R1663" i="8"/>
  <c r="Q1663" i="8"/>
  <c r="P1663" i="8"/>
  <c r="M1663" i="8"/>
  <c r="J1663" i="8"/>
  <c r="H1663" i="8"/>
  <c r="B1663" i="8"/>
  <c r="A1663" i="8"/>
  <c r="AA1662" i="8"/>
  <c r="W1662" i="8"/>
  <c r="U1662" i="8"/>
  <c r="R1662" i="8"/>
  <c r="Q1662" i="8"/>
  <c r="P1662" i="8"/>
  <c r="M1662" i="8"/>
  <c r="J1662" i="8"/>
  <c r="H1662" i="8"/>
  <c r="B1662" i="8"/>
  <c r="A1662" i="8"/>
  <c r="AA1661" i="8"/>
  <c r="W1661" i="8"/>
  <c r="U1661" i="8"/>
  <c r="P1661" i="8"/>
  <c r="M1661" i="8"/>
  <c r="J1661" i="8"/>
  <c r="H1661" i="8"/>
  <c r="B1661" i="8"/>
  <c r="A1661" i="8"/>
  <c r="AA1660" i="8"/>
  <c r="W1660" i="8"/>
  <c r="U1660" i="8"/>
  <c r="P1660" i="8"/>
  <c r="M1660" i="8"/>
  <c r="J1660" i="8"/>
  <c r="H1660" i="8"/>
  <c r="B1660" i="8"/>
  <c r="A1660" i="8"/>
  <c r="AA1659" i="8"/>
  <c r="W1659" i="8"/>
  <c r="U1659" i="8"/>
  <c r="P1659" i="8"/>
  <c r="M1659" i="8"/>
  <c r="J1659" i="8"/>
  <c r="H1659" i="8"/>
  <c r="B1659" i="8"/>
  <c r="A1659" i="8"/>
  <c r="AA1658" i="8"/>
  <c r="W1658" i="8"/>
  <c r="U1658" i="8"/>
  <c r="M1658" i="8"/>
  <c r="J1658" i="8"/>
  <c r="H1658" i="8"/>
  <c r="B1658" i="8"/>
  <c r="A1658" i="8"/>
  <c r="AA1657" i="8"/>
  <c r="W1657" i="8"/>
  <c r="U1657" i="8"/>
  <c r="P1657" i="8"/>
  <c r="M1657" i="8"/>
  <c r="J1657" i="8"/>
  <c r="H1657" i="8"/>
  <c r="B1657" i="8"/>
  <c r="A1657" i="8"/>
  <c r="AA1656" i="8"/>
  <c r="W1656" i="8"/>
  <c r="U1656" i="8"/>
  <c r="R1656" i="8"/>
  <c r="Q1656" i="8"/>
  <c r="M1656" i="8"/>
  <c r="J1656" i="8"/>
  <c r="H1656" i="8"/>
  <c r="B1656" i="8"/>
  <c r="A1656" i="8"/>
  <c r="AA1655" i="8"/>
  <c r="W1655" i="8"/>
  <c r="U1655" i="8"/>
  <c r="M1655" i="8"/>
  <c r="J1655" i="8"/>
  <c r="H1655" i="8"/>
  <c r="B1655" i="8"/>
  <c r="A1655" i="8"/>
  <c r="AA1654" i="8"/>
  <c r="W1654" i="8"/>
  <c r="U1654" i="8"/>
  <c r="P1654" i="8"/>
  <c r="M1654" i="8"/>
  <c r="J1654" i="8"/>
  <c r="H1654" i="8"/>
  <c r="B1654" i="8"/>
  <c r="A1654" i="8"/>
  <c r="AA1653" i="8"/>
  <c r="W1653" i="8"/>
  <c r="U1653" i="8"/>
  <c r="P1653" i="8"/>
  <c r="M1653" i="8"/>
  <c r="J1653" i="8"/>
  <c r="H1653" i="8"/>
  <c r="B1653" i="8"/>
  <c r="A1653" i="8"/>
  <c r="AA1652" i="8"/>
  <c r="W1652" i="8"/>
  <c r="U1652" i="8"/>
  <c r="P1652" i="8"/>
  <c r="M1652" i="8"/>
  <c r="J1652" i="8"/>
  <c r="H1652" i="8"/>
  <c r="B1652" i="8"/>
  <c r="A1652" i="8"/>
  <c r="AA1651" i="8"/>
  <c r="W1651" i="8"/>
  <c r="U1651" i="8"/>
  <c r="P1651" i="8"/>
  <c r="M1651" i="8"/>
  <c r="J1651" i="8"/>
  <c r="H1651" i="8"/>
  <c r="B1651" i="8"/>
  <c r="A1651" i="8"/>
  <c r="AA1650" i="8"/>
  <c r="W1650" i="8"/>
  <c r="U1650" i="8"/>
  <c r="M1650" i="8"/>
  <c r="J1650" i="8"/>
  <c r="H1650" i="8"/>
  <c r="B1650" i="8"/>
  <c r="A1650" i="8"/>
  <c r="AA1649" i="8"/>
  <c r="W1649" i="8"/>
  <c r="U1649" i="8"/>
  <c r="P1649" i="8"/>
  <c r="M1649" i="8"/>
  <c r="J1649" i="8"/>
  <c r="H1649" i="8"/>
  <c r="B1649" i="8"/>
  <c r="A1649" i="8"/>
  <c r="AA1648" i="8"/>
  <c r="W1648" i="8"/>
  <c r="U1648" i="8"/>
  <c r="P1648" i="8"/>
  <c r="M1648" i="8"/>
  <c r="J1648" i="8"/>
  <c r="H1648" i="8"/>
  <c r="B1648" i="8"/>
  <c r="A1648" i="8"/>
  <c r="AA1647" i="8"/>
  <c r="W1647" i="8"/>
  <c r="U1647" i="8"/>
  <c r="P1647" i="8"/>
  <c r="M1647" i="8"/>
  <c r="J1647" i="8"/>
  <c r="H1647" i="8"/>
  <c r="B1647" i="8"/>
  <c r="A1647" i="8"/>
  <c r="AA1646" i="8"/>
  <c r="W1646" i="8"/>
  <c r="U1646" i="8"/>
  <c r="P1646" i="8"/>
  <c r="M1646" i="8"/>
  <c r="J1646" i="8"/>
  <c r="H1646" i="8"/>
  <c r="B1646" i="8"/>
  <c r="A1646" i="8"/>
  <c r="AA1645" i="8"/>
  <c r="W1645" i="8"/>
  <c r="U1645" i="8"/>
  <c r="P1645" i="8"/>
  <c r="M1645" i="8"/>
  <c r="J1645" i="8"/>
  <c r="H1645" i="8"/>
  <c r="B1645" i="8"/>
  <c r="A1645" i="8"/>
  <c r="AA1644" i="8"/>
  <c r="W1644" i="8"/>
  <c r="U1644" i="8"/>
  <c r="P1644" i="8"/>
  <c r="M1644" i="8"/>
  <c r="J1644" i="8"/>
  <c r="H1644" i="8"/>
  <c r="B1644" i="8"/>
  <c r="A1644" i="8"/>
  <c r="AA1643" i="8"/>
  <c r="W1643" i="8"/>
  <c r="U1643" i="8"/>
  <c r="P1643" i="8"/>
  <c r="M1643" i="8"/>
  <c r="J1643" i="8"/>
  <c r="H1643" i="8"/>
  <c r="B1643" i="8"/>
  <c r="A1643" i="8"/>
  <c r="AA1642" i="8"/>
  <c r="W1642" i="8"/>
  <c r="U1642" i="8"/>
  <c r="M1642" i="8"/>
  <c r="J1642" i="8"/>
  <c r="H1642" i="8"/>
  <c r="B1642" i="8"/>
  <c r="A1642" i="8"/>
  <c r="AA1641" i="8"/>
  <c r="W1641" i="8"/>
  <c r="U1641" i="8"/>
  <c r="P1641" i="8"/>
  <c r="M1641" i="8"/>
  <c r="J1641" i="8"/>
  <c r="H1641" i="8"/>
  <c r="B1641" i="8"/>
  <c r="A1641" i="8"/>
  <c r="AA1640" i="8"/>
  <c r="W1640" i="8"/>
  <c r="U1640" i="8"/>
  <c r="P1640" i="8"/>
  <c r="M1640" i="8"/>
  <c r="J1640" i="8"/>
  <c r="H1640" i="8"/>
  <c r="B1640" i="8"/>
  <c r="A1640" i="8"/>
  <c r="AA1639" i="8"/>
  <c r="W1639" i="8"/>
  <c r="U1639" i="8"/>
  <c r="P1639" i="8"/>
  <c r="M1639" i="8"/>
  <c r="J1639" i="8"/>
  <c r="H1639" i="8"/>
  <c r="B1639" i="8"/>
  <c r="A1639" i="8"/>
  <c r="AA1638" i="8"/>
  <c r="W1638" i="8"/>
  <c r="U1638" i="8"/>
  <c r="P1638" i="8"/>
  <c r="M1638" i="8"/>
  <c r="J1638" i="8"/>
  <c r="H1638" i="8"/>
  <c r="B1638" i="8"/>
  <c r="A1638" i="8"/>
  <c r="AA1637" i="8"/>
  <c r="W1637" i="8"/>
  <c r="U1637" i="8"/>
  <c r="P1637" i="8"/>
  <c r="M1637" i="8"/>
  <c r="J1637" i="8"/>
  <c r="H1637" i="8"/>
  <c r="B1637" i="8"/>
  <c r="A1637" i="8"/>
  <c r="AA1636" i="8"/>
  <c r="W1636" i="8"/>
  <c r="U1636" i="8"/>
  <c r="P1636" i="8"/>
  <c r="M1636" i="8"/>
  <c r="J1636" i="8"/>
  <c r="H1636" i="8"/>
  <c r="B1636" i="8"/>
  <c r="A1636" i="8"/>
  <c r="AA1635" i="8"/>
  <c r="W1635" i="8"/>
  <c r="U1635" i="8"/>
  <c r="M1635" i="8"/>
  <c r="J1635" i="8"/>
  <c r="H1635" i="8"/>
  <c r="B1635" i="8"/>
  <c r="A1635" i="8"/>
  <c r="AA1634" i="8"/>
  <c r="W1634" i="8"/>
  <c r="U1634" i="8"/>
  <c r="P1634" i="8"/>
  <c r="M1634" i="8"/>
  <c r="J1634" i="8"/>
  <c r="H1634" i="8"/>
  <c r="B1634" i="8"/>
  <c r="A1634" i="8"/>
  <c r="AA1633" i="8"/>
  <c r="W1633" i="8"/>
  <c r="U1633" i="8"/>
  <c r="P1633" i="8"/>
  <c r="M1633" i="8"/>
  <c r="J1633" i="8"/>
  <c r="H1633" i="8"/>
  <c r="B1633" i="8"/>
  <c r="A1633" i="8"/>
  <c r="AA1632" i="8"/>
  <c r="W1632" i="8"/>
  <c r="U1632" i="8"/>
  <c r="R1632" i="8"/>
  <c r="Q1632" i="8"/>
  <c r="P1632" i="8"/>
  <c r="M1632" i="8"/>
  <c r="J1632" i="8"/>
  <c r="H1632" i="8"/>
  <c r="B1632" i="8"/>
  <c r="A1632" i="8"/>
  <c r="AA1631" i="8"/>
  <c r="W1631" i="8"/>
  <c r="U1631" i="8"/>
  <c r="P1631" i="8"/>
  <c r="M1631" i="8"/>
  <c r="J1631" i="8"/>
  <c r="H1631" i="8"/>
  <c r="B1631" i="8"/>
  <c r="A1631" i="8"/>
  <c r="AA1630" i="8"/>
  <c r="W1630" i="8"/>
  <c r="U1630" i="8"/>
  <c r="P1630" i="8"/>
  <c r="M1630" i="8"/>
  <c r="J1630" i="8"/>
  <c r="H1630" i="8"/>
  <c r="B1630" i="8"/>
  <c r="A1630" i="8"/>
  <c r="AA1629" i="8"/>
  <c r="W1629" i="8"/>
  <c r="U1629" i="8"/>
  <c r="P1629" i="8"/>
  <c r="M1629" i="8"/>
  <c r="J1629" i="8"/>
  <c r="H1629" i="8"/>
  <c r="B1629" i="8"/>
  <c r="A1629" i="8"/>
  <c r="AA1628" i="8"/>
  <c r="W1628" i="8"/>
  <c r="U1628" i="8"/>
  <c r="P1628" i="8"/>
  <c r="M1628" i="8"/>
  <c r="J1628" i="8"/>
  <c r="H1628" i="8"/>
  <c r="B1628" i="8"/>
  <c r="A1628" i="8"/>
  <c r="AA1627" i="8"/>
  <c r="W1627" i="8"/>
  <c r="U1627" i="8"/>
  <c r="R1627" i="8"/>
  <c r="Q1627" i="8"/>
  <c r="M1627" i="8"/>
  <c r="J1627" i="8"/>
  <c r="H1627" i="8"/>
  <c r="B1627" i="8"/>
  <c r="A1627" i="8"/>
  <c r="AA1626" i="8"/>
  <c r="W1626" i="8"/>
  <c r="U1626" i="8"/>
  <c r="P1626" i="8"/>
  <c r="M1626" i="8"/>
  <c r="J1626" i="8"/>
  <c r="H1626" i="8"/>
  <c r="B1626" i="8"/>
  <c r="A1626" i="8"/>
  <c r="AA1625" i="8"/>
  <c r="W1625" i="8"/>
  <c r="U1625" i="8"/>
  <c r="P1625" i="8"/>
  <c r="M1625" i="8"/>
  <c r="J1625" i="8"/>
  <c r="H1625" i="8"/>
  <c r="B1625" i="8"/>
  <c r="A1625" i="8"/>
  <c r="AA1624" i="8"/>
  <c r="W1624" i="8"/>
  <c r="U1624" i="8"/>
  <c r="M1624" i="8"/>
  <c r="J1624" i="8"/>
  <c r="H1624" i="8"/>
  <c r="B1624" i="8"/>
  <c r="A1624" i="8"/>
  <c r="AA1623" i="8"/>
  <c r="W1623" i="8"/>
  <c r="U1623" i="8"/>
  <c r="R1623" i="8"/>
  <c r="Q1623" i="8"/>
  <c r="P1623" i="8"/>
  <c r="M1623" i="8"/>
  <c r="J1623" i="8"/>
  <c r="H1623" i="8"/>
  <c r="B1623" i="8"/>
  <c r="A1623" i="8"/>
  <c r="AA1622" i="8"/>
  <c r="W1622" i="8"/>
  <c r="U1622" i="8"/>
  <c r="P1622" i="8"/>
  <c r="M1622" i="8"/>
  <c r="J1622" i="8"/>
  <c r="H1622" i="8"/>
  <c r="B1622" i="8"/>
  <c r="A1622" i="8"/>
  <c r="AA1621" i="8"/>
  <c r="W1621" i="8"/>
  <c r="U1621" i="8"/>
  <c r="P1621" i="8"/>
  <c r="M1621" i="8"/>
  <c r="J1621" i="8"/>
  <c r="H1621" i="8"/>
  <c r="B1621" i="8"/>
  <c r="A1621" i="8"/>
  <c r="AA1620" i="8"/>
  <c r="W1620" i="8"/>
  <c r="U1620" i="8"/>
  <c r="P1620" i="8"/>
  <c r="M1620" i="8"/>
  <c r="J1620" i="8"/>
  <c r="H1620" i="8"/>
  <c r="B1620" i="8"/>
  <c r="A1620" i="8"/>
  <c r="AA1619" i="8"/>
  <c r="W1619" i="8"/>
  <c r="U1619" i="8"/>
  <c r="P1619" i="8"/>
  <c r="M1619" i="8"/>
  <c r="J1619" i="8"/>
  <c r="H1619" i="8"/>
  <c r="B1619" i="8"/>
  <c r="A1619" i="8"/>
  <c r="AA1618" i="8"/>
  <c r="W1618" i="8"/>
  <c r="U1618" i="8"/>
  <c r="P1618" i="8"/>
  <c r="M1618" i="8"/>
  <c r="J1618" i="8"/>
  <c r="H1618" i="8"/>
  <c r="B1618" i="8"/>
  <c r="A1618" i="8"/>
  <c r="AA1617" i="8"/>
  <c r="W1617" i="8"/>
  <c r="U1617" i="8"/>
  <c r="R1617" i="8"/>
  <c r="Q1617" i="8"/>
  <c r="P1617" i="8"/>
  <c r="M1617" i="8"/>
  <c r="J1617" i="8"/>
  <c r="H1617" i="8"/>
  <c r="B1617" i="8"/>
  <c r="A1617" i="8"/>
  <c r="AA1616" i="8"/>
  <c r="W1616" i="8"/>
  <c r="U1616" i="8"/>
  <c r="P1616" i="8"/>
  <c r="M1616" i="8"/>
  <c r="J1616" i="8"/>
  <c r="H1616" i="8"/>
  <c r="B1616" i="8"/>
  <c r="A1616" i="8"/>
  <c r="AA1615" i="8"/>
  <c r="W1615" i="8"/>
  <c r="U1615" i="8"/>
  <c r="P1615" i="8"/>
  <c r="M1615" i="8"/>
  <c r="J1615" i="8"/>
  <c r="H1615" i="8"/>
  <c r="B1615" i="8"/>
  <c r="A1615" i="8"/>
  <c r="AA1614" i="8"/>
  <c r="W1614" i="8"/>
  <c r="U1614" i="8"/>
  <c r="P1614" i="8"/>
  <c r="M1614" i="8"/>
  <c r="J1614" i="8"/>
  <c r="H1614" i="8"/>
  <c r="B1614" i="8"/>
  <c r="A1614" i="8"/>
  <c r="AA1613" i="8"/>
  <c r="W1613" i="8"/>
  <c r="U1613" i="8"/>
  <c r="M1613" i="8"/>
  <c r="J1613" i="8"/>
  <c r="H1613" i="8"/>
  <c r="B1613" i="8"/>
  <c r="A1613" i="8"/>
  <c r="AA1612" i="8"/>
  <c r="W1612" i="8"/>
  <c r="U1612" i="8"/>
  <c r="M1612" i="8"/>
  <c r="J1612" i="8"/>
  <c r="H1612" i="8"/>
  <c r="B1612" i="8"/>
  <c r="A1612" i="8"/>
  <c r="AA1611" i="8"/>
  <c r="W1611" i="8"/>
  <c r="U1611" i="8"/>
  <c r="R1611" i="8"/>
  <c r="Q1611" i="8"/>
  <c r="P1611" i="8"/>
  <c r="M1611" i="8"/>
  <c r="J1611" i="8"/>
  <c r="H1611" i="8"/>
  <c r="B1611" i="8"/>
  <c r="A1611" i="8"/>
  <c r="AA1610" i="8"/>
  <c r="W1610" i="8"/>
  <c r="U1610" i="8"/>
  <c r="P1610" i="8"/>
  <c r="M1610" i="8"/>
  <c r="J1610" i="8"/>
  <c r="H1610" i="8"/>
  <c r="B1610" i="8"/>
  <c r="A1610" i="8"/>
  <c r="AA1609" i="8"/>
  <c r="W1609" i="8"/>
  <c r="U1609" i="8"/>
  <c r="P1609" i="8"/>
  <c r="M1609" i="8"/>
  <c r="J1609" i="8"/>
  <c r="H1609" i="8"/>
  <c r="B1609" i="8"/>
  <c r="A1609" i="8"/>
  <c r="AA1608" i="8"/>
  <c r="W1608" i="8"/>
  <c r="U1608" i="8"/>
  <c r="P1608" i="8"/>
  <c r="M1608" i="8"/>
  <c r="J1608" i="8"/>
  <c r="H1608" i="8"/>
  <c r="B1608" i="8"/>
  <c r="A1608" i="8"/>
  <c r="AA1607" i="8"/>
  <c r="W1607" i="8"/>
  <c r="U1607" i="8"/>
  <c r="P1607" i="8"/>
  <c r="M1607" i="8"/>
  <c r="J1607" i="8"/>
  <c r="H1607" i="8"/>
  <c r="B1607" i="8"/>
  <c r="A1607" i="8"/>
  <c r="AA1606" i="8"/>
  <c r="W1606" i="8"/>
  <c r="U1606" i="8"/>
  <c r="P1606" i="8"/>
  <c r="M1606" i="8"/>
  <c r="J1606" i="8"/>
  <c r="H1606" i="8"/>
  <c r="B1606" i="8"/>
  <c r="A1606" i="8"/>
  <c r="AA1605" i="8"/>
  <c r="W1605" i="8"/>
  <c r="U1605" i="8"/>
  <c r="R1605" i="8"/>
  <c r="Q1605" i="8"/>
  <c r="P1605" i="8"/>
  <c r="M1605" i="8"/>
  <c r="J1605" i="8"/>
  <c r="H1605" i="8"/>
  <c r="B1605" i="8"/>
  <c r="A1605" i="8"/>
  <c r="AA1604" i="8"/>
  <c r="W1604" i="8"/>
  <c r="U1604" i="8"/>
  <c r="P1604" i="8"/>
  <c r="M1604" i="8"/>
  <c r="J1604" i="8"/>
  <c r="H1604" i="8"/>
  <c r="B1604" i="8"/>
  <c r="A1604" i="8"/>
  <c r="AA1603" i="8"/>
  <c r="W1603" i="8"/>
  <c r="U1603" i="8"/>
  <c r="P1603" i="8"/>
  <c r="M1603" i="8"/>
  <c r="J1603" i="8"/>
  <c r="H1603" i="8"/>
  <c r="B1603" i="8"/>
  <c r="A1603" i="8"/>
  <c r="AA1602" i="8"/>
  <c r="W1602" i="8"/>
  <c r="U1602" i="8"/>
  <c r="P1602" i="8"/>
  <c r="M1602" i="8"/>
  <c r="J1602" i="8"/>
  <c r="H1602" i="8"/>
  <c r="B1602" i="8"/>
  <c r="A1602" i="8"/>
  <c r="AA1601" i="8"/>
  <c r="W1601" i="8"/>
  <c r="U1601" i="8"/>
  <c r="P1601" i="8"/>
  <c r="M1601" i="8"/>
  <c r="J1601" i="8"/>
  <c r="H1601" i="8"/>
  <c r="B1601" i="8"/>
  <c r="A1601" i="8"/>
  <c r="AA1600" i="8"/>
  <c r="W1600" i="8"/>
  <c r="U1600" i="8"/>
  <c r="R1600" i="8"/>
  <c r="Q1600" i="8"/>
  <c r="P1600" i="8"/>
  <c r="M1600" i="8"/>
  <c r="J1600" i="8"/>
  <c r="H1600" i="8"/>
  <c r="B1600" i="8"/>
  <c r="A1600" i="8"/>
  <c r="AA1599" i="8"/>
  <c r="W1599" i="8"/>
  <c r="U1599" i="8"/>
  <c r="P1599" i="8"/>
  <c r="M1599" i="8"/>
  <c r="J1599" i="8"/>
  <c r="H1599" i="8"/>
  <c r="B1599" i="8"/>
  <c r="A1599" i="8"/>
  <c r="AA1598" i="8"/>
  <c r="W1598" i="8"/>
  <c r="U1598" i="8"/>
  <c r="R1598" i="8"/>
  <c r="Q1598" i="8"/>
  <c r="P1598" i="8"/>
  <c r="M1598" i="8"/>
  <c r="J1598" i="8"/>
  <c r="H1598" i="8"/>
  <c r="B1598" i="8"/>
  <c r="A1598" i="8"/>
  <c r="AA1597" i="8"/>
  <c r="W1597" i="8"/>
  <c r="U1597" i="8"/>
  <c r="P1597" i="8"/>
  <c r="M1597" i="8"/>
  <c r="J1597" i="8"/>
  <c r="H1597" i="8"/>
  <c r="B1597" i="8"/>
  <c r="A1597" i="8"/>
  <c r="AA1596" i="8"/>
  <c r="W1596" i="8"/>
  <c r="U1596" i="8"/>
  <c r="P1596" i="8"/>
  <c r="M1596" i="8"/>
  <c r="J1596" i="8"/>
  <c r="H1596" i="8"/>
  <c r="B1596" i="8"/>
  <c r="A1596" i="8"/>
  <c r="AA1595" i="8"/>
  <c r="W1595" i="8"/>
  <c r="U1595" i="8"/>
  <c r="M1595" i="8"/>
  <c r="J1595" i="8"/>
  <c r="H1595" i="8"/>
  <c r="B1595" i="8"/>
  <c r="A1595" i="8"/>
  <c r="AA1594" i="8"/>
  <c r="W1594" i="8"/>
  <c r="U1594" i="8"/>
  <c r="M1594" i="8"/>
  <c r="J1594" i="8"/>
  <c r="H1594" i="8"/>
  <c r="B1594" i="8"/>
  <c r="A1594" i="8"/>
  <c r="AA1593" i="8"/>
  <c r="W1593" i="8"/>
  <c r="U1593" i="8"/>
  <c r="P1593" i="8"/>
  <c r="M1593" i="8"/>
  <c r="J1593" i="8"/>
  <c r="H1593" i="8"/>
  <c r="B1593" i="8"/>
  <c r="A1593" i="8"/>
  <c r="AA1592" i="8"/>
  <c r="W1592" i="8"/>
  <c r="U1592" i="8"/>
  <c r="P1592" i="8"/>
  <c r="M1592" i="8"/>
  <c r="J1592" i="8"/>
  <c r="H1592" i="8"/>
  <c r="B1592" i="8"/>
  <c r="A1592" i="8"/>
  <c r="AA1591" i="8"/>
  <c r="W1591" i="8"/>
  <c r="U1591" i="8"/>
  <c r="P1591" i="8"/>
  <c r="M1591" i="8"/>
  <c r="J1591" i="8"/>
  <c r="H1591" i="8"/>
  <c r="B1591" i="8"/>
  <c r="A1591" i="8"/>
  <c r="AA1590" i="8"/>
  <c r="W1590" i="8"/>
  <c r="U1590" i="8"/>
  <c r="P1590" i="8"/>
  <c r="M1590" i="8"/>
  <c r="J1590" i="8"/>
  <c r="H1590" i="8"/>
  <c r="B1590" i="8"/>
  <c r="A1590" i="8"/>
  <c r="AA1589" i="8"/>
  <c r="W1589" i="8"/>
  <c r="U1589" i="8"/>
  <c r="P1589" i="8"/>
  <c r="M1589" i="8"/>
  <c r="J1589" i="8"/>
  <c r="H1589" i="8"/>
  <c r="B1589" i="8"/>
  <c r="A1589" i="8"/>
  <c r="AA1588" i="8"/>
  <c r="W1588" i="8"/>
  <c r="U1588" i="8"/>
  <c r="P1588" i="8"/>
  <c r="M1588" i="8"/>
  <c r="J1588" i="8"/>
  <c r="H1588" i="8"/>
  <c r="B1588" i="8"/>
  <c r="A1588" i="8"/>
  <c r="AA1587" i="8"/>
  <c r="W1587" i="8"/>
  <c r="U1587" i="8"/>
  <c r="P1587" i="8"/>
  <c r="M1587" i="8"/>
  <c r="J1587" i="8"/>
  <c r="H1587" i="8"/>
  <c r="B1587" i="8"/>
  <c r="A1587" i="8"/>
  <c r="AA1586" i="8"/>
  <c r="W1586" i="8"/>
  <c r="U1586" i="8"/>
  <c r="P1586" i="8"/>
  <c r="M1586" i="8"/>
  <c r="J1586" i="8"/>
  <c r="H1586" i="8"/>
  <c r="B1586" i="8"/>
  <c r="A1586" i="8"/>
  <c r="AA1585" i="8"/>
  <c r="W1585" i="8"/>
  <c r="U1585" i="8"/>
  <c r="P1585" i="8"/>
  <c r="M1585" i="8"/>
  <c r="J1585" i="8"/>
  <c r="H1585" i="8"/>
  <c r="B1585" i="8"/>
  <c r="A1585" i="8"/>
  <c r="AA1584" i="8"/>
  <c r="W1584" i="8"/>
  <c r="U1584" i="8"/>
  <c r="P1584" i="8"/>
  <c r="M1584" i="8"/>
  <c r="J1584" i="8"/>
  <c r="H1584" i="8"/>
  <c r="B1584" i="8"/>
  <c r="A1584" i="8"/>
  <c r="AA1583" i="8"/>
  <c r="W1583" i="8"/>
  <c r="U1583" i="8"/>
  <c r="P1583" i="8"/>
  <c r="M1583" i="8"/>
  <c r="J1583" i="8"/>
  <c r="H1583" i="8"/>
  <c r="B1583" i="8"/>
  <c r="A1583" i="8"/>
  <c r="AA1582" i="8"/>
  <c r="W1582" i="8"/>
  <c r="U1582" i="8"/>
  <c r="P1582" i="8"/>
  <c r="M1582" i="8"/>
  <c r="J1582" i="8"/>
  <c r="H1582" i="8"/>
  <c r="B1582" i="8"/>
  <c r="A1582" i="8"/>
  <c r="AA1581" i="8"/>
  <c r="W1581" i="8"/>
  <c r="U1581" i="8"/>
  <c r="P1581" i="8"/>
  <c r="M1581" i="8"/>
  <c r="J1581" i="8"/>
  <c r="H1581" i="8"/>
  <c r="B1581" i="8"/>
  <c r="A1581" i="8"/>
  <c r="AA1580" i="8"/>
  <c r="W1580" i="8"/>
  <c r="U1580" i="8"/>
  <c r="R1580" i="8"/>
  <c r="Q1580" i="8"/>
  <c r="P1580" i="8"/>
  <c r="M1580" i="8"/>
  <c r="J1580" i="8"/>
  <c r="H1580" i="8"/>
  <c r="B1580" i="8"/>
  <c r="A1580" i="8"/>
  <c r="AA1579" i="8"/>
  <c r="W1579" i="8"/>
  <c r="U1579" i="8"/>
  <c r="P1579" i="8"/>
  <c r="M1579" i="8"/>
  <c r="J1579" i="8"/>
  <c r="H1579" i="8"/>
  <c r="B1579" i="8"/>
  <c r="A1579" i="8"/>
  <c r="AA1578" i="8"/>
  <c r="W1578" i="8"/>
  <c r="U1578" i="8"/>
  <c r="R1578" i="8"/>
  <c r="Q1578" i="8"/>
  <c r="P1578" i="8"/>
  <c r="M1578" i="8"/>
  <c r="J1578" i="8"/>
  <c r="H1578" i="8"/>
  <c r="B1578" i="8"/>
  <c r="A1578" i="8"/>
  <c r="AA1577" i="8"/>
  <c r="W1577" i="8"/>
  <c r="U1577" i="8"/>
  <c r="P1577" i="8"/>
  <c r="M1577" i="8"/>
  <c r="J1577" i="8"/>
  <c r="H1577" i="8"/>
  <c r="B1577" i="8"/>
  <c r="A1577" i="8"/>
  <c r="AA1576" i="8"/>
  <c r="W1576" i="8"/>
  <c r="U1576" i="8"/>
  <c r="P1576" i="8"/>
  <c r="M1576" i="8"/>
  <c r="J1576" i="8"/>
  <c r="H1576" i="8"/>
  <c r="B1576" i="8"/>
  <c r="A1576" i="8"/>
  <c r="AA1575" i="8"/>
  <c r="W1575" i="8"/>
  <c r="U1575" i="8"/>
  <c r="P1575" i="8"/>
  <c r="M1575" i="8"/>
  <c r="J1575" i="8"/>
  <c r="H1575" i="8"/>
  <c r="B1575" i="8"/>
  <c r="A1575" i="8"/>
  <c r="AA1574" i="8"/>
  <c r="W1574" i="8"/>
  <c r="U1574" i="8"/>
  <c r="M1574" i="8"/>
  <c r="J1574" i="8"/>
  <c r="H1574" i="8"/>
  <c r="B1574" i="8"/>
  <c r="A1574" i="8"/>
  <c r="AA1573" i="8"/>
  <c r="W1573" i="8"/>
  <c r="U1573" i="8"/>
  <c r="P1573" i="8"/>
  <c r="M1573" i="8"/>
  <c r="J1573" i="8"/>
  <c r="H1573" i="8"/>
  <c r="B1573" i="8"/>
  <c r="A1573" i="8"/>
  <c r="AA1572" i="8"/>
  <c r="W1572" i="8"/>
  <c r="U1572" i="8"/>
  <c r="P1572" i="8"/>
  <c r="M1572" i="8"/>
  <c r="J1572" i="8"/>
  <c r="H1572" i="8"/>
  <c r="B1572" i="8"/>
  <c r="A1572" i="8"/>
  <c r="AA1571" i="8"/>
  <c r="W1571" i="8"/>
  <c r="U1571" i="8"/>
  <c r="P1571" i="8"/>
  <c r="M1571" i="8"/>
  <c r="J1571" i="8"/>
  <c r="H1571" i="8"/>
  <c r="B1571" i="8"/>
  <c r="A1571" i="8"/>
  <c r="AA1570" i="8"/>
  <c r="W1570" i="8"/>
  <c r="U1570" i="8"/>
  <c r="P1570" i="8"/>
  <c r="M1570" i="8"/>
  <c r="J1570" i="8"/>
  <c r="H1570" i="8"/>
  <c r="B1570" i="8"/>
  <c r="A1570" i="8"/>
  <c r="AA1569" i="8"/>
  <c r="W1569" i="8"/>
  <c r="U1569" i="8"/>
  <c r="M1569" i="8"/>
  <c r="J1569" i="8"/>
  <c r="H1569" i="8"/>
  <c r="B1569" i="8"/>
  <c r="A1569" i="8"/>
  <c r="AA1568" i="8"/>
  <c r="W1568" i="8"/>
  <c r="U1568" i="8"/>
  <c r="R1568" i="8"/>
  <c r="Q1568" i="8"/>
  <c r="M1568" i="8"/>
  <c r="J1568" i="8"/>
  <c r="H1568" i="8"/>
  <c r="B1568" i="8"/>
  <c r="A1568" i="8"/>
  <c r="AA1567" i="8"/>
  <c r="W1567" i="8"/>
  <c r="U1567" i="8"/>
  <c r="P1567" i="8"/>
  <c r="M1567" i="8"/>
  <c r="J1567" i="8"/>
  <c r="H1567" i="8"/>
  <c r="B1567" i="8"/>
  <c r="A1567" i="8"/>
  <c r="AA1566" i="8"/>
  <c r="W1566" i="8"/>
  <c r="U1566" i="8"/>
  <c r="P1566" i="8"/>
  <c r="M1566" i="8"/>
  <c r="J1566" i="8"/>
  <c r="H1566" i="8"/>
  <c r="B1566" i="8"/>
  <c r="A1566" i="8"/>
  <c r="AA1565" i="8"/>
  <c r="W1565" i="8"/>
  <c r="U1565" i="8"/>
  <c r="P1565" i="8"/>
  <c r="M1565" i="8"/>
  <c r="J1565" i="8"/>
  <c r="H1565" i="8"/>
  <c r="B1565" i="8"/>
  <c r="A1565" i="8"/>
  <c r="AA1564" i="8"/>
  <c r="W1564" i="8"/>
  <c r="U1564" i="8"/>
  <c r="P1564" i="8"/>
  <c r="M1564" i="8"/>
  <c r="J1564" i="8"/>
  <c r="H1564" i="8"/>
  <c r="B1564" i="8"/>
  <c r="A1564" i="8"/>
  <c r="AA1563" i="8"/>
  <c r="W1563" i="8"/>
  <c r="U1563" i="8"/>
  <c r="P1563" i="8"/>
  <c r="M1563" i="8"/>
  <c r="J1563" i="8"/>
  <c r="H1563" i="8"/>
  <c r="B1563" i="8"/>
  <c r="A1563" i="8"/>
  <c r="AA1562" i="8"/>
  <c r="W1562" i="8"/>
  <c r="U1562" i="8"/>
  <c r="P1562" i="8"/>
  <c r="M1562" i="8"/>
  <c r="J1562" i="8"/>
  <c r="H1562" i="8"/>
  <c r="B1562" i="8"/>
  <c r="A1562" i="8"/>
  <c r="AA1561" i="8"/>
  <c r="W1561" i="8"/>
  <c r="U1561" i="8"/>
  <c r="R1561" i="8"/>
  <c r="Q1561" i="8"/>
  <c r="P1561" i="8"/>
  <c r="M1561" i="8"/>
  <c r="J1561" i="8"/>
  <c r="H1561" i="8"/>
  <c r="B1561" i="8"/>
  <c r="A1561" i="8"/>
  <c r="AA1560" i="8"/>
  <c r="W1560" i="8"/>
  <c r="U1560" i="8"/>
  <c r="P1560" i="8"/>
  <c r="M1560" i="8"/>
  <c r="J1560" i="8"/>
  <c r="H1560" i="8"/>
  <c r="B1560" i="8"/>
  <c r="A1560" i="8"/>
  <c r="AA1559" i="8"/>
  <c r="W1559" i="8"/>
  <c r="U1559" i="8"/>
  <c r="P1559" i="8"/>
  <c r="M1559" i="8"/>
  <c r="J1559" i="8"/>
  <c r="H1559" i="8"/>
  <c r="B1559" i="8"/>
  <c r="A1559" i="8"/>
  <c r="AA1558" i="8"/>
  <c r="W1558" i="8"/>
  <c r="U1558" i="8"/>
  <c r="P1558" i="8"/>
  <c r="M1558" i="8"/>
  <c r="J1558" i="8"/>
  <c r="H1558" i="8"/>
  <c r="B1558" i="8"/>
  <c r="A1558" i="8"/>
  <c r="AA1557" i="8"/>
  <c r="W1557" i="8"/>
  <c r="U1557" i="8"/>
  <c r="P1557" i="8"/>
  <c r="M1557" i="8"/>
  <c r="J1557" i="8"/>
  <c r="H1557" i="8"/>
  <c r="B1557" i="8"/>
  <c r="A1557" i="8"/>
  <c r="AA1556" i="8"/>
  <c r="W1556" i="8"/>
  <c r="U1556" i="8"/>
  <c r="P1556" i="8"/>
  <c r="M1556" i="8"/>
  <c r="J1556" i="8"/>
  <c r="H1556" i="8"/>
  <c r="B1556" i="8"/>
  <c r="A1556" i="8"/>
  <c r="AA1555" i="8"/>
  <c r="W1555" i="8"/>
  <c r="U1555" i="8"/>
  <c r="P1555" i="8"/>
  <c r="M1555" i="8"/>
  <c r="J1555" i="8"/>
  <c r="H1555" i="8"/>
  <c r="B1555" i="8"/>
  <c r="A1555" i="8"/>
  <c r="AA1554" i="8"/>
  <c r="W1554" i="8"/>
  <c r="U1554" i="8"/>
  <c r="R1554" i="8"/>
  <c r="Q1554" i="8"/>
  <c r="P1554" i="8"/>
  <c r="M1554" i="8"/>
  <c r="J1554" i="8"/>
  <c r="H1554" i="8"/>
  <c r="B1554" i="8"/>
  <c r="A1554" i="8"/>
  <c r="AA1553" i="8"/>
  <c r="W1553" i="8"/>
  <c r="U1553" i="8"/>
  <c r="R1553" i="8"/>
  <c r="Q1553" i="8"/>
  <c r="M1553" i="8"/>
  <c r="J1553" i="8"/>
  <c r="H1553" i="8"/>
  <c r="B1553" i="8"/>
  <c r="A1553" i="8"/>
  <c r="AA1552" i="8"/>
  <c r="W1552" i="8"/>
  <c r="U1552" i="8"/>
  <c r="P1552" i="8"/>
  <c r="M1552" i="8"/>
  <c r="J1552" i="8"/>
  <c r="H1552" i="8"/>
  <c r="B1552" i="8"/>
  <c r="A1552" i="8"/>
  <c r="AA1551" i="8"/>
  <c r="W1551" i="8"/>
  <c r="U1551" i="8"/>
  <c r="P1551" i="8"/>
  <c r="M1551" i="8"/>
  <c r="J1551" i="8"/>
  <c r="H1551" i="8"/>
  <c r="B1551" i="8"/>
  <c r="A1551" i="8"/>
  <c r="AA1550" i="8"/>
  <c r="W1550" i="8"/>
  <c r="U1550" i="8"/>
  <c r="P1550" i="8"/>
  <c r="M1550" i="8"/>
  <c r="J1550" i="8"/>
  <c r="H1550" i="8"/>
  <c r="B1550" i="8"/>
  <c r="A1550" i="8"/>
  <c r="AA1549" i="8"/>
  <c r="W1549" i="8"/>
  <c r="U1549" i="8"/>
  <c r="M1549" i="8"/>
  <c r="J1549" i="8"/>
  <c r="H1549" i="8"/>
  <c r="B1549" i="8"/>
  <c r="A1549" i="8"/>
  <c r="AA1548" i="8"/>
  <c r="W1548" i="8"/>
  <c r="U1548" i="8"/>
  <c r="P1548" i="8"/>
  <c r="M1548" i="8"/>
  <c r="J1548" i="8"/>
  <c r="H1548" i="8"/>
  <c r="B1548" i="8"/>
  <c r="A1548" i="8"/>
  <c r="AA1547" i="8"/>
  <c r="W1547" i="8"/>
  <c r="U1547" i="8"/>
  <c r="P1547" i="8"/>
  <c r="M1547" i="8"/>
  <c r="J1547" i="8"/>
  <c r="H1547" i="8"/>
  <c r="B1547" i="8"/>
  <c r="A1547" i="8"/>
  <c r="AA1546" i="8"/>
  <c r="W1546" i="8"/>
  <c r="U1546" i="8"/>
  <c r="M1546" i="8"/>
  <c r="J1546" i="8"/>
  <c r="H1546" i="8"/>
  <c r="B1546" i="8"/>
  <c r="A1546" i="8"/>
  <c r="AA1545" i="8"/>
  <c r="W1545" i="8"/>
  <c r="U1545" i="8"/>
  <c r="P1545" i="8"/>
  <c r="M1545" i="8"/>
  <c r="J1545" i="8"/>
  <c r="H1545" i="8"/>
  <c r="B1545" i="8"/>
  <c r="A1545" i="8"/>
  <c r="AA1544" i="8"/>
  <c r="W1544" i="8"/>
  <c r="U1544" i="8"/>
  <c r="R1544" i="8"/>
  <c r="Q1544" i="8"/>
  <c r="P1544" i="8"/>
  <c r="M1544" i="8"/>
  <c r="J1544" i="8"/>
  <c r="H1544" i="8"/>
  <c r="B1544" i="8"/>
  <c r="A1544" i="8"/>
  <c r="AA1543" i="8"/>
  <c r="W1543" i="8"/>
  <c r="U1543" i="8"/>
  <c r="P1543" i="8"/>
  <c r="M1543" i="8"/>
  <c r="J1543" i="8"/>
  <c r="H1543" i="8"/>
  <c r="B1543" i="8"/>
  <c r="A1543" i="8"/>
  <c r="AA1542" i="8"/>
  <c r="W1542" i="8"/>
  <c r="U1542" i="8"/>
  <c r="P1542" i="8"/>
  <c r="M1542" i="8"/>
  <c r="J1542" i="8"/>
  <c r="H1542" i="8"/>
  <c r="B1542" i="8"/>
  <c r="A1542" i="8"/>
  <c r="AA1541" i="8"/>
  <c r="W1541" i="8"/>
  <c r="U1541" i="8"/>
  <c r="P1541" i="8"/>
  <c r="M1541" i="8"/>
  <c r="J1541" i="8"/>
  <c r="H1541" i="8"/>
  <c r="B1541" i="8"/>
  <c r="A1541" i="8"/>
  <c r="AA1540" i="8"/>
  <c r="W1540" i="8"/>
  <c r="U1540" i="8"/>
  <c r="P1540" i="8"/>
  <c r="M1540" i="8"/>
  <c r="J1540" i="8"/>
  <c r="H1540" i="8"/>
  <c r="B1540" i="8"/>
  <c r="A1540" i="8"/>
  <c r="AA1539" i="8"/>
  <c r="W1539" i="8"/>
  <c r="U1539" i="8"/>
  <c r="P1539" i="8"/>
  <c r="M1539" i="8"/>
  <c r="J1539" i="8"/>
  <c r="H1539" i="8"/>
  <c r="B1539" i="8"/>
  <c r="A1539" i="8"/>
  <c r="AA1538" i="8"/>
  <c r="W1538" i="8"/>
  <c r="U1538" i="8"/>
  <c r="P1538" i="8"/>
  <c r="M1538" i="8"/>
  <c r="J1538" i="8"/>
  <c r="H1538" i="8"/>
  <c r="B1538" i="8"/>
  <c r="A1538" i="8"/>
  <c r="AA1537" i="8"/>
  <c r="W1537" i="8"/>
  <c r="U1537" i="8"/>
  <c r="P1537" i="8"/>
  <c r="M1537" i="8"/>
  <c r="J1537" i="8"/>
  <c r="H1537" i="8"/>
  <c r="B1537" i="8"/>
  <c r="A1537" i="8"/>
  <c r="AA1536" i="8"/>
  <c r="W1536" i="8"/>
  <c r="U1536" i="8"/>
  <c r="P1536" i="8"/>
  <c r="M1536" i="8"/>
  <c r="J1536" i="8"/>
  <c r="H1536" i="8"/>
  <c r="B1536" i="8"/>
  <c r="A1536" i="8"/>
  <c r="AA1535" i="8"/>
  <c r="W1535" i="8"/>
  <c r="U1535" i="8"/>
  <c r="P1535" i="8"/>
  <c r="M1535" i="8"/>
  <c r="J1535" i="8"/>
  <c r="H1535" i="8"/>
  <c r="B1535" i="8"/>
  <c r="A1535" i="8"/>
  <c r="AA1534" i="8"/>
  <c r="W1534" i="8"/>
  <c r="U1534" i="8"/>
  <c r="P1534" i="8"/>
  <c r="M1534" i="8"/>
  <c r="J1534" i="8"/>
  <c r="H1534" i="8"/>
  <c r="B1534" i="8"/>
  <c r="A1534" i="8"/>
  <c r="AA1533" i="8"/>
  <c r="W1533" i="8"/>
  <c r="U1533" i="8"/>
  <c r="M1533" i="8"/>
  <c r="J1533" i="8"/>
  <c r="H1533" i="8"/>
  <c r="B1533" i="8"/>
  <c r="A1533" i="8"/>
  <c r="AA1532" i="8"/>
  <c r="W1532" i="8"/>
  <c r="U1532" i="8"/>
  <c r="P1532" i="8"/>
  <c r="M1532" i="8"/>
  <c r="J1532" i="8"/>
  <c r="H1532" i="8"/>
  <c r="B1532" i="8"/>
  <c r="A1532" i="8"/>
  <c r="AA1531" i="8"/>
  <c r="W1531" i="8"/>
  <c r="U1531" i="8"/>
  <c r="P1531" i="8"/>
  <c r="M1531" i="8"/>
  <c r="J1531" i="8"/>
  <c r="H1531" i="8"/>
  <c r="B1531" i="8"/>
  <c r="A1531" i="8"/>
  <c r="AA1530" i="8"/>
  <c r="W1530" i="8"/>
  <c r="U1530" i="8"/>
  <c r="M1530" i="8"/>
  <c r="J1530" i="8"/>
  <c r="H1530" i="8"/>
  <c r="B1530" i="8"/>
  <c r="A1530" i="8"/>
  <c r="AA1529" i="8"/>
  <c r="W1529" i="8"/>
  <c r="U1529" i="8"/>
  <c r="M1529" i="8"/>
  <c r="J1529" i="8"/>
  <c r="H1529" i="8"/>
  <c r="B1529" i="8"/>
  <c r="A1529" i="8"/>
  <c r="AA1528" i="8"/>
  <c r="W1528" i="8"/>
  <c r="U1528" i="8"/>
  <c r="P1528" i="8"/>
  <c r="M1528" i="8"/>
  <c r="J1528" i="8"/>
  <c r="H1528" i="8"/>
  <c r="B1528" i="8"/>
  <c r="A1528" i="8"/>
  <c r="AA1527" i="8"/>
  <c r="W1527" i="8"/>
  <c r="U1527" i="8"/>
  <c r="R1527" i="8"/>
  <c r="Q1527" i="8"/>
  <c r="P1527" i="8"/>
  <c r="M1527" i="8"/>
  <c r="J1527" i="8"/>
  <c r="H1527" i="8"/>
  <c r="B1527" i="8"/>
  <c r="A1527" i="8"/>
  <c r="AA1526" i="8"/>
  <c r="W1526" i="8"/>
  <c r="U1526" i="8"/>
  <c r="R1526" i="8"/>
  <c r="Q1526" i="8"/>
  <c r="M1526" i="8"/>
  <c r="J1526" i="8"/>
  <c r="H1526" i="8"/>
  <c r="B1526" i="8"/>
  <c r="A1526" i="8"/>
  <c r="AA1525" i="8"/>
  <c r="W1525" i="8"/>
  <c r="U1525" i="8"/>
  <c r="P1525" i="8"/>
  <c r="M1525" i="8"/>
  <c r="J1525" i="8"/>
  <c r="H1525" i="8"/>
  <c r="B1525" i="8"/>
  <c r="A1525" i="8"/>
  <c r="AA1524" i="8"/>
  <c r="W1524" i="8"/>
  <c r="U1524" i="8"/>
  <c r="P1524" i="8"/>
  <c r="M1524" i="8"/>
  <c r="J1524" i="8"/>
  <c r="H1524" i="8"/>
  <c r="B1524" i="8"/>
  <c r="A1524" i="8"/>
  <c r="AA1523" i="8"/>
  <c r="W1523" i="8"/>
  <c r="U1523" i="8"/>
  <c r="R1523" i="8"/>
  <c r="Q1523" i="8"/>
  <c r="P1523" i="8"/>
  <c r="M1523" i="8"/>
  <c r="J1523" i="8"/>
  <c r="H1523" i="8"/>
  <c r="B1523" i="8"/>
  <c r="A1523" i="8"/>
  <c r="AA1522" i="8"/>
  <c r="W1522" i="8"/>
  <c r="U1522" i="8"/>
  <c r="M1522" i="8"/>
  <c r="J1522" i="8"/>
  <c r="H1522" i="8"/>
  <c r="B1522" i="8"/>
  <c r="A1522" i="8"/>
  <c r="AA1521" i="8"/>
  <c r="W1521" i="8"/>
  <c r="U1521" i="8"/>
  <c r="P1521" i="8"/>
  <c r="M1521" i="8"/>
  <c r="J1521" i="8"/>
  <c r="H1521" i="8"/>
  <c r="B1521" i="8"/>
  <c r="A1521" i="8"/>
  <c r="AA1520" i="8"/>
  <c r="W1520" i="8"/>
  <c r="U1520" i="8"/>
  <c r="P1520" i="8"/>
  <c r="M1520" i="8"/>
  <c r="J1520" i="8"/>
  <c r="H1520" i="8"/>
  <c r="B1520" i="8"/>
  <c r="A1520" i="8"/>
  <c r="AA1519" i="8"/>
  <c r="W1519" i="8"/>
  <c r="U1519" i="8"/>
  <c r="M1519" i="8"/>
  <c r="J1519" i="8"/>
  <c r="H1519" i="8"/>
  <c r="B1519" i="8"/>
  <c r="A1519" i="8"/>
  <c r="AA1518" i="8"/>
  <c r="W1518" i="8"/>
  <c r="U1518" i="8"/>
  <c r="P1518" i="8"/>
  <c r="M1518" i="8"/>
  <c r="J1518" i="8"/>
  <c r="H1518" i="8"/>
  <c r="B1518" i="8"/>
  <c r="A1518" i="8"/>
  <c r="AA1517" i="8"/>
  <c r="W1517" i="8"/>
  <c r="U1517" i="8"/>
  <c r="P1517" i="8"/>
  <c r="M1517" i="8"/>
  <c r="J1517" i="8"/>
  <c r="H1517" i="8"/>
  <c r="B1517" i="8"/>
  <c r="A1517" i="8"/>
  <c r="AA1516" i="8"/>
  <c r="W1516" i="8"/>
  <c r="U1516" i="8"/>
  <c r="P1516" i="8"/>
  <c r="M1516" i="8"/>
  <c r="J1516" i="8"/>
  <c r="H1516" i="8"/>
  <c r="B1516" i="8"/>
  <c r="A1516" i="8"/>
  <c r="AA1515" i="8"/>
  <c r="W1515" i="8"/>
  <c r="U1515" i="8"/>
  <c r="P1515" i="8"/>
  <c r="M1515" i="8"/>
  <c r="J1515" i="8"/>
  <c r="H1515" i="8"/>
  <c r="B1515" i="8"/>
  <c r="A1515" i="8"/>
  <c r="AA1514" i="8"/>
  <c r="W1514" i="8"/>
  <c r="U1514" i="8"/>
  <c r="P1514" i="8"/>
  <c r="M1514" i="8"/>
  <c r="J1514" i="8"/>
  <c r="H1514" i="8"/>
  <c r="B1514" i="8"/>
  <c r="A1514" i="8"/>
  <c r="AA1513" i="8"/>
  <c r="W1513" i="8"/>
  <c r="U1513" i="8"/>
  <c r="M1513" i="8"/>
  <c r="J1513" i="8"/>
  <c r="H1513" i="8"/>
  <c r="B1513" i="8"/>
  <c r="A1513" i="8"/>
  <c r="AA1512" i="8"/>
  <c r="W1512" i="8"/>
  <c r="U1512" i="8"/>
  <c r="P1512" i="8"/>
  <c r="M1512" i="8"/>
  <c r="J1512" i="8"/>
  <c r="H1512" i="8"/>
  <c r="B1512" i="8"/>
  <c r="A1512" i="8"/>
  <c r="AA1511" i="8"/>
  <c r="W1511" i="8"/>
  <c r="U1511" i="8"/>
  <c r="M1511" i="8"/>
  <c r="J1511" i="8"/>
  <c r="H1511" i="8"/>
  <c r="B1511" i="8"/>
  <c r="A1511" i="8"/>
  <c r="AA1510" i="8"/>
  <c r="W1510" i="8"/>
  <c r="U1510" i="8"/>
  <c r="P1510" i="8"/>
  <c r="M1510" i="8"/>
  <c r="J1510" i="8"/>
  <c r="H1510" i="8"/>
  <c r="B1510" i="8"/>
  <c r="A1510" i="8"/>
  <c r="AA1509" i="8"/>
  <c r="W1509" i="8"/>
  <c r="U1509" i="8"/>
  <c r="P1509" i="8"/>
  <c r="M1509" i="8"/>
  <c r="J1509" i="8"/>
  <c r="H1509" i="8"/>
  <c r="B1509" i="8"/>
  <c r="A1509" i="8"/>
  <c r="AA1508" i="8"/>
  <c r="W1508" i="8"/>
  <c r="U1508" i="8"/>
  <c r="P1508" i="8"/>
  <c r="M1508" i="8"/>
  <c r="J1508" i="8"/>
  <c r="H1508" i="8"/>
  <c r="B1508" i="8"/>
  <c r="A1508" i="8"/>
  <c r="AA1507" i="8"/>
  <c r="W1507" i="8"/>
  <c r="U1507" i="8"/>
  <c r="P1507" i="8"/>
  <c r="M1507" i="8"/>
  <c r="J1507" i="8"/>
  <c r="H1507" i="8"/>
  <c r="B1507" i="8"/>
  <c r="A1507" i="8"/>
  <c r="AA1506" i="8"/>
  <c r="W1506" i="8"/>
  <c r="U1506" i="8"/>
  <c r="P1506" i="8"/>
  <c r="M1506" i="8"/>
  <c r="J1506" i="8"/>
  <c r="H1506" i="8"/>
  <c r="B1506" i="8"/>
  <c r="A1506" i="8"/>
  <c r="AA1505" i="8"/>
  <c r="W1505" i="8"/>
  <c r="U1505" i="8"/>
  <c r="P1505" i="8"/>
  <c r="M1505" i="8"/>
  <c r="J1505" i="8"/>
  <c r="H1505" i="8"/>
  <c r="B1505" i="8"/>
  <c r="A1505" i="8"/>
  <c r="AA1504" i="8"/>
  <c r="W1504" i="8"/>
  <c r="U1504" i="8"/>
  <c r="R1504" i="8"/>
  <c r="Q1504" i="8"/>
  <c r="P1504" i="8"/>
  <c r="M1504" i="8"/>
  <c r="J1504" i="8"/>
  <c r="H1504" i="8"/>
  <c r="B1504" i="8"/>
  <c r="A1504" i="8"/>
  <c r="AA1503" i="8"/>
  <c r="W1503" i="8"/>
  <c r="U1503" i="8"/>
  <c r="P1503" i="8"/>
  <c r="M1503" i="8"/>
  <c r="J1503" i="8"/>
  <c r="H1503" i="8"/>
  <c r="B1503" i="8"/>
  <c r="A1503" i="8"/>
  <c r="AA1502" i="8"/>
  <c r="W1502" i="8"/>
  <c r="U1502" i="8"/>
  <c r="P1502" i="8"/>
  <c r="M1502" i="8"/>
  <c r="J1502" i="8"/>
  <c r="H1502" i="8"/>
  <c r="B1502" i="8"/>
  <c r="A1502" i="8"/>
  <c r="AA1501" i="8"/>
  <c r="W1501" i="8"/>
  <c r="U1501" i="8"/>
  <c r="R1501" i="8"/>
  <c r="Q1501" i="8"/>
  <c r="P1501" i="8"/>
  <c r="M1501" i="8"/>
  <c r="J1501" i="8"/>
  <c r="H1501" i="8"/>
  <c r="B1501" i="8"/>
  <c r="A1501" i="8"/>
  <c r="AA1500" i="8"/>
  <c r="W1500" i="8"/>
  <c r="U1500" i="8"/>
  <c r="P1500" i="8"/>
  <c r="M1500" i="8"/>
  <c r="J1500" i="8"/>
  <c r="H1500" i="8"/>
  <c r="B1500" i="8"/>
  <c r="A1500" i="8"/>
  <c r="AA1499" i="8"/>
  <c r="W1499" i="8"/>
  <c r="U1499" i="8"/>
  <c r="P1499" i="8"/>
  <c r="M1499" i="8"/>
  <c r="J1499" i="8"/>
  <c r="H1499" i="8"/>
  <c r="B1499" i="8"/>
  <c r="A1499" i="8"/>
  <c r="AA1498" i="8"/>
  <c r="W1498" i="8"/>
  <c r="U1498" i="8"/>
  <c r="P1498" i="8"/>
  <c r="M1498" i="8"/>
  <c r="J1498" i="8"/>
  <c r="H1498" i="8"/>
  <c r="B1498" i="8"/>
  <c r="A1498" i="8"/>
  <c r="AA1497" i="8"/>
  <c r="W1497" i="8"/>
  <c r="U1497" i="8"/>
  <c r="M1497" i="8"/>
  <c r="J1497" i="8"/>
  <c r="H1497" i="8"/>
  <c r="B1497" i="8"/>
  <c r="A1497" i="8"/>
  <c r="AA1496" i="8"/>
  <c r="W1496" i="8"/>
  <c r="U1496" i="8"/>
  <c r="M1496" i="8"/>
  <c r="J1496" i="8"/>
  <c r="H1496" i="8"/>
  <c r="B1496" i="8"/>
  <c r="A1496" i="8"/>
  <c r="AA1495" i="8"/>
  <c r="W1495" i="8"/>
  <c r="U1495" i="8"/>
  <c r="P1495" i="8"/>
  <c r="M1495" i="8"/>
  <c r="J1495" i="8"/>
  <c r="H1495" i="8"/>
  <c r="B1495" i="8"/>
  <c r="A1495" i="8"/>
  <c r="AA1494" i="8"/>
  <c r="W1494" i="8"/>
  <c r="U1494" i="8"/>
  <c r="P1494" i="8"/>
  <c r="M1494" i="8"/>
  <c r="J1494" i="8"/>
  <c r="H1494" i="8"/>
  <c r="B1494" i="8"/>
  <c r="A1494" i="8"/>
  <c r="AA1493" i="8"/>
  <c r="W1493" i="8"/>
  <c r="U1493" i="8"/>
  <c r="P1493" i="8"/>
  <c r="M1493" i="8"/>
  <c r="J1493" i="8"/>
  <c r="H1493" i="8"/>
  <c r="B1493" i="8"/>
  <c r="A1493" i="8"/>
  <c r="AA1492" i="8"/>
  <c r="W1492" i="8"/>
  <c r="U1492" i="8"/>
  <c r="R1492" i="8"/>
  <c r="Q1492" i="8"/>
  <c r="P1492" i="8"/>
  <c r="M1492" i="8"/>
  <c r="J1492" i="8"/>
  <c r="H1492" i="8"/>
  <c r="B1492" i="8"/>
  <c r="A1492" i="8"/>
  <c r="AA1491" i="8"/>
  <c r="W1491" i="8"/>
  <c r="U1491" i="8"/>
  <c r="P1491" i="8"/>
  <c r="M1491" i="8"/>
  <c r="J1491" i="8"/>
  <c r="H1491" i="8"/>
  <c r="B1491" i="8"/>
  <c r="A1491" i="8"/>
  <c r="AA1490" i="8"/>
  <c r="W1490" i="8"/>
  <c r="U1490" i="8"/>
  <c r="M1490" i="8"/>
  <c r="J1490" i="8"/>
  <c r="H1490" i="8"/>
  <c r="B1490" i="8"/>
  <c r="A1490" i="8"/>
  <c r="AA1489" i="8"/>
  <c r="W1489" i="8"/>
  <c r="U1489" i="8"/>
  <c r="P1489" i="8"/>
  <c r="M1489" i="8"/>
  <c r="J1489" i="8"/>
  <c r="H1489" i="8"/>
  <c r="B1489" i="8"/>
  <c r="A1489" i="8"/>
  <c r="AA1488" i="8"/>
  <c r="W1488" i="8"/>
  <c r="U1488" i="8"/>
  <c r="P1488" i="8"/>
  <c r="M1488" i="8"/>
  <c r="J1488" i="8"/>
  <c r="H1488" i="8"/>
  <c r="B1488" i="8"/>
  <c r="A1488" i="8"/>
  <c r="AA1487" i="8"/>
  <c r="W1487" i="8"/>
  <c r="U1487" i="8"/>
  <c r="P1487" i="8"/>
  <c r="M1487" i="8"/>
  <c r="J1487" i="8"/>
  <c r="H1487" i="8"/>
  <c r="B1487" i="8"/>
  <c r="A1487" i="8"/>
  <c r="AA1486" i="8"/>
  <c r="W1486" i="8"/>
  <c r="U1486" i="8"/>
  <c r="P1486" i="8"/>
  <c r="M1486" i="8"/>
  <c r="J1486" i="8"/>
  <c r="H1486" i="8"/>
  <c r="B1486" i="8"/>
  <c r="A1486" i="8"/>
  <c r="AA1485" i="8"/>
  <c r="W1485" i="8"/>
  <c r="U1485" i="8"/>
  <c r="P1485" i="8"/>
  <c r="M1485" i="8"/>
  <c r="J1485" i="8"/>
  <c r="H1485" i="8"/>
  <c r="B1485" i="8"/>
  <c r="A1485" i="8"/>
  <c r="AA1484" i="8"/>
  <c r="W1484" i="8"/>
  <c r="U1484" i="8"/>
  <c r="P1484" i="8"/>
  <c r="M1484" i="8"/>
  <c r="J1484" i="8"/>
  <c r="H1484" i="8"/>
  <c r="B1484" i="8"/>
  <c r="A1484" i="8"/>
  <c r="AA1483" i="8"/>
  <c r="W1483" i="8"/>
  <c r="U1483" i="8"/>
  <c r="P1483" i="8"/>
  <c r="M1483" i="8"/>
  <c r="J1483" i="8"/>
  <c r="H1483" i="8"/>
  <c r="B1483" i="8"/>
  <c r="A1483" i="8"/>
  <c r="AA1482" i="8"/>
  <c r="W1482" i="8"/>
  <c r="U1482" i="8"/>
  <c r="M1482" i="8"/>
  <c r="J1482" i="8"/>
  <c r="H1482" i="8"/>
  <c r="B1482" i="8"/>
  <c r="A1482" i="8"/>
  <c r="AA1481" i="8"/>
  <c r="W1481" i="8"/>
  <c r="U1481" i="8"/>
  <c r="P1481" i="8"/>
  <c r="M1481" i="8"/>
  <c r="J1481" i="8"/>
  <c r="H1481" i="8"/>
  <c r="B1481" i="8"/>
  <c r="A1481" i="8"/>
  <c r="AA1480" i="8"/>
  <c r="W1480" i="8"/>
  <c r="U1480" i="8"/>
  <c r="P1480" i="8"/>
  <c r="M1480" i="8"/>
  <c r="J1480" i="8"/>
  <c r="H1480" i="8"/>
  <c r="B1480" i="8"/>
  <c r="A1480" i="8"/>
  <c r="AA1479" i="8"/>
  <c r="W1479" i="8"/>
  <c r="U1479" i="8"/>
  <c r="P1479" i="8"/>
  <c r="M1479" i="8"/>
  <c r="J1479" i="8"/>
  <c r="H1479" i="8"/>
  <c r="B1479" i="8"/>
  <c r="A1479" i="8"/>
  <c r="AA1478" i="8"/>
  <c r="W1478" i="8"/>
  <c r="U1478" i="8"/>
  <c r="P1478" i="8"/>
  <c r="M1478" i="8"/>
  <c r="J1478" i="8"/>
  <c r="H1478" i="8"/>
  <c r="B1478" i="8"/>
  <c r="A1478" i="8"/>
  <c r="AA1477" i="8"/>
  <c r="W1477" i="8"/>
  <c r="U1477" i="8"/>
  <c r="R1477" i="8"/>
  <c r="Q1477" i="8"/>
  <c r="P1477" i="8"/>
  <c r="M1477" i="8"/>
  <c r="J1477" i="8"/>
  <c r="H1477" i="8"/>
  <c r="B1477" i="8"/>
  <c r="A1477" i="8"/>
  <c r="AA1476" i="8"/>
  <c r="W1476" i="8"/>
  <c r="U1476" i="8"/>
  <c r="M1476" i="8"/>
  <c r="J1476" i="8"/>
  <c r="H1476" i="8"/>
  <c r="B1476" i="8"/>
  <c r="A1476" i="8"/>
  <c r="AA1475" i="8"/>
  <c r="W1475" i="8"/>
  <c r="U1475" i="8"/>
  <c r="P1475" i="8"/>
  <c r="M1475" i="8"/>
  <c r="J1475" i="8"/>
  <c r="H1475" i="8"/>
  <c r="B1475" i="8"/>
  <c r="A1475" i="8"/>
  <c r="AA1474" i="8"/>
  <c r="W1474" i="8"/>
  <c r="U1474" i="8"/>
  <c r="P1474" i="8"/>
  <c r="M1474" i="8"/>
  <c r="J1474" i="8"/>
  <c r="H1474" i="8"/>
  <c r="B1474" i="8"/>
  <c r="A1474" i="8"/>
  <c r="AA1473" i="8"/>
  <c r="W1473" i="8"/>
  <c r="U1473" i="8"/>
  <c r="R1473" i="8"/>
  <c r="Q1473" i="8"/>
  <c r="P1473" i="8"/>
  <c r="M1473" i="8"/>
  <c r="J1473" i="8"/>
  <c r="H1473" i="8"/>
  <c r="B1473" i="8"/>
  <c r="A1473" i="8"/>
  <c r="AA1472" i="8"/>
  <c r="W1472" i="8"/>
  <c r="U1472" i="8"/>
  <c r="P1472" i="8"/>
  <c r="M1472" i="8"/>
  <c r="J1472" i="8"/>
  <c r="H1472" i="8"/>
  <c r="B1472" i="8"/>
  <c r="A1472" i="8"/>
  <c r="AA1471" i="8"/>
  <c r="W1471" i="8"/>
  <c r="U1471" i="8"/>
  <c r="M1471" i="8"/>
  <c r="J1471" i="8"/>
  <c r="H1471" i="8"/>
  <c r="B1471" i="8"/>
  <c r="A1471" i="8"/>
  <c r="AA1470" i="8"/>
  <c r="W1470" i="8"/>
  <c r="U1470" i="8"/>
  <c r="P1470" i="8"/>
  <c r="M1470" i="8"/>
  <c r="J1470" i="8"/>
  <c r="H1470" i="8"/>
  <c r="B1470" i="8"/>
  <c r="A1470" i="8"/>
  <c r="AA1469" i="8"/>
  <c r="W1469" i="8"/>
  <c r="U1469" i="8"/>
  <c r="P1469" i="8"/>
  <c r="M1469" i="8"/>
  <c r="J1469" i="8"/>
  <c r="H1469" i="8"/>
  <c r="B1469" i="8"/>
  <c r="A1469" i="8"/>
  <c r="AA1468" i="8"/>
  <c r="W1468" i="8"/>
  <c r="U1468" i="8"/>
  <c r="P1468" i="8"/>
  <c r="M1468" i="8"/>
  <c r="J1468" i="8"/>
  <c r="H1468" i="8"/>
  <c r="B1468" i="8"/>
  <c r="A1468" i="8"/>
  <c r="AA1467" i="8"/>
  <c r="W1467" i="8"/>
  <c r="U1467" i="8"/>
  <c r="P1467" i="8"/>
  <c r="M1467" i="8"/>
  <c r="J1467" i="8"/>
  <c r="H1467" i="8"/>
  <c r="B1467" i="8"/>
  <c r="A1467" i="8"/>
  <c r="AA1466" i="8"/>
  <c r="W1466" i="8"/>
  <c r="U1466" i="8"/>
  <c r="P1466" i="8"/>
  <c r="M1466" i="8"/>
  <c r="J1466" i="8"/>
  <c r="H1466" i="8"/>
  <c r="B1466" i="8"/>
  <c r="A1466" i="8"/>
  <c r="AA1465" i="8"/>
  <c r="W1465" i="8"/>
  <c r="U1465" i="8"/>
  <c r="P1465" i="8"/>
  <c r="M1465" i="8"/>
  <c r="J1465" i="8"/>
  <c r="H1465" i="8"/>
  <c r="B1465" i="8"/>
  <c r="A1465" i="8"/>
  <c r="AA1464" i="8"/>
  <c r="W1464" i="8"/>
  <c r="U1464" i="8"/>
  <c r="R1464" i="8"/>
  <c r="Q1464" i="8"/>
  <c r="P1464" i="8"/>
  <c r="M1464" i="8"/>
  <c r="J1464" i="8"/>
  <c r="H1464" i="8"/>
  <c r="B1464" i="8"/>
  <c r="A1464" i="8"/>
  <c r="AA1463" i="8"/>
  <c r="W1463" i="8"/>
  <c r="U1463" i="8"/>
  <c r="P1463" i="8"/>
  <c r="M1463" i="8"/>
  <c r="J1463" i="8"/>
  <c r="H1463" i="8"/>
  <c r="B1463" i="8"/>
  <c r="A1463" i="8"/>
  <c r="AA1462" i="8"/>
  <c r="W1462" i="8"/>
  <c r="U1462" i="8"/>
  <c r="P1462" i="8"/>
  <c r="M1462" i="8"/>
  <c r="J1462" i="8"/>
  <c r="H1462" i="8"/>
  <c r="B1462" i="8"/>
  <c r="A1462" i="8"/>
  <c r="AA1461" i="8"/>
  <c r="W1461" i="8"/>
  <c r="U1461" i="8"/>
  <c r="P1461" i="8"/>
  <c r="M1461" i="8"/>
  <c r="J1461" i="8"/>
  <c r="H1461" i="8"/>
  <c r="B1461" i="8"/>
  <c r="A1461" i="8"/>
  <c r="AA1460" i="8"/>
  <c r="W1460" i="8"/>
  <c r="U1460" i="8"/>
  <c r="P1460" i="8"/>
  <c r="M1460" i="8"/>
  <c r="J1460" i="8"/>
  <c r="H1460" i="8"/>
  <c r="B1460" i="8"/>
  <c r="A1460" i="8"/>
  <c r="AA1459" i="8"/>
  <c r="W1459" i="8"/>
  <c r="U1459" i="8"/>
  <c r="P1459" i="8"/>
  <c r="M1459" i="8"/>
  <c r="J1459" i="8"/>
  <c r="H1459" i="8"/>
  <c r="B1459" i="8"/>
  <c r="A1459" i="8"/>
  <c r="AA1458" i="8"/>
  <c r="W1458" i="8"/>
  <c r="U1458" i="8"/>
  <c r="P1458" i="8"/>
  <c r="M1458" i="8"/>
  <c r="J1458" i="8"/>
  <c r="H1458" i="8"/>
  <c r="B1458" i="8"/>
  <c r="A1458" i="8"/>
  <c r="AA1457" i="8"/>
  <c r="W1457" i="8"/>
  <c r="U1457" i="8"/>
  <c r="M1457" i="8"/>
  <c r="J1457" i="8"/>
  <c r="H1457" i="8"/>
  <c r="B1457" i="8"/>
  <c r="A1457" i="8"/>
  <c r="AA1456" i="8"/>
  <c r="W1456" i="8"/>
  <c r="U1456" i="8"/>
  <c r="P1456" i="8"/>
  <c r="M1456" i="8"/>
  <c r="J1456" i="8"/>
  <c r="H1456" i="8"/>
  <c r="B1456" i="8"/>
  <c r="A1456" i="8"/>
  <c r="AA1455" i="8"/>
  <c r="W1455" i="8"/>
  <c r="U1455" i="8"/>
  <c r="P1455" i="8"/>
  <c r="M1455" i="8"/>
  <c r="J1455" i="8"/>
  <c r="H1455" i="8"/>
  <c r="B1455" i="8"/>
  <c r="A1455" i="8"/>
  <c r="AA1454" i="8"/>
  <c r="W1454" i="8"/>
  <c r="U1454" i="8"/>
  <c r="P1454" i="8"/>
  <c r="M1454" i="8"/>
  <c r="J1454" i="8"/>
  <c r="H1454" i="8"/>
  <c r="B1454" i="8"/>
  <c r="A1454" i="8"/>
  <c r="AA1453" i="8"/>
  <c r="W1453" i="8"/>
  <c r="U1453" i="8"/>
  <c r="P1453" i="8"/>
  <c r="M1453" i="8"/>
  <c r="J1453" i="8"/>
  <c r="H1453" i="8"/>
  <c r="B1453" i="8"/>
  <c r="A1453" i="8"/>
  <c r="AA1452" i="8"/>
  <c r="W1452" i="8"/>
  <c r="U1452" i="8"/>
  <c r="P1452" i="8"/>
  <c r="M1452" i="8"/>
  <c r="J1452" i="8"/>
  <c r="H1452" i="8"/>
  <c r="B1452" i="8"/>
  <c r="A1452" i="8"/>
  <c r="AA1451" i="8"/>
  <c r="W1451" i="8"/>
  <c r="U1451" i="8"/>
  <c r="P1451" i="8"/>
  <c r="M1451" i="8"/>
  <c r="J1451" i="8"/>
  <c r="H1451" i="8"/>
  <c r="B1451" i="8"/>
  <c r="A1451" i="8"/>
  <c r="AA1450" i="8"/>
  <c r="W1450" i="8"/>
  <c r="U1450" i="8"/>
  <c r="P1450" i="8"/>
  <c r="M1450" i="8"/>
  <c r="J1450" i="8"/>
  <c r="H1450" i="8"/>
  <c r="B1450" i="8"/>
  <c r="A1450" i="8"/>
  <c r="AA1449" i="8"/>
  <c r="W1449" i="8"/>
  <c r="U1449" i="8"/>
  <c r="P1449" i="8"/>
  <c r="M1449" i="8"/>
  <c r="J1449" i="8"/>
  <c r="H1449" i="8"/>
  <c r="B1449" i="8"/>
  <c r="A1449" i="8"/>
  <c r="AA1448" i="8"/>
  <c r="W1448" i="8"/>
  <c r="U1448" i="8"/>
  <c r="P1448" i="8"/>
  <c r="M1448" i="8"/>
  <c r="J1448" i="8"/>
  <c r="H1448" i="8"/>
  <c r="B1448" i="8"/>
  <c r="A1448" i="8"/>
  <c r="AA1447" i="8"/>
  <c r="W1447" i="8"/>
  <c r="U1447" i="8"/>
  <c r="P1447" i="8"/>
  <c r="M1447" i="8"/>
  <c r="J1447" i="8"/>
  <c r="H1447" i="8"/>
  <c r="B1447" i="8"/>
  <c r="A1447" i="8"/>
  <c r="AA1446" i="8"/>
  <c r="W1446" i="8"/>
  <c r="U1446" i="8"/>
  <c r="P1446" i="8"/>
  <c r="M1446" i="8"/>
  <c r="J1446" i="8"/>
  <c r="H1446" i="8"/>
  <c r="B1446" i="8"/>
  <c r="A1446" i="8"/>
  <c r="AA1445" i="8"/>
  <c r="W1445" i="8"/>
  <c r="U1445" i="8"/>
  <c r="P1445" i="8"/>
  <c r="M1445" i="8"/>
  <c r="J1445" i="8"/>
  <c r="H1445" i="8"/>
  <c r="B1445" i="8"/>
  <c r="A1445" i="8"/>
  <c r="AA1444" i="8"/>
  <c r="W1444" i="8"/>
  <c r="U1444" i="8"/>
  <c r="P1444" i="8"/>
  <c r="M1444" i="8"/>
  <c r="J1444" i="8"/>
  <c r="H1444" i="8"/>
  <c r="B1444" i="8"/>
  <c r="A1444" i="8"/>
  <c r="AA1443" i="8"/>
  <c r="W1443" i="8"/>
  <c r="U1443" i="8"/>
  <c r="P1443" i="8"/>
  <c r="M1443" i="8"/>
  <c r="J1443" i="8"/>
  <c r="H1443" i="8"/>
  <c r="B1443" i="8"/>
  <c r="A1443" i="8"/>
  <c r="AA1442" i="8"/>
  <c r="W1442" i="8"/>
  <c r="U1442" i="8"/>
  <c r="P1442" i="8"/>
  <c r="M1442" i="8"/>
  <c r="J1442" i="8"/>
  <c r="H1442" i="8"/>
  <c r="B1442" i="8"/>
  <c r="A1442" i="8"/>
  <c r="AA1441" i="8"/>
  <c r="W1441" i="8"/>
  <c r="U1441" i="8"/>
  <c r="P1441" i="8"/>
  <c r="M1441" i="8"/>
  <c r="J1441" i="8"/>
  <c r="H1441" i="8"/>
  <c r="B1441" i="8"/>
  <c r="A1441" i="8"/>
  <c r="AA1440" i="8"/>
  <c r="W1440" i="8"/>
  <c r="U1440" i="8"/>
  <c r="R1440" i="8"/>
  <c r="Q1440" i="8"/>
  <c r="P1440" i="8"/>
  <c r="M1440" i="8"/>
  <c r="J1440" i="8"/>
  <c r="H1440" i="8"/>
  <c r="B1440" i="8"/>
  <c r="A1440" i="8"/>
  <c r="AA1439" i="8"/>
  <c r="W1439" i="8"/>
  <c r="U1439" i="8"/>
  <c r="P1439" i="8"/>
  <c r="M1439" i="8"/>
  <c r="J1439" i="8"/>
  <c r="H1439" i="8"/>
  <c r="B1439" i="8"/>
  <c r="A1439" i="8"/>
  <c r="AA1438" i="8"/>
  <c r="W1438" i="8"/>
  <c r="U1438" i="8"/>
  <c r="P1438" i="8"/>
  <c r="M1438" i="8"/>
  <c r="J1438" i="8"/>
  <c r="H1438" i="8"/>
  <c r="B1438" i="8"/>
  <c r="A1438" i="8"/>
  <c r="AA1437" i="8"/>
  <c r="W1437" i="8"/>
  <c r="U1437" i="8"/>
  <c r="R1437" i="8"/>
  <c r="Q1437" i="8"/>
  <c r="P1437" i="8"/>
  <c r="M1437" i="8"/>
  <c r="J1437" i="8"/>
  <c r="H1437" i="8"/>
  <c r="B1437" i="8"/>
  <c r="A1437" i="8"/>
  <c r="AA1436" i="8"/>
  <c r="W1436" i="8"/>
  <c r="U1436" i="8"/>
  <c r="P1436" i="8"/>
  <c r="M1436" i="8"/>
  <c r="J1436" i="8"/>
  <c r="H1436" i="8"/>
  <c r="B1436" i="8"/>
  <c r="A1436" i="8"/>
  <c r="AA1435" i="8"/>
  <c r="W1435" i="8"/>
  <c r="U1435" i="8"/>
  <c r="P1435" i="8"/>
  <c r="M1435" i="8"/>
  <c r="J1435" i="8"/>
  <c r="H1435" i="8"/>
  <c r="B1435" i="8"/>
  <c r="A1435" i="8"/>
  <c r="AA1434" i="8"/>
  <c r="W1434" i="8"/>
  <c r="U1434" i="8"/>
  <c r="P1434" i="8"/>
  <c r="M1434" i="8"/>
  <c r="J1434" i="8"/>
  <c r="H1434" i="8"/>
  <c r="B1434" i="8"/>
  <c r="A1434" i="8"/>
  <c r="AA1433" i="8"/>
  <c r="W1433" i="8"/>
  <c r="U1433" i="8"/>
  <c r="R1433" i="8"/>
  <c r="Q1433" i="8"/>
  <c r="P1433" i="8"/>
  <c r="M1433" i="8"/>
  <c r="J1433" i="8"/>
  <c r="H1433" i="8"/>
  <c r="B1433" i="8"/>
  <c r="A1433" i="8"/>
  <c r="AA1432" i="8"/>
  <c r="W1432" i="8"/>
  <c r="U1432" i="8"/>
  <c r="P1432" i="8"/>
  <c r="M1432" i="8"/>
  <c r="J1432" i="8"/>
  <c r="H1432" i="8"/>
  <c r="B1432" i="8"/>
  <c r="A1432" i="8"/>
  <c r="AA1431" i="8"/>
  <c r="W1431" i="8"/>
  <c r="U1431" i="8"/>
  <c r="R1431" i="8"/>
  <c r="Q1431" i="8"/>
  <c r="P1431" i="8"/>
  <c r="M1431" i="8"/>
  <c r="J1431" i="8"/>
  <c r="H1431" i="8"/>
  <c r="B1431" i="8"/>
  <c r="A1431" i="8"/>
  <c r="AA1430" i="8"/>
  <c r="W1430" i="8"/>
  <c r="U1430" i="8"/>
  <c r="P1430" i="8"/>
  <c r="M1430" i="8"/>
  <c r="J1430" i="8"/>
  <c r="H1430" i="8"/>
  <c r="B1430" i="8"/>
  <c r="A1430" i="8"/>
  <c r="AA1429" i="8"/>
  <c r="W1429" i="8"/>
  <c r="U1429" i="8"/>
  <c r="P1429" i="8"/>
  <c r="M1429" i="8"/>
  <c r="J1429" i="8"/>
  <c r="H1429" i="8"/>
  <c r="B1429" i="8"/>
  <c r="A1429" i="8"/>
  <c r="AA1428" i="8"/>
  <c r="W1428" i="8"/>
  <c r="U1428" i="8"/>
  <c r="R1428" i="8"/>
  <c r="Q1428" i="8"/>
  <c r="P1428" i="8"/>
  <c r="M1428" i="8"/>
  <c r="J1428" i="8"/>
  <c r="H1428" i="8"/>
  <c r="B1428" i="8"/>
  <c r="A1428" i="8"/>
  <c r="AA1427" i="8"/>
  <c r="W1427" i="8"/>
  <c r="U1427" i="8"/>
  <c r="P1427" i="8"/>
  <c r="M1427" i="8"/>
  <c r="J1427" i="8"/>
  <c r="H1427" i="8"/>
  <c r="B1427" i="8"/>
  <c r="A1427" i="8"/>
  <c r="AA1426" i="8"/>
  <c r="W1426" i="8"/>
  <c r="U1426" i="8"/>
  <c r="P1426" i="8"/>
  <c r="M1426" i="8"/>
  <c r="J1426" i="8"/>
  <c r="H1426" i="8"/>
  <c r="B1426" i="8"/>
  <c r="A1426" i="8"/>
  <c r="AA1425" i="8"/>
  <c r="W1425" i="8"/>
  <c r="U1425" i="8"/>
  <c r="R1425" i="8"/>
  <c r="Q1425" i="8"/>
  <c r="P1425" i="8"/>
  <c r="M1425" i="8"/>
  <c r="J1425" i="8"/>
  <c r="H1425" i="8"/>
  <c r="B1425" i="8"/>
  <c r="A1425" i="8"/>
  <c r="AA1424" i="8"/>
  <c r="W1424" i="8"/>
  <c r="U1424" i="8"/>
  <c r="P1424" i="8"/>
  <c r="M1424" i="8"/>
  <c r="J1424" i="8"/>
  <c r="H1424" i="8"/>
  <c r="B1424" i="8"/>
  <c r="A1424" i="8"/>
  <c r="AA1423" i="8"/>
  <c r="W1423" i="8"/>
  <c r="U1423" i="8"/>
  <c r="R1423" i="8"/>
  <c r="Q1423" i="8"/>
  <c r="P1423" i="8"/>
  <c r="M1423" i="8"/>
  <c r="J1423" i="8"/>
  <c r="H1423" i="8"/>
  <c r="B1423" i="8"/>
  <c r="A1423" i="8"/>
  <c r="AA1422" i="8"/>
  <c r="W1422" i="8"/>
  <c r="U1422" i="8"/>
  <c r="P1422" i="8"/>
  <c r="M1422" i="8"/>
  <c r="J1422" i="8"/>
  <c r="H1422" i="8"/>
  <c r="B1422" i="8"/>
  <c r="A1422" i="8"/>
  <c r="AA1421" i="8"/>
  <c r="W1421" i="8"/>
  <c r="U1421" i="8"/>
  <c r="P1421" i="8"/>
  <c r="M1421" i="8"/>
  <c r="J1421" i="8"/>
  <c r="H1421" i="8"/>
  <c r="B1421" i="8"/>
  <c r="A1421" i="8"/>
  <c r="AA1420" i="8"/>
  <c r="W1420" i="8"/>
  <c r="U1420" i="8"/>
  <c r="P1420" i="8"/>
  <c r="M1420" i="8"/>
  <c r="J1420" i="8"/>
  <c r="H1420" i="8"/>
  <c r="B1420" i="8"/>
  <c r="A1420" i="8"/>
  <c r="AA1419" i="8"/>
  <c r="W1419" i="8"/>
  <c r="U1419" i="8"/>
  <c r="P1419" i="8"/>
  <c r="M1419" i="8"/>
  <c r="J1419" i="8"/>
  <c r="H1419" i="8"/>
  <c r="B1419" i="8"/>
  <c r="A1419" i="8"/>
  <c r="AA1418" i="8"/>
  <c r="W1418" i="8"/>
  <c r="U1418" i="8"/>
  <c r="P1418" i="8"/>
  <c r="M1418" i="8"/>
  <c r="J1418" i="8"/>
  <c r="H1418" i="8"/>
  <c r="B1418" i="8"/>
  <c r="A1418" i="8"/>
  <c r="AA1417" i="8"/>
  <c r="W1417" i="8"/>
  <c r="U1417" i="8"/>
  <c r="P1417" i="8"/>
  <c r="M1417" i="8"/>
  <c r="J1417" i="8"/>
  <c r="H1417" i="8"/>
  <c r="B1417" i="8"/>
  <c r="A1417" i="8"/>
  <c r="AA1416" i="8"/>
  <c r="W1416" i="8"/>
  <c r="U1416" i="8"/>
  <c r="P1416" i="8"/>
  <c r="M1416" i="8"/>
  <c r="J1416" i="8"/>
  <c r="H1416" i="8"/>
  <c r="B1416" i="8"/>
  <c r="A1416" i="8"/>
  <c r="AA1415" i="8"/>
  <c r="W1415" i="8"/>
  <c r="U1415" i="8"/>
  <c r="P1415" i="8"/>
  <c r="M1415" i="8"/>
  <c r="J1415" i="8"/>
  <c r="H1415" i="8"/>
  <c r="B1415" i="8"/>
  <c r="A1415" i="8"/>
  <c r="AA1414" i="8"/>
  <c r="W1414" i="8"/>
  <c r="U1414" i="8"/>
  <c r="P1414" i="8"/>
  <c r="M1414" i="8"/>
  <c r="J1414" i="8"/>
  <c r="H1414" i="8"/>
  <c r="B1414" i="8"/>
  <c r="A1414" i="8"/>
  <c r="AA1413" i="8"/>
  <c r="W1413" i="8"/>
  <c r="U1413" i="8"/>
  <c r="R1413" i="8"/>
  <c r="Q1413" i="8"/>
  <c r="P1413" i="8"/>
  <c r="M1413" i="8"/>
  <c r="J1413" i="8"/>
  <c r="H1413" i="8"/>
  <c r="B1413" i="8"/>
  <c r="A1413" i="8"/>
  <c r="AA1412" i="8"/>
  <c r="W1412" i="8"/>
  <c r="U1412" i="8"/>
  <c r="P1412" i="8"/>
  <c r="M1412" i="8"/>
  <c r="J1412" i="8"/>
  <c r="H1412" i="8"/>
  <c r="B1412" i="8"/>
  <c r="A1412" i="8"/>
  <c r="AA1411" i="8"/>
  <c r="W1411" i="8"/>
  <c r="U1411" i="8"/>
  <c r="P1411" i="8"/>
  <c r="M1411" i="8"/>
  <c r="J1411" i="8"/>
  <c r="H1411" i="8"/>
  <c r="B1411" i="8"/>
  <c r="A1411" i="8"/>
  <c r="AA1410" i="8"/>
  <c r="W1410" i="8"/>
  <c r="U1410" i="8"/>
  <c r="P1410" i="8"/>
  <c r="M1410" i="8"/>
  <c r="J1410" i="8"/>
  <c r="H1410" i="8"/>
  <c r="B1410" i="8"/>
  <c r="A1410" i="8"/>
  <c r="AA1409" i="8"/>
  <c r="W1409" i="8"/>
  <c r="U1409" i="8"/>
  <c r="P1409" i="8"/>
  <c r="M1409" i="8"/>
  <c r="J1409" i="8"/>
  <c r="H1409" i="8"/>
  <c r="B1409" i="8"/>
  <c r="A1409" i="8"/>
  <c r="AA1408" i="8"/>
  <c r="W1408" i="8"/>
  <c r="U1408" i="8"/>
  <c r="P1408" i="8"/>
  <c r="M1408" i="8"/>
  <c r="J1408" i="8"/>
  <c r="H1408" i="8"/>
  <c r="B1408" i="8"/>
  <c r="A1408" i="8"/>
  <c r="AA1407" i="8"/>
  <c r="W1407" i="8"/>
  <c r="U1407" i="8"/>
  <c r="P1407" i="8"/>
  <c r="M1407" i="8"/>
  <c r="J1407" i="8"/>
  <c r="H1407" i="8"/>
  <c r="B1407" i="8"/>
  <c r="A1407" i="8"/>
  <c r="AA1406" i="8"/>
  <c r="W1406" i="8"/>
  <c r="U1406" i="8"/>
  <c r="P1406" i="8"/>
  <c r="M1406" i="8"/>
  <c r="J1406" i="8"/>
  <c r="H1406" i="8"/>
  <c r="B1406" i="8"/>
  <c r="A1406" i="8"/>
  <c r="AA1405" i="8"/>
  <c r="W1405" i="8"/>
  <c r="U1405" i="8"/>
  <c r="P1405" i="8"/>
  <c r="M1405" i="8"/>
  <c r="J1405" i="8"/>
  <c r="H1405" i="8"/>
  <c r="B1405" i="8"/>
  <c r="A1405" i="8"/>
  <c r="AA1404" i="8"/>
  <c r="W1404" i="8"/>
  <c r="U1404" i="8"/>
  <c r="R1404" i="8"/>
  <c r="Q1404" i="8"/>
  <c r="P1404" i="8"/>
  <c r="M1404" i="8"/>
  <c r="J1404" i="8"/>
  <c r="H1404" i="8"/>
  <c r="B1404" i="8"/>
  <c r="A1404" i="8"/>
  <c r="AA1403" i="8"/>
  <c r="W1403" i="8"/>
  <c r="U1403" i="8"/>
  <c r="P1403" i="8"/>
  <c r="M1403" i="8"/>
  <c r="J1403" i="8"/>
  <c r="H1403" i="8"/>
  <c r="B1403" i="8"/>
  <c r="A1403" i="8"/>
  <c r="AA1402" i="8"/>
  <c r="W1402" i="8"/>
  <c r="U1402" i="8"/>
  <c r="P1402" i="8"/>
  <c r="M1402" i="8"/>
  <c r="J1402" i="8"/>
  <c r="H1402" i="8"/>
  <c r="B1402" i="8"/>
  <c r="A1402" i="8"/>
  <c r="AA1401" i="8"/>
  <c r="W1401" i="8"/>
  <c r="U1401" i="8"/>
  <c r="P1401" i="8"/>
  <c r="M1401" i="8"/>
  <c r="J1401" i="8"/>
  <c r="H1401" i="8"/>
  <c r="B1401" i="8"/>
  <c r="A1401" i="8"/>
  <c r="AA1400" i="8"/>
  <c r="W1400" i="8"/>
  <c r="U1400" i="8"/>
  <c r="P1400" i="8"/>
  <c r="M1400" i="8"/>
  <c r="J1400" i="8"/>
  <c r="H1400" i="8"/>
  <c r="B1400" i="8"/>
  <c r="A1400" i="8"/>
  <c r="AA1399" i="8"/>
  <c r="W1399" i="8"/>
  <c r="U1399" i="8"/>
  <c r="P1399" i="8"/>
  <c r="M1399" i="8"/>
  <c r="J1399" i="8"/>
  <c r="H1399" i="8"/>
  <c r="B1399" i="8"/>
  <c r="A1399" i="8"/>
  <c r="AA1398" i="8"/>
  <c r="W1398" i="8"/>
  <c r="U1398" i="8"/>
  <c r="P1398" i="8"/>
  <c r="M1398" i="8"/>
  <c r="J1398" i="8"/>
  <c r="H1398" i="8"/>
  <c r="B1398" i="8"/>
  <c r="A1398" i="8"/>
  <c r="AA1397" i="8"/>
  <c r="W1397" i="8"/>
  <c r="U1397" i="8"/>
  <c r="P1397" i="8"/>
  <c r="M1397" i="8"/>
  <c r="J1397" i="8"/>
  <c r="H1397" i="8"/>
  <c r="B1397" i="8"/>
  <c r="A1397" i="8"/>
  <c r="AA1396" i="8"/>
  <c r="W1396" i="8"/>
  <c r="U1396" i="8"/>
  <c r="P1396" i="8"/>
  <c r="M1396" i="8"/>
  <c r="J1396" i="8"/>
  <c r="H1396" i="8"/>
  <c r="B1396" i="8"/>
  <c r="A1396" i="8"/>
  <c r="AA1395" i="8"/>
  <c r="W1395" i="8"/>
  <c r="U1395" i="8"/>
  <c r="P1395" i="8"/>
  <c r="M1395" i="8"/>
  <c r="J1395" i="8"/>
  <c r="H1395" i="8"/>
  <c r="B1395" i="8"/>
  <c r="A1395" i="8"/>
  <c r="AA1394" i="8"/>
  <c r="W1394" i="8"/>
  <c r="U1394" i="8"/>
  <c r="P1394" i="8"/>
  <c r="M1394" i="8"/>
  <c r="J1394" i="8"/>
  <c r="H1394" i="8"/>
  <c r="B1394" i="8"/>
  <c r="A1394" i="8"/>
  <c r="AA1393" i="8"/>
  <c r="W1393" i="8"/>
  <c r="U1393" i="8"/>
  <c r="P1393" i="8"/>
  <c r="M1393" i="8"/>
  <c r="J1393" i="8"/>
  <c r="H1393" i="8"/>
  <c r="B1393" i="8"/>
  <c r="A1393" i="8"/>
  <c r="AA1392" i="8"/>
  <c r="W1392" i="8"/>
  <c r="U1392" i="8"/>
  <c r="P1392" i="8"/>
  <c r="M1392" i="8"/>
  <c r="J1392" i="8"/>
  <c r="H1392" i="8"/>
  <c r="B1392" i="8"/>
  <c r="A1392" i="8"/>
  <c r="AA1391" i="8"/>
  <c r="W1391" i="8"/>
  <c r="U1391" i="8"/>
  <c r="P1391" i="8"/>
  <c r="M1391" i="8"/>
  <c r="J1391" i="8"/>
  <c r="H1391" i="8"/>
  <c r="B1391" i="8"/>
  <c r="A1391" i="8"/>
  <c r="AA1390" i="8"/>
  <c r="W1390" i="8"/>
  <c r="U1390" i="8"/>
  <c r="P1390" i="8"/>
  <c r="M1390" i="8"/>
  <c r="J1390" i="8"/>
  <c r="H1390" i="8"/>
  <c r="B1390" i="8"/>
  <c r="A1390" i="8"/>
  <c r="AA1389" i="8"/>
  <c r="W1389" i="8"/>
  <c r="U1389" i="8"/>
  <c r="P1389" i="8"/>
  <c r="M1389" i="8"/>
  <c r="J1389" i="8"/>
  <c r="H1389" i="8"/>
  <c r="B1389" i="8"/>
  <c r="A1389" i="8"/>
  <c r="AA1388" i="8"/>
  <c r="W1388" i="8"/>
  <c r="U1388" i="8"/>
  <c r="R1388" i="8"/>
  <c r="Q1388" i="8"/>
  <c r="P1388" i="8"/>
  <c r="M1388" i="8"/>
  <c r="J1388" i="8"/>
  <c r="H1388" i="8"/>
  <c r="B1388" i="8"/>
  <c r="A1388" i="8"/>
  <c r="AA1387" i="8"/>
  <c r="W1387" i="8"/>
  <c r="U1387" i="8"/>
  <c r="R1387" i="8"/>
  <c r="Q1387" i="8"/>
  <c r="P1387" i="8"/>
  <c r="M1387" i="8"/>
  <c r="J1387" i="8"/>
  <c r="H1387" i="8"/>
  <c r="B1387" i="8"/>
  <c r="A1387" i="8"/>
  <c r="AA1386" i="8"/>
  <c r="W1386" i="8"/>
  <c r="U1386" i="8"/>
  <c r="P1386" i="8"/>
  <c r="M1386" i="8"/>
  <c r="J1386" i="8"/>
  <c r="H1386" i="8"/>
  <c r="B1386" i="8"/>
  <c r="A1386" i="8"/>
  <c r="AA1385" i="8"/>
  <c r="W1385" i="8"/>
  <c r="U1385" i="8"/>
  <c r="P1385" i="8"/>
  <c r="M1385" i="8"/>
  <c r="J1385" i="8"/>
  <c r="H1385" i="8"/>
  <c r="B1385" i="8"/>
  <c r="A1385" i="8"/>
  <c r="AA1384" i="8"/>
  <c r="W1384" i="8"/>
  <c r="U1384" i="8"/>
  <c r="P1384" i="8"/>
  <c r="M1384" i="8"/>
  <c r="J1384" i="8"/>
  <c r="H1384" i="8"/>
  <c r="B1384" i="8"/>
  <c r="A1384" i="8"/>
  <c r="AA1383" i="8"/>
  <c r="W1383" i="8"/>
  <c r="U1383" i="8"/>
  <c r="P1383" i="8"/>
  <c r="M1383" i="8"/>
  <c r="J1383" i="8"/>
  <c r="H1383" i="8"/>
  <c r="B1383" i="8"/>
  <c r="A1383" i="8"/>
  <c r="AA1382" i="8"/>
  <c r="W1382" i="8"/>
  <c r="U1382" i="8"/>
  <c r="P1382" i="8"/>
  <c r="M1382" i="8"/>
  <c r="J1382" i="8"/>
  <c r="H1382" i="8"/>
  <c r="B1382" i="8"/>
  <c r="A1382" i="8"/>
  <c r="AA1381" i="8"/>
  <c r="W1381" i="8"/>
  <c r="U1381" i="8"/>
  <c r="P1381" i="8"/>
  <c r="M1381" i="8"/>
  <c r="J1381" i="8"/>
  <c r="H1381" i="8"/>
  <c r="B1381" i="8"/>
  <c r="A1381" i="8"/>
  <c r="AA1380" i="8"/>
  <c r="W1380" i="8"/>
  <c r="U1380" i="8"/>
  <c r="P1380" i="8"/>
  <c r="M1380" i="8"/>
  <c r="J1380" i="8"/>
  <c r="H1380" i="8"/>
  <c r="B1380" i="8"/>
  <c r="A1380" i="8"/>
  <c r="AA1379" i="8"/>
  <c r="W1379" i="8"/>
  <c r="U1379" i="8"/>
  <c r="P1379" i="8"/>
  <c r="M1379" i="8"/>
  <c r="J1379" i="8"/>
  <c r="H1379" i="8"/>
  <c r="B1379" i="8"/>
  <c r="A1379" i="8"/>
  <c r="AA1378" i="8"/>
  <c r="W1378" i="8"/>
  <c r="U1378" i="8"/>
  <c r="R1378" i="8"/>
  <c r="Q1378" i="8"/>
  <c r="P1378" i="8"/>
  <c r="M1378" i="8"/>
  <c r="J1378" i="8"/>
  <c r="H1378" i="8"/>
  <c r="B1378" i="8"/>
  <c r="A1378" i="8"/>
  <c r="AA1377" i="8"/>
  <c r="W1377" i="8"/>
  <c r="U1377" i="8"/>
  <c r="R1377" i="8"/>
  <c r="Q1377" i="8"/>
  <c r="P1377" i="8"/>
  <c r="M1377" i="8"/>
  <c r="J1377" i="8"/>
  <c r="H1377" i="8"/>
  <c r="B1377" i="8"/>
  <c r="A1377" i="8"/>
  <c r="AA1376" i="8"/>
  <c r="W1376" i="8"/>
  <c r="U1376" i="8"/>
  <c r="R1376" i="8"/>
  <c r="Q1376" i="8"/>
  <c r="P1376" i="8"/>
  <c r="M1376" i="8"/>
  <c r="J1376" i="8"/>
  <c r="H1376" i="8"/>
  <c r="B1376" i="8"/>
  <c r="A1376" i="8"/>
  <c r="AA1375" i="8"/>
  <c r="W1375" i="8"/>
  <c r="U1375" i="8"/>
  <c r="P1375" i="8"/>
  <c r="M1375" i="8"/>
  <c r="J1375" i="8"/>
  <c r="H1375" i="8"/>
  <c r="B1375" i="8"/>
  <c r="A1375" i="8"/>
  <c r="AA1374" i="8"/>
  <c r="W1374" i="8"/>
  <c r="U1374" i="8"/>
  <c r="P1374" i="8"/>
  <c r="M1374" i="8"/>
  <c r="J1374" i="8"/>
  <c r="H1374" i="8"/>
  <c r="B1374" i="8"/>
  <c r="A1374" i="8"/>
  <c r="AA1373" i="8"/>
  <c r="W1373" i="8"/>
  <c r="U1373" i="8"/>
  <c r="P1373" i="8"/>
  <c r="M1373" i="8"/>
  <c r="J1373" i="8"/>
  <c r="H1373" i="8"/>
  <c r="B1373" i="8"/>
  <c r="A1373" i="8"/>
  <c r="AA1372" i="8"/>
  <c r="W1372" i="8"/>
  <c r="U1372" i="8"/>
  <c r="P1372" i="8"/>
  <c r="M1372" i="8"/>
  <c r="J1372" i="8"/>
  <c r="H1372" i="8"/>
  <c r="B1372" i="8"/>
  <c r="A1372" i="8"/>
  <c r="AA1371" i="8"/>
  <c r="W1371" i="8"/>
  <c r="U1371" i="8"/>
  <c r="P1371" i="8"/>
  <c r="M1371" i="8"/>
  <c r="J1371" i="8"/>
  <c r="H1371" i="8"/>
  <c r="B1371" i="8"/>
  <c r="A1371" i="8"/>
  <c r="AA1370" i="8"/>
  <c r="W1370" i="8"/>
  <c r="U1370" i="8"/>
  <c r="P1370" i="8"/>
  <c r="M1370" i="8"/>
  <c r="J1370" i="8"/>
  <c r="H1370" i="8"/>
  <c r="B1370" i="8"/>
  <c r="A1370" i="8"/>
  <c r="AA1369" i="8"/>
  <c r="W1369" i="8"/>
  <c r="U1369" i="8"/>
  <c r="R1369" i="8"/>
  <c r="Q1369" i="8"/>
  <c r="P1369" i="8"/>
  <c r="M1369" i="8"/>
  <c r="J1369" i="8"/>
  <c r="H1369" i="8"/>
  <c r="B1369" i="8"/>
  <c r="A1369" i="8"/>
  <c r="AA1368" i="8"/>
  <c r="W1368" i="8"/>
  <c r="U1368" i="8"/>
  <c r="P1368" i="8"/>
  <c r="M1368" i="8"/>
  <c r="J1368" i="8"/>
  <c r="H1368" i="8"/>
  <c r="B1368" i="8"/>
  <c r="A1368" i="8"/>
  <c r="AA1367" i="8"/>
  <c r="W1367" i="8"/>
  <c r="U1367" i="8"/>
  <c r="P1367" i="8"/>
  <c r="M1367" i="8"/>
  <c r="J1367" i="8"/>
  <c r="H1367" i="8"/>
  <c r="B1367" i="8"/>
  <c r="A1367" i="8"/>
  <c r="AA1366" i="8"/>
  <c r="W1366" i="8"/>
  <c r="U1366" i="8"/>
  <c r="P1366" i="8"/>
  <c r="M1366" i="8"/>
  <c r="J1366" i="8"/>
  <c r="H1366" i="8"/>
  <c r="B1366" i="8"/>
  <c r="A1366" i="8"/>
  <c r="AA1365" i="8"/>
  <c r="W1365" i="8"/>
  <c r="U1365" i="8"/>
  <c r="P1365" i="8"/>
  <c r="M1365" i="8"/>
  <c r="J1365" i="8"/>
  <c r="H1365" i="8"/>
  <c r="B1365" i="8"/>
  <c r="A1365" i="8"/>
  <c r="AA1364" i="8"/>
  <c r="W1364" i="8"/>
  <c r="U1364" i="8"/>
  <c r="P1364" i="8"/>
  <c r="M1364" i="8"/>
  <c r="J1364" i="8"/>
  <c r="H1364" i="8"/>
  <c r="B1364" i="8"/>
  <c r="A1364" i="8"/>
  <c r="AA1363" i="8"/>
  <c r="W1363" i="8"/>
  <c r="U1363" i="8"/>
  <c r="P1363" i="8"/>
  <c r="M1363" i="8"/>
  <c r="J1363" i="8"/>
  <c r="H1363" i="8"/>
  <c r="B1363" i="8"/>
  <c r="A1363" i="8"/>
  <c r="AA1362" i="8"/>
  <c r="W1362" i="8"/>
  <c r="U1362" i="8"/>
  <c r="P1362" i="8"/>
  <c r="M1362" i="8"/>
  <c r="J1362" i="8"/>
  <c r="H1362" i="8"/>
  <c r="B1362" i="8"/>
  <c r="A1362" i="8"/>
  <c r="AA1361" i="8"/>
  <c r="W1361" i="8"/>
  <c r="U1361" i="8"/>
  <c r="P1361" i="8"/>
  <c r="M1361" i="8"/>
  <c r="J1361" i="8"/>
  <c r="H1361" i="8"/>
  <c r="B1361" i="8"/>
  <c r="A1361" i="8"/>
  <c r="AA1360" i="8"/>
  <c r="W1360" i="8"/>
  <c r="U1360" i="8"/>
  <c r="P1360" i="8"/>
  <c r="M1360" i="8"/>
  <c r="J1360" i="8"/>
  <c r="H1360" i="8"/>
  <c r="B1360" i="8"/>
  <c r="A1360" i="8"/>
  <c r="AA1359" i="8"/>
  <c r="W1359" i="8"/>
  <c r="U1359" i="8"/>
  <c r="P1359" i="8"/>
  <c r="M1359" i="8"/>
  <c r="J1359" i="8"/>
  <c r="H1359" i="8"/>
  <c r="B1359" i="8"/>
  <c r="A1359" i="8"/>
  <c r="AA1358" i="8"/>
  <c r="W1358" i="8"/>
  <c r="U1358" i="8"/>
  <c r="R1358" i="8"/>
  <c r="Q1358" i="8"/>
  <c r="P1358" i="8"/>
  <c r="M1358" i="8"/>
  <c r="J1358" i="8"/>
  <c r="H1358" i="8"/>
  <c r="B1358" i="8"/>
  <c r="A1358" i="8"/>
  <c r="AA1357" i="8"/>
  <c r="W1357" i="8"/>
  <c r="U1357" i="8"/>
  <c r="P1357" i="8"/>
  <c r="M1357" i="8"/>
  <c r="J1357" i="8"/>
  <c r="H1357" i="8"/>
  <c r="B1357" i="8"/>
  <c r="A1357" i="8"/>
  <c r="AA1356" i="8"/>
  <c r="W1356" i="8"/>
  <c r="U1356" i="8"/>
  <c r="P1356" i="8"/>
  <c r="M1356" i="8"/>
  <c r="J1356" i="8"/>
  <c r="H1356" i="8"/>
  <c r="B1356" i="8"/>
  <c r="A1356" i="8"/>
  <c r="AA1355" i="8"/>
  <c r="W1355" i="8"/>
  <c r="U1355" i="8"/>
  <c r="P1355" i="8"/>
  <c r="M1355" i="8"/>
  <c r="J1355" i="8"/>
  <c r="H1355" i="8"/>
  <c r="B1355" i="8"/>
  <c r="A1355" i="8"/>
  <c r="AA1354" i="8"/>
  <c r="W1354" i="8"/>
  <c r="U1354" i="8"/>
  <c r="P1354" i="8"/>
  <c r="M1354" i="8"/>
  <c r="J1354" i="8"/>
  <c r="H1354" i="8"/>
  <c r="B1354" i="8"/>
  <c r="A1354" i="8"/>
  <c r="AA1353" i="8"/>
  <c r="W1353" i="8"/>
  <c r="U1353" i="8"/>
  <c r="P1353" i="8"/>
  <c r="M1353" i="8"/>
  <c r="J1353" i="8"/>
  <c r="H1353" i="8"/>
  <c r="B1353" i="8"/>
  <c r="A1353" i="8"/>
  <c r="AA1352" i="8"/>
  <c r="W1352" i="8"/>
  <c r="U1352" i="8"/>
  <c r="P1352" i="8"/>
  <c r="M1352" i="8"/>
  <c r="J1352" i="8"/>
  <c r="H1352" i="8"/>
  <c r="B1352" i="8"/>
  <c r="A1352" i="8"/>
  <c r="AA1351" i="8"/>
  <c r="W1351" i="8"/>
  <c r="U1351" i="8"/>
  <c r="P1351" i="8"/>
  <c r="M1351" i="8"/>
  <c r="J1351" i="8"/>
  <c r="H1351" i="8"/>
  <c r="B1351" i="8"/>
  <c r="A1351" i="8"/>
  <c r="AA1350" i="8"/>
  <c r="W1350" i="8"/>
  <c r="U1350" i="8"/>
  <c r="P1350" i="8"/>
  <c r="M1350" i="8"/>
  <c r="J1350" i="8"/>
  <c r="H1350" i="8"/>
  <c r="B1350" i="8"/>
  <c r="A1350" i="8"/>
  <c r="AA1349" i="8"/>
  <c r="W1349" i="8"/>
  <c r="U1349" i="8"/>
  <c r="P1349" i="8"/>
  <c r="M1349" i="8"/>
  <c r="J1349" i="8"/>
  <c r="H1349" i="8"/>
  <c r="B1349" i="8"/>
  <c r="A1349" i="8"/>
  <c r="AA1348" i="8"/>
  <c r="W1348" i="8"/>
  <c r="U1348" i="8"/>
  <c r="P1348" i="8"/>
  <c r="M1348" i="8"/>
  <c r="J1348" i="8"/>
  <c r="H1348" i="8"/>
  <c r="B1348" i="8"/>
  <c r="A1348" i="8"/>
  <c r="AA1347" i="8"/>
  <c r="W1347" i="8"/>
  <c r="U1347" i="8"/>
  <c r="P1347" i="8"/>
  <c r="M1347" i="8"/>
  <c r="J1347" i="8"/>
  <c r="H1347" i="8"/>
  <c r="B1347" i="8"/>
  <c r="A1347" i="8"/>
  <c r="AA1346" i="8"/>
  <c r="W1346" i="8"/>
  <c r="U1346" i="8"/>
  <c r="P1346" i="8"/>
  <c r="M1346" i="8"/>
  <c r="J1346" i="8"/>
  <c r="H1346" i="8"/>
  <c r="B1346" i="8"/>
  <c r="A1346" i="8"/>
  <c r="AA1345" i="8"/>
  <c r="W1345" i="8"/>
  <c r="U1345" i="8"/>
  <c r="P1345" i="8"/>
  <c r="M1345" i="8"/>
  <c r="J1345" i="8"/>
  <c r="H1345" i="8"/>
  <c r="B1345" i="8"/>
  <c r="A1345" i="8"/>
  <c r="AA1344" i="8"/>
  <c r="W1344" i="8"/>
  <c r="U1344" i="8"/>
  <c r="P1344" i="8"/>
  <c r="M1344" i="8"/>
  <c r="J1344" i="8"/>
  <c r="H1344" i="8"/>
  <c r="B1344" i="8"/>
  <c r="A1344" i="8"/>
  <c r="AA1343" i="8"/>
  <c r="W1343" i="8"/>
  <c r="U1343" i="8"/>
  <c r="R1343" i="8"/>
  <c r="Q1343" i="8"/>
  <c r="P1343" i="8"/>
  <c r="M1343" i="8"/>
  <c r="J1343" i="8"/>
  <c r="H1343" i="8"/>
  <c r="B1343" i="8"/>
  <c r="A1343" i="8"/>
  <c r="AA1342" i="8"/>
  <c r="W1342" i="8"/>
  <c r="U1342" i="8"/>
  <c r="P1342" i="8"/>
  <c r="M1342" i="8"/>
  <c r="J1342" i="8"/>
  <c r="H1342" i="8"/>
  <c r="B1342" i="8"/>
  <c r="A1342" i="8"/>
  <c r="AA1341" i="8"/>
  <c r="W1341" i="8"/>
  <c r="U1341" i="8"/>
  <c r="P1341" i="8"/>
  <c r="M1341" i="8"/>
  <c r="J1341" i="8"/>
  <c r="H1341" i="8"/>
  <c r="B1341" i="8"/>
  <c r="A1341" i="8"/>
  <c r="AA1340" i="8"/>
  <c r="W1340" i="8"/>
  <c r="U1340" i="8"/>
  <c r="P1340" i="8"/>
  <c r="M1340" i="8"/>
  <c r="J1340" i="8"/>
  <c r="H1340" i="8"/>
  <c r="B1340" i="8"/>
  <c r="A1340" i="8"/>
  <c r="AA1339" i="8"/>
  <c r="W1339" i="8"/>
  <c r="U1339" i="8"/>
  <c r="P1339" i="8"/>
  <c r="M1339" i="8"/>
  <c r="J1339" i="8"/>
  <c r="H1339" i="8"/>
  <c r="B1339" i="8"/>
  <c r="A1339" i="8"/>
  <c r="AA1338" i="8"/>
  <c r="W1338" i="8"/>
  <c r="U1338" i="8"/>
  <c r="R1338" i="8"/>
  <c r="Q1338" i="8"/>
  <c r="P1338" i="8"/>
  <c r="M1338" i="8"/>
  <c r="J1338" i="8"/>
  <c r="H1338" i="8"/>
  <c r="B1338" i="8"/>
  <c r="A1338" i="8"/>
  <c r="AA1337" i="8"/>
  <c r="W1337" i="8"/>
  <c r="U1337" i="8"/>
  <c r="P1337" i="8"/>
  <c r="M1337" i="8"/>
  <c r="J1337" i="8"/>
  <c r="H1337" i="8"/>
  <c r="B1337" i="8"/>
  <c r="A1337" i="8"/>
  <c r="AA1336" i="8"/>
  <c r="W1336" i="8"/>
  <c r="U1336" i="8"/>
  <c r="P1336" i="8"/>
  <c r="M1336" i="8"/>
  <c r="J1336" i="8"/>
  <c r="H1336" i="8"/>
  <c r="B1336" i="8"/>
  <c r="A1336" i="8"/>
  <c r="AA1335" i="8"/>
  <c r="W1335" i="8"/>
  <c r="U1335" i="8"/>
  <c r="P1335" i="8"/>
  <c r="M1335" i="8"/>
  <c r="J1335" i="8"/>
  <c r="H1335" i="8"/>
  <c r="B1335" i="8"/>
  <c r="A1335" i="8"/>
  <c r="AA1334" i="8"/>
  <c r="W1334" i="8"/>
  <c r="U1334" i="8"/>
  <c r="P1334" i="8"/>
  <c r="M1334" i="8"/>
  <c r="J1334" i="8"/>
  <c r="H1334" i="8"/>
  <c r="B1334" i="8"/>
  <c r="A1334" i="8"/>
  <c r="AA1333" i="8"/>
  <c r="W1333" i="8"/>
  <c r="U1333" i="8"/>
  <c r="P1333" i="8"/>
  <c r="M1333" i="8"/>
  <c r="J1333" i="8"/>
  <c r="H1333" i="8"/>
  <c r="B1333" i="8"/>
  <c r="A1333" i="8"/>
  <c r="AA1332" i="8"/>
  <c r="W1332" i="8"/>
  <c r="U1332" i="8"/>
  <c r="P1332" i="8"/>
  <c r="M1332" i="8"/>
  <c r="J1332" i="8"/>
  <c r="H1332" i="8"/>
  <c r="B1332" i="8"/>
  <c r="A1332" i="8"/>
  <c r="AA1331" i="8"/>
  <c r="W1331" i="8"/>
  <c r="U1331" i="8"/>
  <c r="P1331" i="8"/>
  <c r="M1331" i="8"/>
  <c r="J1331" i="8"/>
  <c r="H1331" i="8"/>
  <c r="B1331" i="8"/>
  <c r="A1331" i="8"/>
  <c r="AA1330" i="8"/>
  <c r="W1330" i="8"/>
  <c r="U1330" i="8"/>
  <c r="P1330" i="8"/>
  <c r="M1330" i="8"/>
  <c r="J1330" i="8"/>
  <c r="H1330" i="8"/>
  <c r="B1330" i="8"/>
  <c r="A1330" i="8"/>
  <c r="AA1329" i="8"/>
  <c r="W1329" i="8"/>
  <c r="U1329" i="8"/>
  <c r="P1329" i="8"/>
  <c r="M1329" i="8"/>
  <c r="J1329" i="8"/>
  <c r="H1329" i="8"/>
  <c r="B1329" i="8"/>
  <c r="A1329" i="8"/>
  <c r="AA1328" i="8"/>
  <c r="W1328" i="8"/>
  <c r="U1328" i="8"/>
  <c r="P1328" i="8"/>
  <c r="M1328" i="8"/>
  <c r="J1328" i="8"/>
  <c r="H1328" i="8"/>
  <c r="B1328" i="8"/>
  <c r="A1328" i="8"/>
  <c r="AA1327" i="8"/>
  <c r="W1327" i="8"/>
  <c r="U1327" i="8"/>
  <c r="P1327" i="8"/>
  <c r="M1327" i="8"/>
  <c r="J1327" i="8"/>
  <c r="H1327" i="8"/>
  <c r="B1327" i="8"/>
  <c r="A1327" i="8"/>
  <c r="AA1326" i="8"/>
  <c r="W1326" i="8"/>
  <c r="U1326" i="8"/>
  <c r="P1326" i="8"/>
  <c r="M1326" i="8"/>
  <c r="J1326" i="8"/>
  <c r="H1326" i="8"/>
  <c r="B1326" i="8"/>
  <c r="A1326" i="8"/>
  <c r="AA1325" i="8"/>
  <c r="W1325" i="8"/>
  <c r="U1325" i="8"/>
  <c r="P1325" i="8"/>
  <c r="M1325" i="8"/>
  <c r="J1325" i="8"/>
  <c r="H1325" i="8"/>
  <c r="B1325" i="8"/>
  <c r="A1325" i="8"/>
  <c r="AA1324" i="8"/>
  <c r="W1324" i="8"/>
  <c r="U1324" i="8"/>
  <c r="P1324" i="8"/>
  <c r="M1324" i="8"/>
  <c r="J1324" i="8"/>
  <c r="H1324" i="8"/>
  <c r="B1324" i="8"/>
  <c r="A1324" i="8"/>
  <c r="AA1323" i="8"/>
  <c r="W1323" i="8"/>
  <c r="U1323" i="8"/>
  <c r="P1323" i="8"/>
  <c r="M1323" i="8"/>
  <c r="J1323" i="8"/>
  <c r="H1323" i="8"/>
  <c r="B1323" i="8"/>
  <c r="A1323" i="8"/>
  <c r="AA1322" i="8"/>
  <c r="W1322" i="8"/>
  <c r="U1322" i="8"/>
  <c r="P1322" i="8"/>
  <c r="M1322" i="8"/>
  <c r="J1322" i="8"/>
  <c r="H1322" i="8"/>
  <c r="B1322" i="8"/>
  <c r="A1322" i="8"/>
  <c r="AA1321" i="8"/>
  <c r="W1321" i="8"/>
  <c r="U1321" i="8"/>
  <c r="P1321" i="8"/>
  <c r="M1321" i="8"/>
  <c r="J1321" i="8"/>
  <c r="H1321" i="8"/>
  <c r="B1321" i="8"/>
  <c r="A1321" i="8"/>
  <c r="AA1320" i="8"/>
  <c r="W1320" i="8"/>
  <c r="U1320" i="8"/>
  <c r="P1320" i="8"/>
  <c r="M1320" i="8"/>
  <c r="J1320" i="8"/>
  <c r="H1320" i="8"/>
  <c r="B1320" i="8"/>
  <c r="A1320" i="8"/>
  <c r="AA1319" i="8"/>
  <c r="W1319" i="8"/>
  <c r="U1319" i="8"/>
  <c r="P1319" i="8"/>
  <c r="M1319" i="8"/>
  <c r="J1319" i="8"/>
  <c r="H1319" i="8"/>
  <c r="B1319" i="8"/>
  <c r="A1319" i="8"/>
  <c r="AA1318" i="8"/>
  <c r="W1318" i="8"/>
  <c r="U1318" i="8"/>
  <c r="P1318" i="8"/>
  <c r="M1318" i="8"/>
  <c r="J1318" i="8"/>
  <c r="H1318" i="8"/>
  <c r="B1318" i="8"/>
  <c r="A1318" i="8"/>
  <c r="AA1317" i="8"/>
  <c r="W1317" i="8"/>
  <c r="U1317" i="8"/>
  <c r="P1317" i="8"/>
  <c r="M1317" i="8"/>
  <c r="J1317" i="8"/>
  <c r="H1317" i="8"/>
  <c r="B1317" i="8"/>
  <c r="A1317" i="8"/>
  <c r="AA1316" i="8"/>
  <c r="W1316" i="8"/>
  <c r="U1316" i="8"/>
  <c r="P1316" i="8"/>
  <c r="M1316" i="8"/>
  <c r="J1316" i="8"/>
  <c r="H1316" i="8"/>
  <c r="B1316" i="8"/>
  <c r="A1316" i="8"/>
  <c r="AA1315" i="8"/>
  <c r="W1315" i="8"/>
  <c r="U1315" i="8"/>
  <c r="P1315" i="8"/>
  <c r="M1315" i="8"/>
  <c r="J1315" i="8"/>
  <c r="H1315" i="8"/>
  <c r="B1315" i="8"/>
  <c r="A1315" i="8"/>
  <c r="AA1314" i="8"/>
  <c r="W1314" i="8"/>
  <c r="U1314" i="8"/>
  <c r="P1314" i="8"/>
  <c r="M1314" i="8"/>
  <c r="J1314" i="8"/>
  <c r="H1314" i="8"/>
  <c r="B1314" i="8"/>
  <c r="A1314" i="8"/>
  <c r="AA1313" i="8"/>
  <c r="W1313" i="8"/>
  <c r="U1313" i="8"/>
  <c r="R1313" i="8"/>
  <c r="Q1313" i="8"/>
  <c r="P1313" i="8"/>
  <c r="M1313" i="8"/>
  <c r="J1313" i="8"/>
  <c r="H1313" i="8"/>
  <c r="B1313" i="8"/>
  <c r="A1313" i="8"/>
  <c r="AA1312" i="8"/>
  <c r="W1312" i="8"/>
  <c r="U1312" i="8"/>
  <c r="P1312" i="8"/>
  <c r="M1312" i="8"/>
  <c r="J1312" i="8"/>
  <c r="H1312" i="8"/>
  <c r="B1312" i="8"/>
  <c r="A1312" i="8"/>
  <c r="AA1311" i="8"/>
  <c r="W1311" i="8"/>
  <c r="U1311" i="8"/>
  <c r="P1311" i="8"/>
  <c r="M1311" i="8"/>
  <c r="J1311" i="8"/>
  <c r="H1311" i="8"/>
  <c r="B1311" i="8"/>
  <c r="A1311" i="8"/>
  <c r="AA1310" i="8"/>
  <c r="W1310" i="8"/>
  <c r="U1310" i="8"/>
  <c r="P1310" i="8"/>
  <c r="M1310" i="8"/>
  <c r="J1310" i="8"/>
  <c r="H1310" i="8"/>
  <c r="B1310" i="8"/>
  <c r="A1310" i="8"/>
  <c r="AA1309" i="8"/>
  <c r="W1309" i="8"/>
  <c r="U1309" i="8"/>
  <c r="P1309" i="8"/>
  <c r="M1309" i="8"/>
  <c r="J1309" i="8"/>
  <c r="H1309" i="8"/>
  <c r="B1309" i="8"/>
  <c r="A1309" i="8"/>
  <c r="AA1308" i="8"/>
  <c r="W1308" i="8"/>
  <c r="U1308" i="8"/>
  <c r="P1308" i="8"/>
  <c r="M1308" i="8"/>
  <c r="J1308" i="8"/>
  <c r="H1308" i="8"/>
  <c r="B1308" i="8"/>
  <c r="A1308" i="8"/>
  <c r="AA1307" i="8"/>
  <c r="W1307" i="8"/>
  <c r="U1307" i="8"/>
  <c r="P1307" i="8"/>
  <c r="M1307" i="8"/>
  <c r="J1307" i="8"/>
  <c r="H1307" i="8"/>
  <c r="B1307" i="8"/>
  <c r="A1307" i="8"/>
  <c r="AA1306" i="8"/>
  <c r="W1306" i="8"/>
  <c r="U1306" i="8"/>
  <c r="R1306" i="8"/>
  <c r="Q1306" i="8"/>
  <c r="P1306" i="8"/>
  <c r="M1306" i="8"/>
  <c r="J1306" i="8"/>
  <c r="H1306" i="8"/>
  <c r="B1306" i="8"/>
  <c r="A1306" i="8"/>
  <c r="AA1305" i="8"/>
  <c r="W1305" i="8"/>
  <c r="U1305" i="8"/>
  <c r="P1305" i="8"/>
  <c r="M1305" i="8"/>
  <c r="J1305" i="8"/>
  <c r="H1305" i="8"/>
  <c r="B1305" i="8"/>
  <c r="A1305" i="8"/>
  <c r="AA1304" i="8"/>
  <c r="W1304" i="8"/>
  <c r="U1304" i="8"/>
  <c r="P1304" i="8"/>
  <c r="M1304" i="8"/>
  <c r="J1304" i="8"/>
  <c r="H1304" i="8"/>
  <c r="B1304" i="8"/>
  <c r="A1304" i="8"/>
  <c r="AA1303" i="8"/>
  <c r="W1303" i="8"/>
  <c r="U1303" i="8"/>
  <c r="P1303" i="8"/>
  <c r="M1303" i="8"/>
  <c r="J1303" i="8"/>
  <c r="H1303" i="8"/>
  <c r="B1303" i="8"/>
  <c r="A1303" i="8"/>
  <c r="AA1302" i="8"/>
  <c r="W1302" i="8"/>
  <c r="U1302" i="8"/>
  <c r="P1302" i="8"/>
  <c r="M1302" i="8"/>
  <c r="J1302" i="8"/>
  <c r="H1302" i="8"/>
  <c r="B1302" i="8"/>
  <c r="A1302" i="8"/>
  <c r="AA1301" i="8"/>
  <c r="W1301" i="8"/>
  <c r="U1301" i="8"/>
  <c r="R1301" i="8"/>
  <c r="Q1301" i="8"/>
  <c r="P1301" i="8"/>
  <c r="M1301" i="8"/>
  <c r="J1301" i="8"/>
  <c r="H1301" i="8"/>
  <c r="B1301" i="8"/>
  <c r="A1301" i="8"/>
  <c r="AA1300" i="8"/>
  <c r="W1300" i="8"/>
  <c r="U1300" i="8"/>
  <c r="P1300" i="8"/>
  <c r="M1300" i="8"/>
  <c r="J1300" i="8"/>
  <c r="H1300" i="8"/>
  <c r="B1300" i="8"/>
  <c r="A1300" i="8"/>
  <c r="AA1299" i="8"/>
  <c r="W1299" i="8"/>
  <c r="U1299" i="8"/>
  <c r="P1299" i="8"/>
  <c r="M1299" i="8"/>
  <c r="J1299" i="8"/>
  <c r="H1299" i="8"/>
  <c r="B1299" i="8"/>
  <c r="A1299" i="8"/>
  <c r="AA1298" i="8"/>
  <c r="W1298" i="8"/>
  <c r="U1298" i="8"/>
  <c r="P1298" i="8"/>
  <c r="M1298" i="8"/>
  <c r="J1298" i="8"/>
  <c r="H1298" i="8"/>
  <c r="B1298" i="8"/>
  <c r="A1298" i="8"/>
  <c r="AA1297" i="8"/>
  <c r="W1297" i="8"/>
  <c r="U1297" i="8"/>
  <c r="P1297" i="8"/>
  <c r="M1297" i="8"/>
  <c r="J1297" i="8"/>
  <c r="H1297" i="8"/>
  <c r="B1297" i="8"/>
  <c r="A1297" i="8"/>
  <c r="AA1296" i="8"/>
  <c r="W1296" i="8"/>
  <c r="U1296" i="8"/>
  <c r="P1296" i="8"/>
  <c r="M1296" i="8"/>
  <c r="J1296" i="8"/>
  <c r="H1296" i="8"/>
  <c r="B1296" i="8"/>
  <c r="A1296" i="8"/>
  <c r="AA1295" i="8"/>
  <c r="W1295" i="8"/>
  <c r="U1295" i="8"/>
  <c r="P1295" i="8"/>
  <c r="M1295" i="8"/>
  <c r="J1295" i="8"/>
  <c r="H1295" i="8"/>
  <c r="B1295" i="8"/>
  <c r="A1295" i="8"/>
  <c r="AA1294" i="8"/>
  <c r="W1294" i="8"/>
  <c r="U1294" i="8"/>
  <c r="P1294" i="8"/>
  <c r="M1294" i="8"/>
  <c r="J1294" i="8"/>
  <c r="H1294" i="8"/>
  <c r="B1294" i="8"/>
  <c r="A1294" i="8"/>
  <c r="AA1293" i="8"/>
  <c r="W1293" i="8"/>
  <c r="U1293" i="8"/>
  <c r="P1293" i="8"/>
  <c r="M1293" i="8"/>
  <c r="J1293" i="8"/>
  <c r="H1293" i="8"/>
  <c r="B1293" i="8"/>
  <c r="A1293" i="8"/>
  <c r="AA1292" i="8"/>
  <c r="W1292" i="8"/>
  <c r="U1292" i="8"/>
  <c r="P1292" i="8"/>
  <c r="M1292" i="8"/>
  <c r="J1292" i="8"/>
  <c r="H1292" i="8"/>
  <c r="B1292" i="8"/>
  <c r="A1292" i="8"/>
  <c r="AA1291" i="8"/>
  <c r="W1291" i="8"/>
  <c r="U1291" i="8"/>
  <c r="P1291" i="8"/>
  <c r="M1291" i="8"/>
  <c r="J1291" i="8"/>
  <c r="H1291" i="8"/>
  <c r="B1291" i="8"/>
  <c r="A1291" i="8"/>
  <c r="AA1290" i="8"/>
  <c r="W1290" i="8"/>
  <c r="U1290" i="8"/>
  <c r="P1290" i="8"/>
  <c r="M1290" i="8"/>
  <c r="J1290" i="8"/>
  <c r="H1290" i="8"/>
  <c r="B1290" i="8"/>
  <c r="A1290" i="8"/>
  <c r="AA1289" i="8"/>
  <c r="W1289" i="8"/>
  <c r="U1289" i="8"/>
  <c r="P1289" i="8"/>
  <c r="M1289" i="8"/>
  <c r="J1289" i="8"/>
  <c r="H1289" i="8"/>
  <c r="B1289" i="8"/>
  <c r="A1289" i="8"/>
  <c r="AA1288" i="8"/>
  <c r="W1288" i="8"/>
  <c r="U1288" i="8"/>
  <c r="P1288" i="8"/>
  <c r="M1288" i="8"/>
  <c r="J1288" i="8"/>
  <c r="H1288" i="8"/>
  <c r="B1288" i="8"/>
  <c r="A1288" i="8"/>
  <c r="AA1287" i="8"/>
  <c r="W1287" i="8"/>
  <c r="U1287" i="8"/>
  <c r="P1287" i="8"/>
  <c r="M1287" i="8"/>
  <c r="J1287" i="8"/>
  <c r="H1287" i="8"/>
  <c r="B1287" i="8"/>
  <c r="A1287" i="8"/>
  <c r="AA1286" i="8"/>
  <c r="W1286" i="8"/>
  <c r="U1286" i="8"/>
  <c r="P1286" i="8"/>
  <c r="M1286" i="8"/>
  <c r="J1286" i="8"/>
  <c r="H1286" i="8"/>
  <c r="B1286" i="8"/>
  <c r="A1286" i="8"/>
  <c r="AA1285" i="8"/>
  <c r="W1285" i="8"/>
  <c r="U1285" i="8"/>
  <c r="P1285" i="8"/>
  <c r="M1285" i="8"/>
  <c r="J1285" i="8"/>
  <c r="H1285" i="8"/>
  <c r="B1285" i="8"/>
  <c r="A1285" i="8"/>
  <c r="AA1284" i="8"/>
  <c r="W1284" i="8"/>
  <c r="U1284" i="8"/>
  <c r="P1284" i="8"/>
  <c r="M1284" i="8"/>
  <c r="J1284" i="8"/>
  <c r="H1284" i="8"/>
  <c r="B1284" i="8"/>
  <c r="A1284" i="8"/>
  <c r="AA1283" i="8"/>
  <c r="W1283" i="8"/>
  <c r="U1283" i="8"/>
  <c r="P1283" i="8"/>
  <c r="M1283" i="8"/>
  <c r="J1283" i="8"/>
  <c r="H1283" i="8"/>
  <c r="B1283" i="8"/>
  <c r="A1283" i="8"/>
  <c r="AA1282" i="8"/>
  <c r="W1282" i="8"/>
  <c r="U1282" i="8"/>
  <c r="R1282" i="8"/>
  <c r="Q1282" i="8"/>
  <c r="P1282" i="8"/>
  <c r="M1282" i="8"/>
  <c r="J1282" i="8"/>
  <c r="H1282" i="8"/>
  <c r="B1282" i="8"/>
  <c r="A1282" i="8"/>
  <c r="AA1281" i="8"/>
  <c r="W1281" i="8"/>
  <c r="U1281" i="8"/>
  <c r="P1281" i="8"/>
  <c r="M1281" i="8"/>
  <c r="J1281" i="8"/>
  <c r="H1281" i="8"/>
  <c r="B1281" i="8"/>
  <c r="A1281" i="8"/>
  <c r="AA1280" i="8"/>
  <c r="W1280" i="8"/>
  <c r="U1280" i="8"/>
  <c r="P1280" i="8"/>
  <c r="M1280" i="8"/>
  <c r="J1280" i="8"/>
  <c r="H1280" i="8"/>
  <c r="B1280" i="8"/>
  <c r="A1280" i="8"/>
  <c r="AA1279" i="8"/>
  <c r="W1279" i="8"/>
  <c r="U1279" i="8"/>
  <c r="P1279" i="8"/>
  <c r="M1279" i="8"/>
  <c r="J1279" i="8"/>
  <c r="H1279" i="8"/>
  <c r="B1279" i="8"/>
  <c r="A1279" i="8"/>
  <c r="AA1278" i="8"/>
  <c r="W1278" i="8"/>
  <c r="U1278" i="8"/>
  <c r="P1278" i="8"/>
  <c r="M1278" i="8"/>
  <c r="J1278" i="8"/>
  <c r="H1278" i="8"/>
  <c r="B1278" i="8"/>
  <c r="A1278" i="8"/>
  <c r="AA1277" i="8"/>
  <c r="W1277" i="8"/>
  <c r="U1277" i="8"/>
  <c r="P1277" i="8"/>
  <c r="M1277" i="8"/>
  <c r="J1277" i="8"/>
  <c r="H1277" i="8"/>
  <c r="B1277" i="8"/>
  <c r="A1277" i="8"/>
  <c r="AA1276" i="8"/>
  <c r="W1276" i="8"/>
  <c r="U1276" i="8"/>
  <c r="P1276" i="8"/>
  <c r="M1276" i="8"/>
  <c r="J1276" i="8"/>
  <c r="H1276" i="8"/>
  <c r="B1276" i="8"/>
  <c r="A1276" i="8"/>
  <c r="AA1275" i="8"/>
  <c r="W1275" i="8"/>
  <c r="U1275" i="8"/>
  <c r="P1275" i="8"/>
  <c r="M1275" i="8"/>
  <c r="J1275" i="8"/>
  <c r="H1275" i="8"/>
  <c r="B1275" i="8"/>
  <c r="A1275" i="8"/>
  <c r="AA1274" i="8"/>
  <c r="W1274" i="8"/>
  <c r="U1274" i="8"/>
  <c r="P1274" i="8"/>
  <c r="M1274" i="8"/>
  <c r="J1274" i="8"/>
  <c r="H1274" i="8"/>
  <c r="B1274" i="8"/>
  <c r="A1274" i="8"/>
  <c r="AA1273" i="8"/>
  <c r="W1273" i="8"/>
  <c r="U1273" i="8"/>
  <c r="P1273" i="8"/>
  <c r="M1273" i="8"/>
  <c r="J1273" i="8"/>
  <c r="H1273" i="8"/>
  <c r="B1273" i="8"/>
  <c r="A1273" i="8"/>
  <c r="AA1272" i="8"/>
  <c r="W1272" i="8"/>
  <c r="U1272" i="8"/>
  <c r="P1272" i="8"/>
  <c r="M1272" i="8"/>
  <c r="J1272" i="8"/>
  <c r="H1272" i="8"/>
  <c r="B1272" i="8"/>
  <c r="A1272" i="8"/>
  <c r="AA1271" i="8"/>
  <c r="W1271" i="8"/>
  <c r="U1271" i="8"/>
  <c r="P1271" i="8"/>
  <c r="M1271" i="8"/>
  <c r="J1271" i="8"/>
  <c r="H1271" i="8"/>
  <c r="B1271" i="8"/>
  <c r="A1271" i="8"/>
  <c r="AA1270" i="8"/>
  <c r="W1270" i="8"/>
  <c r="U1270" i="8"/>
  <c r="P1270" i="8"/>
  <c r="M1270" i="8"/>
  <c r="J1270" i="8"/>
  <c r="H1270" i="8"/>
  <c r="B1270" i="8"/>
  <c r="A1270" i="8"/>
  <c r="AA1269" i="8"/>
  <c r="W1269" i="8"/>
  <c r="U1269" i="8"/>
  <c r="P1269" i="8"/>
  <c r="M1269" i="8"/>
  <c r="J1269" i="8"/>
  <c r="H1269" i="8"/>
  <c r="B1269" i="8"/>
  <c r="A1269" i="8"/>
  <c r="AA1268" i="8"/>
  <c r="W1268" i="8"/>
  <c r="U1268" i="8"/>
  <c r="P1268" i="8"/>
  <c r="M1268" i="8"/>
  <c r="J1268" i="8"/>
  <c r="H1268" i="8"/>
  <c r="B1268" i="8"/>
  <c r="A1268" i="8"/>
  <c r="AA1267" i="8"/>
  <c r="W1267" i="8"/>
  <c r="U1267" i="8"/>
  <c r="P1267" i="8"/>
  <c r="M1267" i="8"/>
  <c r="J1267" i="8"/>
  <c r="H1267" i="8"/>
  <c r="B1267" i="8"/>
  <c r="A1267" i="8"/>
  <c r="AA1266" i="8"/>
  <c r="W1266" i="8"/>
  <c r="U1266" i="8"/>
  <c r="P1266" i="8"/>
  <c r="M1266" i="8"/>
  <c r="J1266" i="8"/>
  <c r="H1266" i="8"/>
  <c r="B1266" i="8"/>
  <c r="A1266" i="8"/>
  <c r="AA1265" i="8"/>
  <c r="W1265" i="8"/>
  <c r="U1265" i="8"/>
  <c r="P1265" i="8"/>
  <c r="M1265" i="8"/>
  <c r="J1265" i="8"/>
  <c r="H1265" i="8"/>
  <c r="B1265" i="8"/>
  <c r="A1265" i="8"/>
  <c r="AA1264" i="8"/>
  <c r="W1264" i="8"/>
  <c r="U1264" i="8"/>
  <c r="P1264" i="8"/>
  <c r="M1264" i="8"/>
  <c r="J1264" i="8"/>
  <c r="H1264" i="8"/>
  <c r="B1264" i="8"/>
  <c r="A1264" i="8"/>
  <c r="AA1263" i="8"/>
  <c r="W1263" i="8"/>
  <c r="U1263" i="8"/>
  <c r="P1263" i="8"/>
  <c r="M1263" i="8"/>
  <c r="J1263" i="8"/>
  <c r="H1263" i="8"/>
  <c r="B1263" i="8"/>
  <c r="A1263" i="8"/>
  <c r="AA1262" i="8"/>
  <c r="W1262" i="8"/>
  <c r="U1262" i="8"/>
  <c r="P1262" i="8"/>
  <c r="M1262" i="8"/>
  <c r="J1262" i="8"/>
  <c r="H1262" i="8"/>
  <c r="B1262" i="8"/>
  <c r="A1262" i="8"/>
  <c r="AA1261" i="8"/>
  <c r="W1261" i="8"/>
  <c r="U1261" i="8"/>
  <c r="P1261" i="8"/>
  <c r="M1261" i="8"/>
  <c r="J1261" i="8"/>
  <c r="H1261" i="8"/>
  <c r="B1261" i="8"/>
  <c r="A1261" i="8"/>
  <c r="AA1260" i="8"/>
  <c r="W1260" i="8"/>
  <c r="U1260" i="8"/>
  <c r="P1260" i="8"/>
  <c r="M1260" i="8"/>
  <c r="J1260" i="8"/>
  <c r="H1260" i="8"/>
  <c r="B1260" i="8"/>
  <c r="A1260" i="8"/>
  <c r="AA1259" i="8"/>
  <c r="W1259" i="8"/>
  <c r="U1259" i="8"/>
  <c r="R1259" i="8"/>
  <c r="Q1259" i="8"/>
  <c r="P1259" i="8"/>
  <c r="M1259" i="8"/>
  <c r="J1259" i="8"/>
  <c r="H1259" i="8"/>
  <c r="B1259" i="8"/>
  <c r="A1259" i="8"/>
  <c r="AA1258" i="8"/>
  <c r="W1258" i="8"/>
  <c r="U1258" i="8"/>
  <c r="P1258" i="8"/>
  <c r="M1258" i="8"/>
  <c r="J1258" i="8"/>
  <c r="H1258" i="8"/>
  <c r="B1258" i="8"/>
  <c r="A1258" i="8"/>
  <c r="AA1257" i="8"/>
  <c r="W1257" i="8"/>
  <c r="U1257" i="8"/>
  <c r="P1257" i="8"/>
  <c r="M1257" i="8"/>
  <c r="J1257" i="8"/>
  <c r="H1257" i="8"/>
  <c r="B1257" i="8"/>
  <c r="A1257" i="8"/>
  <c r="AA1256" i="8"/>
  <c r="W1256" i="8"/>
  <c r="U1256" i="8"/>
  <c r="P1256" i="8"/>
  <c r="M1256" i="8"/>
  <c r="J1256" i="8"/>
  <c r="H1256" i="8"/>
  <c r="B1256" i="8"/>
  <c r="A1256" i="8"/>
  <c r="AA1255" i="8"/>
  <c r="W1255" i="8"/>
  <c r="U1255" i="8"/>
  <c r="P1255" i="8"/>
  <c r="M1255" i="8"/>
  <c r="J1255" i="8"/>
  <c r="H1255" i="8"/>
  <c r="B1255" i="8"/>
  <c r="A1255" i="8"/>
  <c r="AA1254" i="8"/>
  <c r="W1254" i="8"/>
  <c r="U1254" i="8"/>
  <c r="P1254" i="8"/>
  <c r="M1254" i="8"/>
  <c r="J1254" i="8"/>
  <c r="H1254" i="8"/>
  <c r="B1254" i="8"/>
  <c r="A1254" i="8"/>
  <c r="AA1253" i="8"/>
  <c r="W1253" i="8"/>
  <c r="U1253" i="8"/>
  <c r="P1253" i="8"/>
  <c r="M1253" i="8"/>
  <c r="J1253" i="8"/>
  <c r="H1253" i="8"/>
  <c r="B1253" i="8"/>
  <c r="A1253" i="8"/>
  <c r="AA1252" i="8"/>
  <c r="W1252" i="8"/>
  <c r="U1252" i="8"/>
  <c r="P1252" i="8"/>
  <c r="M1252" i="8"/>
  <c r="J1252" i="8"/>
  <c r="H1252" i="8"/>
  <c r="B1252" i="8"/>
  <c r="A1252" i="8"/>
  <c r="AA1251" i="8"/>
  <c r="W1251" i="8"/>
  <c r="U1251" i="8"/>
  <c r="P1251" i="8"/>
  <c r="M1251" i="8"/>
  <c r="J1251" i="8"/>
  <c r="H1251" i="8"/>
  <c r="B1251" i="8"/>
  <c r="A1251" i="8"/>
  <c r="AA1250" i="8"/>
  <c r="W1250" i="8"/>
  <c r="U1250" i="8"/>
  <c r="P1250" i="8"/>
  <c r="M1250" i="8"/>
  <c r="J1250" i="8"/>
  <c r="H1250" i="8"/>
  <c r="B1250" i="8"/>
  <c r="A1250" i="8"/>
  <c r="AA1249" i="8"/>
  <c r="W1249" i="8"/>
  <c r="U1249" i="8"/>
  <c r="P1249" i="8"/>
  <c r="M1249" i="8"/>
  <c r="J1249" i="8"/>
  <c r="H1249" i="8"/>
  <c r="B1249" i="8"/>
  <c r="A1249" i="8"/>
  <c r="AA1248" i="8"/>
  <c r="W1248" i="8"/>
  <c r="U1248" i="8"/>
  <c r="P1248" i="8"/>
  <c r="M1248" i="8"/>
  <c r="J1248" i="8"/>
  <c r="H1248" i="8"/>
  <c r="B1248" i="8"/>
  <c r="A1248" i="8"/>
  <c r="AA1247" i="8"/>
  <c r="W1247" i="8"/>
  <c r="U1247" i="8"/>
  <c r="P1247" i="8"/>
  <c r="M1247" i="8"/>
  <c r="J1247" i="8"/>
  <c r="H1247" i="8"/>
  <c r="B1247" i="8"/>
  <c r="A1247" i="8"/>
  <c r="AA1246" i="8"/>
  <c r="W1246" i="8"/>
  <c r="U1246" i="8"/>
  <c r="P1246" i="8"/>
  <c r="M1246" i="8"/>
  <c r="J1246" i="8"/>
  <c r="H1246" i="8"/>
  <c r="B1246" i="8"/>
  <c r="A1246" i="8"/>
  <c r="AA1245" i="8"/>
  <c r="W1245" i="8"/>
  <c r="U1245" i="8"/>
  <c r="P1245" i="8"/>
  <c r="M1245" i="8"/>
  <c r="J1245" i="8"/>
  <c r="H1245" i="8"/>
  <c r="B1245" i="8"/>
  <c r="A1245" i="8"/>
  <c r="AA1244" i="8"/>
  <c r="W1244" i="8"/>
  <c r="U1244" i="8"/>
  <c r="P1244" i="8"/>
  <c r="M1244" i="8"/>
  <c r="J1244" i="8"/>
  <c r="H1244" i="8"/>
  <c r="B1244" i="8"/>
  <c r="A1244" i="8"/>
  <c r="AA1243" i="8"/>
  <c r="W1243" i="8"/>
  <c r="U1243" i="8"/>
  <c r="P1243" i="8"/>
  <c r="M1243" i="8"/>
  <c r="J1243" i="8"/>
  <c r="H1243" i="8"/>
  <c r="B1243" i="8"/>
  <c r="A1243" i="8"/>
  <c r="AA1242" i="8"/>
  <c r="W1242" i="8"/>
  <c r="U1242" i="8"/>
  <c r="P1242" i="8"/>
  <c r="M1242" i="8"/>
  <c r="J1242" i="8"/>
  <c r="H1242" i="8"/>
  <c r="B1242" i="8"/>
  <c r="A1242" i="8"/>
  <c r="AA1241" i="8"/>
  <c r="W1241" i="8"/>
  <c r="U1241" i="8"/>
  <c r="P1241" i="8"/>
  <c r="M1241" i="8"/>
  <c r="J1241" i="8"/>
  <c r="H1241" i="8"/>
  <c r="B1241" i="8"/>
  <c r="A1241" i="8"/>
  <c r="AA1240" i="8"/>
  <c r="W1240" i="8"/>
  <c r="U1240" i="8"/>
  <c r="P1240" i="8"/>
  <c r="M1240" i="8"/>
  <c r="J1240" i="8"/>
  <c r="H1240" i="8"/>
  <c r="B1240" i="8"/>
  <c r="A1240" i="8"/>
  <c r="AA1239" i="8"/>
  <c r="W1239" i="8"/>
  <c r="U1239" i="8"/>
  <c r="P1239" i="8"/>
  <c r="M1239" i="8"/>
  <c r="J1239" i="8"/>
  <c r="H1239" i="8"/>
  <c r="B1239" i="8"/>
  <c r="A1239" i="8"/>
  <c r="AA1238" i="8"/>
  <c r="W1238" i="8"/>
  <c r="U1238" i="8"/>
  <c r="P1238" i="8"/>
  <c r="M1238" i="8"/>
  <c r="J1238" i="8"/>
  <c r="H1238" i="8"/>
  <c r="B1238" i="8"/>
  <c r="A1238" i="8"/>
  <c r="AA1237" i="8"/>
  <c r="W1237" i="8"/>
  <c r="U1237" i="8"/>
  <c r="P1237" i="8"/>
  <c r="M1237" i="8"/>
  <c r="J1237" i="8"/>
  <c r="H1237" i="8"/>
  <c r="B1237" i="8"/>
  <c r="A1237" i="8"/>
  <c r="AA1236" i="8"/>
  <c r="W1236" i="8"/>
  <c r="U1236" i="8"/>
  <c r="P1236" i="8"/>
  <c r="M1236" i="8"/>
  <c r="J1236" i="8"/>
  <c r="H1236" i="8"/>
  <c r="B1236" i="8"/>
  <c r="A1236" i="8"/>
  <c r="AA1235" i="8"/>
  <c r="W1235" i="8"/>
  <c r="U1235" i="8"/>
  <c r="R1235" i="8"/>
  <c r="Q1235" i="8"/>
  <c r="P1235" i="8"/>
  <c r="M1235" i="8"/>
  <c r="J1235" i="8"/>
  <c r="H1235" i="8"/>
  <c r="B1235" i="8"/>
  <c r="A1235" i="8"/>
  <c r="AA1234" i="8"/>
  <c r="W1234" i="8"/>
  <c r="U1234" i="8"/>
  <c r="P1234" i="8"/>
  <c r="M1234" i="8"/>
  <c r="J1234" i="8"/>
  <c r="H1234" i="8"/>
  <c r="B1234" i="8"/>
  <c r="A1234" i="8"/>
  <c r="AA1233" i="8"/>
  <c r="W1233" i="8"/>
  <c r="U1233" i="8"/>
  <c r="P1233" i="8"/>
  <c r="M1233" i="8"/>
  <c r="J1233" i="8"/>
  <c r="H1233" i="8"/>
  <c r="B1233" i="8"/>
  <c r="A1233" i="8"/>
  <c r="AA1232" i="8"/>
  <c r="W1232" i="8"/>
  <c r="U1232" i="8"/>
  <c r="P1232" i="8"/>
  <c r="M1232" i="8"/>
  <c r="J1232" i="8"/>
  <c r="H1232" i="8"/>
  <c r="B1232" i="8"/>
  <c r="A1232" i="8"/>
  <c r="AA1231" i="8"/>
  <c r="W1231" i="8"/>
  <c r="U1231" i="8"/>
  <c r="P1231" i="8"/>
  <c r="M1231" i="8"/>
  <c r="J1231" i="8"/>
  <c r="H1231" i="8"/>
  <c r="B1231" i="8"/>
  <c r="A1231" i="8"/>
  <c r="AA1230" i="8"/>
  <c r="W1230" i="8"/>
  <c r="U1230" i="8"/>
  <c r="P1230" i="8"/>
  <c r="M1230" i="8"/>
  <c r="J1230" i="8"/>
  <c r="H1230" i="8"/>
  <c r="B1230" i="8"/>
  <c r="A1230" i="8"/>
  <c r="AA1229" i="8"/>
  <c r="W1229" i="8"/>
  <c r="U1229" i="8"/>
  <c r="P1229" i="8"/>
  <c r="M1229" i="8"/>
  <c r="J1229" i="8"/>
  <c r="H1229" i="8"/>
  <c r="B1229" i="8"/>
  <c r="A1229" i="8"/>
  <c r="AA1228" i="8"/>
  <c r="W1228" i="8"/>
  <c r="U1228" i="8"/>
  <c r="P1228" i="8"/>
  <c r="M1228" i="8"/>
  <c r="J1228" i="8"/>
  <c r="H1228" i="8"/>
  <c r="B1228" i="8"/>
  <c r="A1228" i="8"/>
  <c r="AA1227" i="8"/>
  <c r="W1227" i="8"/>
  <c r="U1227" i="8"/>
  <c r="P1227" i="8"/>
  <c r="M1227" i="8"/>
  <c r="J1227" i="8"/>
  <c r="H1227" i="8"/>
  <c r="B1227" i="8"/>
  <c r="A1227" i="8"/>
  <c r="AA1226" i="8"/>
  <c r="W1226" i="8"/>
  <c r="U1226" i="8"/>
  <c r="P1226" i="8"/>
  <c r="M1226" i="8"/>
  <c r="J1226" i="8"/>
  <c r="H1226" i="8"/>
  <c r="B1226" i="8"/>
  <c r="A1226" i="8"/>
  <c r="AA1225" i="8"/>
  <c r="W1225" i="8"/>
  <c r="U1225" i="8"/>
  <c r="P1225" i="8"/>
  <c r="M1225" i="8"/>
  <c r="J1225" i="8"/>
  <c r="H1225" i="8"/>
  <c r="B1225" i="8"/>
  <c r="A1225" i="8"/>
  <c r="AA1224" i="8"/>
  <c r="W1224" i="8"/>
  <c r="U1224" i="8"/>
  <c r="P1224" i="8"/>
  <c r="M1224" i="8"/>
  <c r="J1224" i="8"/>
  <c r="H1224" i="8"/>
  <c r="B1224" i="8"/>
  <c r="A1224" i="8"/>
  <c r="AA1223" i="8"/>
  <c r="W1223" i="8"/>
  <c r="U1223" i="8"/>
  <c r="P1223" i="8"/>
  <c r="M1223" i="8"/>
  <c r="J1223" i="8"/>
  <c r="H1223" i="8"/>
  <c r="B1223" i="8"/>
  <c r="A1223" i="8"/>
  <c r="AA1222" i="8"/>
  <c r="W1222" i="8"/>
  <c r="U1222" i="8"/>
  <c r="P1222" i="8"/>
  <c r="M1222" i="8"/>
  <c r="J1222" i="8"/>
  <c r="H1222" i="8"/>
  <c r="B1222" i="8"/>
  <c r="A1222" i="8"/>
  <c r="AA1221" i="8"/>
  <c r="W1221" i="8"/>
  <c r="U1221" i="8"/>
  <c r="P1221" i="8"/>
  <c r="M1221" i="8"/>
  <c r="J1221" i="8"/>
  <c r="H1221" i="8"/>
  <c r="B1221" i="8"/>
  <c r="A1221" i="8"/>
  <c r="AA1220" i="8"/>
  <c r="W1220" i="8"/>
  <c r="U1220" i="8"/>
  <c r="P1220" i="8"/>
  <c r="M1220" i="8"/>
  <c r="J1220" i="8"/>
  <c r="H1220" i="8"/>
  <c r="B1220" i="8"/>
  <c r="A1220" i="8"/>
  <c r="AA1219" i="8"/>
  <c r="W1219" i="8"/>
  <c r="U1219" i="8"/>
  <c r="P1219" i="8"/>
  <c r="M1219" i="8"/>
  <c r="J1219" i="8"/>
  <c r="H1219" i="8"/>
  <c r="B1219" i="8"/>
  <c r="A1219" i="8"/>
  <c r="AA1218" i="8"/>
  <c r="W1218" i="8"/>
  <c r="U1218" i="8"/>
  <c r="P1218" i="8"/>
  <c r="M1218" i="8"/>
  <c r="J1218" i="8"/>
  <c r="H1218" i="8"/>
  <c r="B1218" i="8"/>
  <c r="A1218" i="8"/>
  <c r="AA1217" i="8"/>
  <c r="W1217" i="8"/>
  <c r="U1217" i="8"/>
  <c r="R1217" i="8"/>
  <c r="Q1217" i="8"/>
  <c r="P1217" i="8"/>
  <c r="M1217" i="8"/>
  <c r="J1217" i="8"/>
  <c r="H1217" i="8"/>
  <c r="B1217" i="8"/>
  <c r="A1217" i="8"/>
  <c r="AA1216" i="8"/>
  <c r="W1216" i="8"/>
  <c r="U1216" i="8"/>
  <c r="R1216" i="8"/>
  <c r="Q1216" i="8"/>
  <c r="P1216" i="8"/>
  <c r="M1216" i="8"/>
  <c r="J1216" i="8"/>
  <c r="H1216" i="8"/>
  <c r="B1216" i="8"/>
  <c r="A1216" i="8"/>
  <c r="AA1215" i="8"/>
  <c r="W1215" i="8"/>
  <c r="U1215" i="8"/>
  <c r="P1215" i="8"/>
  <c r="M1215" i="8"/>
  <c r="J1215" i="8"/>
  <c r="H1215" i="8"/>
  <c r="B1215" i="8"/>
  <c r="A1215" i="8"/>
  <c r="AA1214" i="8"/>
  <c r="W1214" i="8"/>
  <c r="U1214" i="8"/>
  <c r="P1214" i="8"/>
  <c r="M1214" i="8"/>
  <c r="J1214" i="8"/>
  <c r="H1214" i="8"/>
  <c r="B1214" i="8"/>
  <c r="A1214" i="8"/>
  <c r="AA1213" i="8"/>
  <c r="W1213" i="8"/>
  <c r="U1213" i="8"/>
  <c r="P1213" i="8"/>
  <c r="M1213" i="8"/>
  <c r="J1213" i="8"/>
  <c r="H1213" i="8"/>
  <c r="B1213" i="8"/>
  <c r="A1213" i="8"/>
  <c r="AA1212" i="8"/>
  <c r="W1212" i="8"/>
  <c r="U1212" i="8"/>
  <c r="P1212" i="8"/>
  <c r="M1212" i="8"/>
  <c r="J1212" i="8"/>
  <c r="H1212" i="8"/>
  <c r="B1212" i="8"/>
  <c r="A1212" i="8"/>
  <c r="AA1211" i="8"/>
  <c r="W1211" i="8"/>
  <c r="U1211" i="8"/>
  <c r="R1211" i="8"/>
  <c r="Q1211" i="8"/>
  <c r="P1211" i="8"/>
  <c r="M1211" i="8"/>
  <c r="J1211" i="8"/>
  <c r="H1211" i="8"/>
  <c r="B1211" i="8"/>
  <c r="A1211" i="8"/>
  <c r="AA1210" i="8"/>
  <c r="W1210" i="8"/>
  <c r="U1210" i="8"/>
  <c r="P1210" i="8"/>
  <c r="M1210" i="8"/>
  <c r="J1210" i="8"/>
  <c r="H1210" i="8"/>
  <c r="B1210" i="8"/>
  <c r="A1210" i="8"/>
  <c r="AA1209" i="8"/>
  <c r="W1209" i="8"/>
  <c r="U1209" i="8"/>
  <c r="P1209" i="8"/>
  <c r="M1209" i="8"/>
  <c r="J1209" i="8"/>
  <c r="H1209" i="8"/>
  <c r="B1209" i="8"/>
  <c r="A1209" i="8"/>
  <c r="AA1208" i="8"/>
  <c r="W1208" i="8"/>
  <c r="U1208" i="8"/>
  <c r="P1208" i="8"/>
  <c r="M1208" i="8"/>
  <c r="J1208" i="8"/>
  <c r="H1208" i="8"/>
  <c r="B1208" i="8"/>
  <c r="A1208" i="8"/>
  <c r="AA1207" i="8"/>
  <c r="W1207" i="8"/>
  <c r="U1207" i="8"/>
  <c r="R1207" i="8"/>
  <c r="Q1207" i="8"/>
  <c r="P1207" i="8"/>
  <c r="M1207" i="8"/>
  <c r="J1207" i="8"/>
  <c r="H1207" i="8"/>
  <c r="B1207" i="8"/>
  <c r="A1207" i="8"/>
  <c r="AA1206" i="8"/>
  <c r="W1206" i="8"/>
  <c r="U1206" i="8"/>
  <c r="P1206" i="8"/>
  <c r="M1206" i="8"/>
  <c r="J1206" i="8"/>
  <c r="H1206" i="8"/>
  <c r="B1206" i="8"/>
  <c r="A1206" i="8"/>
  <c r="AA1205" i="8"/>
  <c r="W1205" i="8"/>
  <c r="U1205" i="8"/>
  <c r="P1205" i="8"/>
  <c r="M1205" i="8"/>
  <c r="J1205" i="8"/>
  <c r="H1205" i="8"/>
  <c r="B1205" i="8"/>
  <c r="A1205" i="8"/>
  <c r="AA1204" i="8"/>
  <c r="W1204" i="8"/>
  <c r="U1204" i="8"/>
  <c r="P1204" i="8"/>
  <c r="M1204" i="8"/>
  <c r="J1204" i="8"/>
  <c r="H1204" i="8"/>
  <c r="B1204" i="8"/>
  <c r="A1204" i="8"/>
  <c r="AA1203" i="8"/>
  <c r="W1203" i="8"/>
  <c r="U1203" i="8"/>
  <c r="P1203" i="8"/>
  <c r="M1203" i="8"/>
  <c r="J1203" i="8"/>
  <c r="H1203" i="8"/>
  <c r="B1203" i="8"/>
  <c r="A1203" i="8"/>
  <c r="AA1202" i="8"/>
  <c r="W1202" i="8"/>
  <c r="U1202" i="8"/>
  <c r="P1202" i="8"/>
  <c r="M1202" i="8"/>
  <c r="J1202" i="8"/>
  <c r="H1202" i="8"/>
  <c r="B1202" i="8"/>
  <c r="A1202" i="8"/>
  <c r="AA1201" i="8"/>
  <c r="W1201" i="8"/>
  <c r="U1201" i="8"/>
  <c r="P1201" i="8"/>
  <c r="M1201" i="8"/>
  <c r="J1201" i="8"/>
  <c r="H1201" i="8"/>
  <c r="B1201" i="8"/>
  <c r="A1201" i="8"/>
  <c r="AA1200" i="8"/>
  <c r="W1200" i="8"/>
  <c r="U1200" i="8"/>
  <c r="P1200" i="8"/>
  <c r="M1200" i="8"/>
  <c r="J1200" i="8"/>
  <c r="H1200" i="8"/>
  <c r="B1200" i="8"/>
  <c r="A1200" i="8"/>
  <c r="AA1199" i="8"/>
  <c r="W1199" i="8"/>
  <c r="U1199" i="8"/>
  <c r="P1199" i="8"/>
  <c r="M1199" i="8"/>
  <c r="J1199" i="8"/>
  <c r="H1199" i="8"/>
  <c r="B1199" i="8"/>
  <c r="A1199" i="8"/>
  <c r="AA1198" i="8"/>
  <c r="W1198" i="8"/>
  <c r="U1198" i="8"/>
  <c r="P1198" i="8"/>
  <c r="M1198" i="8"/>
  <c r="J1198" i="8"/>
  <c r="H1198" i="8"/>
  <c r="B1198" i="8"/>
  <c r="A1198" i="8"/>
  <c r="AA1197" i="8"/>
  <c r="W1197" i="8"/>
  <c r="U1197" i="8"/>
  <c r="P1197" i="8"/>
  <c r="M1197" i="8"/>
  <c r="J1197" i="8"/>
  <c r="H1197" i="8"/>
  <c r="B1197" i="8"/>
  <c r="A1197" i="8"/>
  <c r="AA1196" i="8"/>
  <c r="W1196" i="8"/>
  <c r="U1196" i="8"/>
  <c r="P1196" i="8"/>
  <c r="M1196" i="8"/>
  <c r="J1196" i="8"/>
  <c r="H1196" i="8"/>
  <c r="B1196" i="8"/>
  <c r="A1196" i="8"/>
  <c r="AA1195" i="8"/>
  <c r="W1195" i="8"/>
  <c r="U1195" i="8"/>
  <c r="P1195" i="8"/>
  <c r="M1195" i="8"/>
  <c r="J1195" i="8"/>
  <c r="H1195" i="8"/>
  <c r="B1195" i="8"/>
  <c r="A1195" i="8"/>
  <c r="AA1194" i="8"/>
  <c r="W1194" i="8"/>
  <c r="U1194" i="8"/>
  <c r="P1194" i="8"/>
  <c r="M1194" i="8"/>
  <c r="J1194" i="8"/>
  <c r="H1194" i="8"/>
  <c r="B1194" i="8"/>
  <c r="A1194" i="8"/>
  <c r="AA1193" i="8"/>
  <c r="W1193" i="8"/>
  <c r="U1193" i="8"/>
  <c r="P1193" i="8"/>
  <c r="M1193" i="8"/>
  <c r="J1193" i="8"/>
  <c r="H1193" i="8"/>
  <c r="B1193" i="8"/>
  <c r="A1193" i="8"/>
  <c r="AA1192" i="8"/>
  <c r="W1192" i="8"/>
  <c r="U1192" i="8"/>
  <c r="R1192" i="8"/>
  <c r="Q1192" i="8"/>
  <c r="P1192" i="8"/>
  <c r="M1192" i="8"/>
  <c r="J1192" i="8"/>
  <c r="H1192" i="8"/>
  <c r="B1192" i="8"/>
  <c r="A1192" i="8"/>
  <c r="AA1191" i="8"/>
  <c r="W1191" i="8"/>
  <c r="U1191" i="8"/>
  <c r="P1191" i="8"/>
  <c r="M1191" i="8"/>
  <c r="J1191" i="8"/>
  <c r="H1191" i="8"/>
  <c r="B1191" i="8"/>
  <c r="A1191" i="8"/>
  <c r="AA1190" i="8"/>
  <c r="W1190" i="8"/>
  <c r="U1190" i="8"/>
  <c r="P1190" i="8"/>
  <c r="M1190" i="8"/>
  <c r="J1190" i="8"/>
  <c r="H1190" i="8"/>
  <c r="B1190" i="8"/>
  <c r="A1190" i="8"/>
  <c r="AA1189" i="8"/>
  <c r="W1189" i="8"/>
  <c r="U1189" i="8"/>
  <c r="P1189" i="8"/>
  <c r="M1189" i="8"/>
  <c r="J1189" i="8"/>
  <c r="H1189" i="8"/>
  <c r="B1189" i="8"/>
  <c r="A1189" i="8"/>
  <c r="AA1188" i="8"/>
  <c r="W1188" i="8"/>
  <c r="U1188" i="8"/>
  <c r="P1188" i="8"/>
  <c r="M1188" i="8"/>
  <c r="J1188" i="8"/>
  <c r="H1188" i="8"/>
  <c r="B1188" i="8"/>
  <c r="A1188" i="8"/>
  <c r="AA1187" i="8"/>
  <c r="W1187" i="8"/>
  <c r="U1187" i="8"/>
  <c r="P1187" i="8"/>
  <c r="M1187" i="8"/>
  <c r="J1187" i="8"/>
  <c r="H1187" i="8"/>
  <c r="B1187" i="8"/>
  <c r="A1187" i="8"/>
  <c r="AA1186" i="8"/>
  <c r="W1186" i="8"/>
  <c r="U1186" i="8"/>
  <c r="P1186" i="8"/>
  <c r="M1186" i="8"/>
  <c r="J1186" i="8"/>
  <c r="H1186" i="8"/>
  <c r="B1186" i="8"/>
  <c r="A1186" i="8"/>
  <c r="AA1185" i="8"/>
  <c r="W1185" i="8"/>
  <c r="U1185" i="8"/>
  <c r="P1185" i="8"/>
  <c r="M1185" i="8"/>
  <c r="J1185" i="8"/>
  <c r="H1185" i="8"/>
  <c r="B1185" i="8"/>
  <c r="A1185" i="8"/>
  <c r="AA1184" i="8"/>
  <c r="W1184" i="8"/>
  <c r="U1184" i="8"/>
  <c r="P1184" i="8"/>
  <c r="M1184" i="8"/>
  <c r="J1184" i="8"/>
  <c r="H1184" i="8"/>
  <c r="B1184" i="8"/>
  <c r="A1184" i="8"/>
  <c r="AA1183" i="8"/>
  <c r="W1183" i="8"/>
  <c r="U1183" i="8"/>
  <c r="P1183" i="8"/>
  <c r="M1183" i="8"/>
  <c r="J1183" i="8"/>
  <c r="H1183" i="8"/>
  <c r="B1183" i="8"/>
  <c r="A1183" i="8"/>
  <c r="AA1182" i="8"/>
  <c r="W1182" i="8"/>
  <c r="U1182" i="8"/>
  <c r="P1182" i="8"/>
  <c r="M1182" i="8"/>
  <c r="J1182" i="8"/>
  <c r="H1182" i="8"/>
  <c r="B1182" i="8"/>
  <c r="A1182" i="8"/>
  <c r="AA1181" i="8"/>
  <c r="W1181" i="8"/>
  <c r="U1181" i="8"/>
  <c r="P1181" i="8"/>
  <c r="M1181" i="8"/>
  <c r="J1181" i="8"/>
  <c r="H1181" i="8"/>
  <c r="B1181" i="8"/>
  <c r="A1181" i="8"/>
  <c r="AA1180" i="8"/>
  <c r="W1180" i="8"/>
  <c r="U1180" i="8"/>
  <c r="P1180" i="8"/>
  <c r="M1180" i="8"/>
  <c r="J1180" i="8"/>
  <c r="H1180" i="8"/>
  <c r="B1180" i="8"/>
  <c r="A1180" i="8"/>
  <c r="AA1179" i="8"/>
  <c r="W1179" i="8"/>
  <c r="U1179" i="8"/>
  <c r="P1179" i="8"/>
  <c r="M1179" i="8"/>
  <c r="J1179" i="8"/>
  <c r="H1179" i="8"/>
  <c r="B1179" i="8"/>
  <c r="A1179" i="8"/>
  <c r="AA1178" i="8"/>
  <c r="W1178" i="8"/>
  <c r="U1178" i="8"/>
  <c r="P1178" i="8"/>
  <c r="M1178" i="8"/>
  <c r="J1178" i="8"/>
  <c r="H1178" i="8"/>
  <c r="B1178" i="8"/>
  <c r="A1178" i="8"/>
  <c r="AA1177" i="8"/>
  <c r="W1177" i="8"/>
  <c r="U1177" i="8"/>
  <c r="P1177" i="8"/>
  <c r="M1177" i="8"/>
  <c r="J1177" i="8"/>
  <c r="H1177" i="8"/>
  <c r="B1177" i="8"/>
  <c r="A1177" i="8"/>
  <c r="AA1176" i="8"/>
  <c r="W1176" i="8"/>
  <c r="U1176" i="8"/>
  <c r="P1176" i="8"/>
  <c r="M1176" i="8"/>
  <c r="J1176" i="8"/>
  <c r="H1176" i="8"/>
  <c r="B1176" i="8"/>
  <c r="A1176" i="8"/>
  <c r="AA1175" i="8"/>
  <c r="W1175" i="8"/>
  <c r="U1175" i="8"/>
  <c r="P1175" i="8"/>
  <c r="M1175" i="8"/>
  <c r="J1175" i="8"/>
  <c r="H1175" i="8"/>
  <c r="B1175" i="8"/>
  <c r="A1175" i="8"/>
  <c r="AA1174" i="8"/>
  <c r="W1174" i="8"/>
  <c r="U1174" i="8"/>
  <c r="R1174" i="8"/>
  <c r="Q1174" i="8"/>
  <c r="P1174" i="8"/>
  <c r="M1174" i="8"/>
  <c r="J1174" i="8"/>
  <c r="H1174" i="8"/>
  <c r="B1174" i="8"/>
  <c r="A1174" i="8"/>
  <c r="AA1173" i="8"/>
  <c r="W1173" i="8"/>
  <c r="U1173" i="8"/>
  <c r="P1173" i="8"/>
  <c r="M1173" i="8"/>
  <c r="J1173" i="8"/>
  <c r="H1173" i="8"/>
  <c r="B1173" i="8"/>
  <c r="A1173" i="8"/>
  <c r="AA1172" i="8"/>
  <c r="W1172" i="8"/>
  <c r="U1172" i="8"/>
  <c r="P1172" i="8"/>
  <c r="M1172" i="8"/>
  <c r="J1172" i="8"/>
  <c r="H1172" i="8"/>
  <c r="B1172" i="8"/>
  <c r="A1172" i="8"/>
  <c r="AA1171" i="8"/>
  <c r="W1171" i="8"/>
  <c r="U1171" i="8"/>
  <c r="P1171" i="8"/>
  <c r="M1171" i="8"/>
  <c r="J1171" i="8"/>
  <c r="H1171" i="8"/>
  <c r="B1171" i="8"/>
  <c r="A1171" i="8"/>
  <c r="AA1170" i="8"/>
  <c r="W1170" i="8"/>
  <c r="U1170" i="8"/>
  <c r="P1170" i="8"/>
  <c r="M1170" i="8"/>
  <c r="J1170" i="8"/>
  <c r="H1170" i="8"/>
  <c r="B1170" i="8"/>
  <c r="A1170" i="8"/>
  <c r="AA1169" i="8"/>
  <c r="W1169" i="8"/>
  <c r="U1169" i="8"/>
  <c r="P1169" i="8"/>
  <c r="M1169" i="8"/>
  <c r="J1169" i="8"/>
  <c r="H1169" i="8"/>
  <c r="B1169" i="8"/>
  <c r="A1169" i="8"/>
  <c r="AA1168" i="8"/>
  <c r="W1168" i="8"/>
  <c r="U1168" i="8"/>
  <c r="P1168" i="8"/>
  <c r="M1168" i="8"/>
  <c r="J1168" i="8"/>
  <c r="H1168" i="8"/>
  <c r="B1168" i="8"/>
  <c r="A1168" i="8"/>
  <c r="AA1167" i="8"/>
  <c r="W1167" i="8"/>
  <c r="U1167" i="8"/>
  <c r="P1167" i="8"/>
  <c r="M1167" i="8"/>
  <c r="J1167" i="8"/>
  <c r="H1167" i="8"/>
  <c r="B1167" i="8"/>
  <c r="A1167" i="8"/>
  <c r="AA1166" i="8"/>
  <c r="W1166" i="8"/>
  <c r="U1166" i="8"/>
  <c r="P1166" i="8"/>
  <c r="M1166" i="8"/>
  <c r="J1166" i="8"/>
  <c r="H1166" i="8"/>
  <c r="B1166" i="8"/>
  <c r="A1166" i="8"/>
  <c r="AA1165" i="8"/>
  <c r="W1165" i="8"/>
  <c r="U1165" i="8"/>
  <c r="P1165" i="8"/>
  <c r="M1165" i="8"/>
  <c r="J1165" i="8"/>
  <c r="H1165" i="8"/>
  <c r="B1165" i="8"/>
  <c r="A1165" i="8"/>
  <c r="AA1164" i="8"/>
  <c r="W1164" i="8"/>
  <c r="U1164" i="8"/>
  <c r="P1164" i="8"/>
  <c r="M1164" i="8"/>
  <c r="J1164" i="8"/>
  <c r="H1164" i="8"/>
  <c r="B1164" i="8"/>
  <c r="A1164" i="8"/>
  <c r="AA1163" i="8"/>
  <c r="W1163" i="8"/>
  <c r="U1163" i="8"/>
  <c r="P1163" i="8"/>
  <c r="M1163" i="8"/>
  <c r="J1163" i="8"/>
  <c r="H1163" i="8"/>
  <c r="B1163" i="8"/>
  <c r="A1163" i="8"/>
  <c r="AA1162" i="8"/>
  <c r="W1162" i="8"/>
  <c r="U1162" i="8"/>
  <c r="P1162" i="8"/>
  <c r="M1162" i="8"/>
  <c r="J1162" i="8"/>
  <c r="H1162" i="8"/>
  <c r="B1162" i="8"/>
  <c r="A1162" i="8"/>
  <c r="AA1161" i="8"/>
  <c r="W1161" i="8"/>
  <c r="U1161" i="8"/>
  <c r="P1161" i="8"/>
  <c r="M1161" i="8"/>
  <c r="J1161" i="8"/>
  <c r="H1161" i="8"/>
  <c r="B1161" i="8"/>
  <c r="A1161" i="8"/>
  <c r="AA1160" i="8"/>
  <c r="W1160" i="8"/>
  <c r="U1160" i="8"/>
  <c r="P1160" i="8"/>
  <c r="M1160" i="8"/>
  <c r="J1160" i="8"/>
  <c r="H1160" i="8"/>
  <c r="B1160" i="8"/>
  <c r="A1160" i="8"/>
  <c r="AA1159" i="8"/>
  <c r="W1159" i="8"/>
  <c r="U1159" i="8"/>
  <c r="P1159" i="8"/>
  <c r="M1159" i="8"/>
  <c r="J1159" i="8"/>
  <c r="H1159" i="8"/>
  <c r="B1159" i="8"/>
  <c r="A1159" i="8"/>
  <c r="AA1158" i="8"/>
  <c r="W1158" i="8"/>
  <c r="U1158" i="8"/>
  <c r="P1158" i="8"/>
  <c r="M1158" i="8"/>
  <c r="J1158" i="8"/>
  <c r="H1158" i="8"/>
  <c r="B1158" i="8"/>
  <c r="A1158" i="8"/>
  <c r="AA1157" i="8"/>
  <c r="W1157" i="8"/>
  <c r="U1157" i="8"/>
  <c r="P1157" i="8"/>
  <c r="M1157" i="8"/>
  <c r="J1157" i="8"/>
  <c r="H1157" i="8"/>
  <c r="B1157" i="8"/>
  <c r="A1157" i="8"/>
  <c r="AA1156" i="8"/>
  <c r="W1156" i="8"/>
  <c r="U1156" i="8"/>
  <c r="P1156" i="8"/>
  <c r="M1156" i="8"/>
  <c r="J1156" i="8"/>
  <c r="H1156" i="8"/>
  <c r="B1156" i="8"/>
  <c r="A1156" i="8"/>
  <c r="AA1155" i="8"/>
  <c r="W1155" i="8"/>
  <c r="U1155" i="8"/>
  <c r="P1155" i="8"/>
  <c r="M1155" i="8"/>
  <c r="J1155" i="8"/>
  <c r="H1155" i="8"/>
  <c r="B1155" i="8"/>
  <c r="A1155" i="8"/>
  <c r="AA1154" i="8"/>
  <c r="W1154" i="8"/>
  <c r="U1154" i="8"/>
  <c r="P1154" i="8"/>
  <c r="M1154" i="8"/>
  <c r="J1154" i="8"/>
  <c r="H1154" i="8"/>
  <c r="B1154" i="8"/>
  <c r="A1154" i="8"/>
  <c r="AA1153" i="8"/>
  <c r="W1153" i="8"/>
  <c r="U1153" i="8"/>
  <c r="P1153" i="8"/>
  <c r="M1153" i="8"/>
  <c r="J1153" i="8"/>
  <c r="H1153" i="8"/>
  <c r="B1153" i="8"/>
  <c r="A1153" i="8"/>
  <c r="AA1152" i="8"/>
  <c r="W1152" i="8"/>
  <c r="U1152" i="8"/>
  <c r="P1152" i="8"/>
  <c r="M1152" i="8"/>
  <c r="J1152" i="8"/>
  <c r="H1152" i="8"/>
  <c r="B1152" i="8"/>
  <c r="A1152" i="8"/>
  <c r="AA1151" i="8"/>
  <c r="W1151" i="8"/>
  <c r="U1151" i="8"/>
  <c r="R1151" i="8"/>
  <c r="Q1151" i="8"/>
  <c r="P1151" i="8"/>
  <c r="M1151" i="8"/>
  <c r="J1151" i="8"/>
  <c r="H1151" i="8"/>
  <c r="B1151" i="8"/>
  <c r="A1151" i="8"/>
  <c r="AA1150" i="8"/>
  <c r="W1150" i="8"/>
  <c r="U1150" i="8"/>
  <c r="P1150" i="8"/>
  <c r="M1150" i="8"/>
  <c r="J1150" i="8"/>
  <c r="H1150" i="8"/>
  <c r="B1150" i="8"/>
  <c r="A1150" i="8"/>
  <c r="AA1149" i="8"/>
  <c r="W1149" i="8"/>
  <c r="U1149" i="8"/>
  <c r="P1149" i="8"/>
  <c r="M1149" i="8"/>
  <c r="J1149" i="8"/>
  <c r="H1149" i="8"/>
  <c r="B1149" i="8"/>
  <c r="A1149" i="8"/>
  <c r="AA1148" i="8"/>
  <c r="W1148" i="8"/>
  <c r="U1148" i="8"/>
  <c r="P1148" i="8"/>
  <c r="M1148" i="8"/>
  <c r="J1148" i="8"/>
  <c r="H1148" i="8"/>
  <c r="B1148" i="8"/>
  <c r="A1148" i="8"/>
  <c r="AA1147" i="8"/>
  <c r="W1147" i="8"/>
  <c r="U1147" i="8"/>
  <c r="P1147" i="8"/>
  <c r="M1147" i="8"/>
  <c r="J1147" i="8"/>
  <c r="H1147" i="8"/>
  <c r="B1147" i="8"/>
  <c r="A1147" i="8"/>
  <c r="AA1146" i="8"/>
  <c r="W1146" i="8"/>
  <c r="U1146" i="8"/>
  <c r="P1146" i="8"/>
  <c r="M1146" i="8"/>
  <c r="J1146" i="8"/>
  <c r="H1146" i="8"/>
  <c r="B1146" i="8"/>
  <c r="A1146" i="8"/>
  <c r="AA1145" i="8"/>
  <c r="W1145" i="8"/>
  <c r="U1145" i="8"/>
  <c r="P1145" i="8"/>
  <c r="M1145" i="8"/>
  <c r="J1145" i="8"/>
  <c r="H1145" i="8"/>
  <c r="B1145" i="8"/>
  <c r="A1145" i="8"/>
  <c r="AA1144" i="8"/>
  <c r="W1144" i="8"/>
  <c r="U1144" i="8"/>
  <c r="P1144" i="8"/>
  <c r="M1144" i="8"/>
  <c r="J1144" i="8"/>
  <c r="H1144" i="8"/>
  <c r="B1144" i="8"/>
  <c r="A1144" i="8"/>
  <c r="AA1143" i="8"/>
  <c r="W1143" i="8"/>
  <c r="U1143" i="8"/>
  <c r="P1143" i="8"/>
  <c r="M1143" i="8"/>
  <c r="J1143" i="8"/>
  <c r="H1143" i="8"/>
  <c r="B1143" i="8"/>
  <c r="A1143" i="8"/>
  <c r="AA1142" i="8"/>
  <c r="W1142" i="8"/>
  <c r="U1142" i="8"/>
  <c r="P1142" i="8"/>
  <c r="M1142" i="8"/>
  <c r="J1142" i="8"/>
  <c r="H1142" i="8"/>
  <c r="B1142" i="8"/>
  <c r="A1142" i="8"/>
  <c r="AA1141" i="8"/>
  <c r="W1141" i="8"/>
  <c r="U1141" i="8"/>
  <c r="P1141" i="8"/>
  <c r="M1141" i="8"/>
  <c r="J1141" i="8"/>
  <c r="H1141" i="8"/>
  <c r="B1141" i="8"/>
  <c r="A1141" i="8"/>
  <c r="AA1140" i="8"/>
  <c r="W1140" i="8"/>
  <c r="U1140" i="8"/>
  <c r="P1140" i="8"/>
  <c r="M1140" i="8"/>
  <c r="J1140" i="8"/>
  <c r="H1140" i="8"/>
  <c r="B1140" i="8"/>
  <c r="A1140" i="8"/>
  <c r="AA1139" i="8"/>
  <c r="W1139" i="8"/>
  <c r="U1139" i="8"/>
  <c r="P1139" i="8"/>
  <c r="M1139" i="8"/>
  <c r="J1139" i="8"/>
  <c r="H1139" i="8"/>
  <c r="B1139" i="8"/>
  <c r="A1139" i="8"/>
  <c r="AA1138" i="8"/>
  <c r="W1138" i="8"/>
  <c r="U1138" i="8"/>
  <c r="P1138" i="8"/>
  <c r="M1138" i="8"/>
  <c r="J1138" i="8"/>
  <c r="H1138" i="8"/>
  <c r="B1138" i="8"/>
  <c r="A1138" i="8"/>
  <c r="AA1137" i="8"/>
  <c r="W1137" i="8"/>
  <c r="U1137" i="8"/>
  <c r="P1137" i="8"/>
  <c r="M1137" i="8"/>
  <c r="J1137" i="8"/>
  <c r="H1137" i="8"/>
  <c r="B1137" i="8"/>
  <c r="A1137" i="8"/>
  <c r="AA1136" i="8"/>
  <c r="W1136" i="8"/>
  <c r="U1136" i="8"/>
  <c r="P1136" i="8"/>
  <c r="M1136" i="8"/>
  <c r="J1136" i="8"/>
  <c r="H1136" i="8"/>
  <c r="B1136" i="8"/>
  <c r="A1136" i="8"/>
  <c r="AA1135" i="8"/>
  <c r="W1135" i="8"/>
  <c r="U1135" i="8"/>
  <c r="P1135" i="8"/>
  <c r="M1135" i="8"/>
  <c r="J1135" i="8"/>
  <c r="H1135" i="8"/>
  <c r="B1135" i="8"/>
  <c r="A1135" i="8"/>
  <c r="AA1134" i="8"/>
  <c r="W1134" i="8"/>
  <c r="U1134" i="8"/>
  <c r="P1134" i="8"/>
  <c r="M1134" i="8"/>
  <c r="J1134" i="8"/>
  <c r="H1134" i="8"/>
  <c r="B1134" i="8"/>
  <c r="A1134" i="8"/>
  <c r="AA1133" i="8"/>
  <c r="W1133" i="8"/>
  <c r="U1133" i="8"/>
  <c r="P1133" i="8"/>
  <c r="M1133" i="8"/>
  <c r="J1133" i="8"/>
  <c r="H1133" i="8"/>
  <c r="B1133" i="8"/>
  <c r="A1133" i="8"/>
  <c r="AA1132" i="8"/>
  <c r="W1132" i="8"/>
  <c r="U1132" i="8"/>
  <c r="P1132" i="8"/>
  <c r="M1132" i="8"/>
  <c r="J1132" i="8"/>
  <c r="H1132" i="8"/>
  <c r="B1132" i="8"/>
  <c r="A1132" i="8"/>
  <c r="AA1131" i="8"/>
  <c r="W1131" i="8"/>
  <c r="U1131" i="8"/>
  <c r="P1131" i="8"/>
  <c r="M1131" i="8"/>
  <c r="J1131" i="8"/>
  <c r="H1131" i="8"/>
  <c r="B1131" i="8"/>
  <c r="A1131" i="8"/>
  <c r="AA1130" i="8"/>
  <c r="W1130" i="8"/>
  <c r="U1130" i="8"/>
  <c r="P1130" i="8"/>
  <c r="M1130" i="8"/>
  <c r="J1130" i="8"/>
  <c r="H1130" i="8"/>
  <c r="B1130" i="8"/>
  <c r="A1130" i="8"/>
  <c r="AA1129" i="8"/>
  <c r="W1129" i="8"/>
  <c r="U1129" i="8"/>
  <c r="P1129" i="8"/>
  <c r="M1129" i="8"/>
  <c r="J1129" i="8"/>
  <c r="H1129" i="8"/>
  <c r="B1129" i="8"/>
  <c r="A1129" i="8"/>
  <c r="AA1128" i="8"/>
  <c r="W1128" i="8"/>
  <c r="U1128" i="8"/>
  <c r="P1128" i="8"/>
  <c r="M1128" i="8"/>
  <c r="J1128" i="8"/>
  <c r="H1128" i="8"/>
  <c r="B1128" i="8"/>
  <c r="A1128" i="8"/>
  <c r="AA1127" i="8"/>
  <c r="W1127" i="8"/>
  <c r="U1127" i="8"/>
  <c r="P1127" i="8"/>
  <c r="M1127" i="8"/>
  <c r="J1127" i="8"/>
  <c r="H1127" i="8"/>
  <c r="B1127" i="8"/>
  <c r="A1127" i="8"/>
  <c r="AA1126" i="8"/>
  <c r="W1126" i="8"/>
  <c r="U1126" i="8"/>
  <c r="P1126" i="8"/>
  <c r="M1126" i="8"/>
  <c r="J1126" i="8"/>
  <c r="H1126" i="8"/>
  <c r="B1126" i="8"/>
  <c r="A1126" i="8"/>
  <c r="AA1125" i="8"/>
  <c r="W1125" i="8"/>
  <c r="U1125" i="8"/>
  <c r="P1125" i="8"/>
  <c r="M1125" i="8"/>
  <c r="J1125" i="8"/>
  <c r="H1125" i="8"/>
  <c r="B1125" i="8"/>
  <c r="A1125" i="8"/>
  <c r="AA1124" i="8"/>
  <c r="W1124" i="8"/>
  <c r="U1124" i="8"/>
  <c r="P1124" i="8"/>
  <c r="M1124" i="8"/>
  <c r="J1124" i="8"/>
  <c r="H1124" i="8"/>
  <c r="B1124" i="8"/>
  <c r="A1124" i="8"/>
  <c r="AA1123" i="8"/>
  <c r="W1123" i="8"/>
  <c r="U1123" i="8"/>
  <c r="P1123" i="8"/>
  <c r="M1123" i="8"/>
  <c r="J1123" i="8"/>
  <c r="H1123" i="8"/>
  <c r="B1123" i="8"/>
  <c r="A1123" i="8"/>
  <c r="AA1122" i="8"/>
  <c r="W1122" i="8"/>
  <c r="U1122" i="8"/>
  <c r="P1122" i="8"/>
  <c r="M1122" i="8"/>
  <c r="J1122" i="8"/>
  <c r="H1122" i="8"/>
  <c r="B1122" i="8"/>
  <c r="A1122" i="8"/>
  <c r="AA1121" i="8"/>
  <c r="W1121" i="8"/>
  <c r="U1121" i="8"/>
  <c r="P1121" i="8"/>
  <c r="M1121" i="8"/>
  <c r="J1121" i="8"/>
  <c r="H1121" i="8"/>
  <c r="B1121" i="8"/>
  <c r="A1121" i="8"/>
  <c r="AA1120" i="8"/>
  <c r="W1120" i="8"/>
  <c r="U1120" i="8"/>
  <c r="R1120" i="8"/>
  <c r="Q1120" i="8"/>
  <c r="P1120" i="8"/>
  <c r="M1120" i="8"/>
  <c r="J1120" i="8"/>
  <c r="H1120" i="8"/>
  <c r="B1120" i="8"/>
  <c r="A1120" i="8"/>
  <c r="AA1119" i="8"/>
  <c r="W1119" i="8"/>
  <c r="U1119" i="8"/>
  <c r="R1119" i="8"/>
  <c r="Q1119" i="8"/>
  <c r="P1119" i="8"/>
  <c r="M1119" i="8"/>
  <c r="J1119" i="8"/>
  <c r="H1119" i="8"/>
  <c r="B1119" i="8"/>
  <c r="A1119" i="8"/>
  <c r="AA1118" i="8"/>
  <c r="W1118" i="8"/>
  <c r="U1118" i="8"/>
  <c r="P1118" i="8"/>
  <c r="M1118" i="8"/>
  <c r="J1118" i="8"/>
  <c r="H1118" i="8"/>
  <c r="B1118" i="8"/>
  <c r="A1118" i="8"/>
  <c r="AA1117" i="8"/>
  <c r="W1117" i="8"/>
  <c r="U1117" i="8"/>
  <c r="P1117" i="8"/>
  <c r="M1117" i="8"/>
  <c r="J1117" i="8"/>
  <c r="H1117" i="8"/>
  <c r="B1117" i="8"/>
  <c r="A1117" i="8"/>
  <c r="AA1116" i="8"/>
  <c r="W1116" i="8"/>
  <c r="U1116" i="8"/>
  <c r="P1116" i="8"/>
  <c r="M1116" i="8"/>
  <c r="J1116" i="8"/>
  <c r="H1116" i="8"/>
  <c r="B1116" i="8"/>
  <c r="A1116" i="8"/>
  <c r="AA1115" i="8"/>
  <c r="W1115" i="8"/>
  <c r="U1115" i="8"/>
  <c r="P1115" i="8"/>
  <c r="M1115" i="8"/>
  <c r="J1115" i="8"/>
  <c r="H1115" i="8"/>
  <c r="B1115" i="8"/>
  <c r="A1115" i="8"/>
  <c r="AA1114" i="8"/>
  <c r="W1114" i="8"/>
  <c r="U1114" i="8"/>
  <c r="P1114" i="8"/>
  <c r="M1114" i="8"/>
  <c r="J1114" i="8"/>
  <c r="H1114" i="8"/>
  <c r="B1114" i="8"/>
  <c r="A1114" i="8"/>
  <c r="AA1113" i="8"/>
  <c r="W1113" i="8"/>
  <c r="U1113" i="8"/>
  <c r="P1113" i="8"/>
  <c r="M1113" i="8"/>
  <c r="J1113" i="8"/>
  <c r="H1113" i="8"/>
  <c r="B1113" i="8"/>
  <c r="A1113" i="8"/>
  <c r="AA1112" i="8"/>
  <c r="W1112" i="8"/>
  <c r="U1112" i="8"/>
  <c r="P1112" i="8"/>
  <c r="M1112" i="8"/>
  <c r="J1112" i="8"/>
  <c r="H1112" i="8"/>
  <c r="B1112" i="8"/>
  <c r="A1112" i="8"/>
  <c r="AA1111" i="8"/>
  <c r="W1111" i="8"/>
  <c r="U1111" i="8"/>
  <c r="P1111" i="8"/>
  <c r="M1111" i="8"/>
  <c r="J1111" i="8"/>
  <c r="H1111" i="8"/>
  <c r="B1111" i="8"/>
  <c r="A1111" i="8"/>
  <c r="AA1110" i="8"/>
  <c r="W1110" i="8"/>
  <c r="U1110" i="8"/>
  <c r="P1110" i="8"/>
  <c r="M1110" i="8"/>
  <c r="J1110" i="8"/>
  <c r="H1110" i="8"/>
  <c r="B1110" i="8"/>
  <c r="A1110" i="8"/>
  <c r="AA1109" i="8"/>
  <c r="W1109" i="8"/>
  <c r="U1109" i="8"/>
  <c r="P1109" i="8"/>
  <c r="M1109" i="8"/>
  <c r="J1109" i="8"/>
  <c r="H1109" i="8"/>
  <c r="B1109" i="8"/>
  <c r="A1109" i="8"/>
  <c r="AA1108" i="8"/>
  <c r="W1108" i="8"/>
  <c r="U1108" i="8"/>
  <c r="P1108" i="8"/>
  <c r="M1108" i="8"/>
  <c r="J1108" i="8"/>
  <c r="H1108" i="8"/>
  <c r="B1108" i="8"/>
  <c r="A1108" i="8"/>
  <c r="AA1107" i="8"/>
  <c r="W1107" i="8"/>
  <c r="U1107" i="8"/>
  <c r="P1107" i="8"/>
  <c r="M1107" i="8"/>
  <c r="J1107" i="8"/>
  <c r="H1107" i="8"/>
  <c r="B1107" i="8"/>
  <c r="A1107" i="8"/>
  <c r="AA1106" i="8"/>
  <c r="W1106" i="8"/>
  <c r="U1106" i="8"/>
  <c r="P1106" i="8"/>
  <c r="M1106" i="8"/>
  <c r="J1106" i="8"/>
  <c r="H1106" i="8"/>
  <c r="B1106" i="8"/>
  <c r="A1106" i="8"/>
  <c r="AA1105" i="8"/>
  <c r="W1105" i="8"/>
  <c r="U1105" i="8"/>
  <c r="P1105" i="8"/>
  <c r="M1105" i="8"/>
  <c r="J1105" i="8"/>
  <c r="H1105" i="8"/>
  <c r="B1105" i="8"/>
  <c r="A1105" i="8"/>
  <c r="AA1104" i="8"/>
  <c r="W1104" i="8"/>
  <c r="U1104" i="8"/>
  <c r="P1104" i="8"/>
  <c r="M1104" i="8"/>
  <c r="J1104" i="8"/>
  <c r="H1104" i="8"/>
  <c r="B1104" i="8"/>
  <c r="A1104" i="8"/>
  <c r="AA1103" i="8"/>
  <c r="W1103" i="8"/>
  <c r="U1103" i="8"/>
  <c r="P1103" i="8"/>
  <c r="M1103" i="8"/>
  <c r="J1103" i="8"/>
  <c r="H1103" i="8"/>
  <c r="B1103" i="8"/>
  <c r="A1103" i="8"/>
  <c r="AA1102" i="8"/>
  <c r="W1102" i="8"/>
  <c r="U1102" i="8"/>
  <c r="P1102" i="8"/>
  <c r="M1102" i="8"/>
  <c r="J1102" i="8"/>
  <c r="H1102" i="8"/>
  <c r="B1102" i="8"/>
  <c r="A1102" i="8"/>
  <c r="AA1101" i="8"/>
  <c r="W1101" i="8"/>
  <c r="U1101" i="8"/>
  <c r="P1101" i="8"/>
  <c r="M1101" i="8"/>
  <c r="J1101" i="8"/>
  <c r="H1101" i="8"/>
  <c r="B1101" i="8"/>
  <c r="A1101" i="8"/>
  <c r="AA1100" i="8"/>
  <c r="W1100" i="8"/>
  <c r="U1100" i="8"/>
  <c r="P1100" i="8"/>
  <c r="M1100" i="8"/>
  <c r="J1100" i="8"/>
  <c r="H1100" i="8"/>
  <c r="B1100" i="8"/>
  <c r="A1100" i="8"/>
  <c r="AA1099" i="8"/>
  <c r="W1099" i="8"/>
  <c r="U1099" i="8"/>
  <c r="P1099" i="8"/>
  <c r="M1099" i="8"/>
  <c r="J1099" i="8"/>
  <c r="H1099" i="8"/>
  <c r="B1099" i="8"/>
  <c r="A1099" i="8"/>
  <c r="AA1098" i="8"/>
  <c r="W1098" i="8"/>
  <c r="U1098" i="8"/>
  <c r="P1098" i="8"/>
  <c r="M1098" i="8"/>
  <c r="J1098" i="8"/>
  <c r="H1098" i="8"/>
  <c r="B1098" i="8"/>
  <c r="A1098" i="8"/>
  <c r="AA1097" i="8"/>
  <c r="W1097" i="8"/>
  <c r="U1097" i="8"/>
  <c r="P1097" i="8"/>
  <c r="M1097" i="8"/>
  <c r="J1097" i="8"/>
  <c r="H1097" i="8"/>
  <c r="B1097" i="8"/>
  <c r="A1097" i="8"/>
  <c r="AA1096" i="8"/>
  <c r="W1096" i="8"/>
  <c r="U1096" i="8"/>
  <c r="P1096" i="8"/>
  <c r="M1096" i="8"/>
  <c r="J1096" i="8"/>
  <c r="H1096" i="8"/>
  <c r="B1096" i="8"/>
  <c r="A1096" i="8"/>
  <c r="AA1095" i="8"/>
  <c r="W1095" i="8"/>
  <c r="U1095" i="8"/>
  <c r="P1095" i="8"/>
  <c r="M1095" i="8"/>
  <c r="J1095" i="8"/>
  <c r="H1095" i="8"/>
  <c r="B1095" i="8"/>
  <c r="A1095" i="8"/>
  <c r="AA1094" i="8"/>
  <c r="W1094" i="8"/>
  <c r="U1094" i="8"/>
  <c r="P1094" i="8"/>
  <c r="M1094" i="8"/>
  <c r="J1094" i="8"/>
  <c r="H1094" i="8"/>
  <c r="B1094" i="8"/>
  <c r="A1094" i="8"/>
  <c r="AA1093" i="8"/>
  <c r="W1093" i="8"/>
  <c r="U1093" i="8"/>
  <c r="P1093" i="8"/>
  <c r="M1093" i="8"/>
  <c r="J1093" i="8"/>
  <c r="H1093" i="8"/>
  <c r="B1093" i="8"/>
  <c r="A1093" i="8"/>
  <c r="AA1092" i="8"/>
  <c r="W1092" i="8"/>
  <c r="U1092" i="8"/>
  <c r="P1092" i="8"/>
  <c r="M1092" i="8"/>
  <c r="J1092" i="8"/>
  <c r="H1092" i="8"/>
  <c r="B1092" i="8"/>
  <c r="A1092" i="8"/>
  <c r="AA1091" i="8"/>
  <c r="W1091" i="8"/>
  <c r="U1091" i="8"/>
  <c r="P1091" i="8"/>
  <c r="M1091" i="8"/>
  <c r="J1091" i="8"/>
  <c r="H1091" i="8"/>
  <c r="B1091" i="8"/>
  <c r="A1091" i="8"/>
  <c r="AA1090" i="8"/>
  <c r="W1090" i="8"/>
  <c r="U1090" i="8"/>
  <c r="P1090" i="8"/>
  <c r="M1090" i="8"/>
  <c r="J1090" i="8"/>
  <c r="H1090" i="8"/>
  <c r="B1090" i="8"/>
  <c r="A1090" i="8"/>
  <c r="AA1089" i="8"/>
  <c r="W1089" i="8"/>
  <c r="U1089" i="8"/>
  <c r="P1089" i="8"/>
  <c r="M1089" i="8"/>
  <c r="J1089" i="8"/>
  <c r="H1089" i="8"/>
  <c r="B1089" i="8"/>
  <c r="A1089" i="8"/>
  <c r="AA1088" i="8"/>
  <c r="W1088" i="8"/>
  <c r="U1088" i="8"/>
  <c r="R1088" i="8"/>
  <c r="Q1088" i="8"/>
  <c r="P1088" i="8"/>
  <c r="M1088" i="8"/>
  <c r="J1088" i="8"/>
  <c r="H1088" i="8"/>
  <c r="B1088" i="8"/>
  <c r="A1088" i="8"/>
  <c r="AA1087" i="8"/>
  <c r="W1087" i="8"/>
  <c r="U1087" i="8"/>
  <c r="P1087" i="8"/>
  <c r="M1087" i="8"/>
  <c r="J1087" i="8"/>
  <c r="H1087" i="8"/>
  <c r="B1087" i="8"/>
  <c r="A1087" i="8"/>
  <c r="AA1086" i="8"/>
  <c r="W1086" i="8"/>
  <c r="U1086" i="8"/>
  <c r="P1086" i="8"/>
  <c r="M1086" i="8"/>
  <c r="J1086" i="8"/>
  <c r="H1086" i="8"/>
  <c r="B1086" i="8"/>
  <c r="A1086" i="8"/>
  <c r="AA1085" i="8"/>
  <c r="W1085" i="8"/>
  <c r="U1085" i="8"/>
  <c r="P1085" i="8"/>
  <c r="M1085" i="8"/>
  <c r="J1085" i="8"/>
  <c r="H1085" i="8"/>
  <c r="B1085" i="8"/>
  <c r="A1085" i="8"/>
  <c r="AA1084" i="8"/>
  <c r="W1084" i="8"/>
  <c r="U1084" i="8"/>
  <c r="P1084" i="8"/>
  <c r="M1084" i="8"/>
  <c r="J1084" i="8"/>
  <c r="H1084" i="8"/>
  <c r="B1084" i="8"/>
  <c r="A1084" i="8"/>
  <c r="AA1083" i="8"/>
  <c r="W1083" i="8"/>
  <c r="U1083" i="8"/>
  <c r="P1083" i="8"/>
  <c r="M1083" i="8"/>
  <c r="J1083" i="8"/>
  <c r="H1083" i="8"/>
  <c r="B1083" i="8"/>
  <c r="A1083" i="8"/>
  <c r="AA1082" i="8"/>
  <c r="W1082" i="8"/>
  <c r="U1082" i="8"/>
  <c r="P1082" i="8"/>
  <c r="M1082" i="8"/>
  <c r="J1082" i="8"/>
  <c r="H1082" i="8"/>
  <c r="B1082" i="8"/>
  <c r="A1082" i="8"/>
  <c r="AA1081" i="8"/>
  <c r="W1081" i="8"/>
  <c r="U1081" i="8"/>
  <c r="P1081" i="8"/>
  <c r="M1081" i="8"/>
  <c r="J1081" i="8"/>
  <c r="H1081" i="8"/>
  <c r="B1081" i="8"/>
  <c r="A1081" i="8"/>
  <c r="AA1080" i="8"/>
  <c r="W1080" i="8"/>
  <c r="U1080" i="8"/>
  <c r="P1080" i="8"/>
  <c r="M1080" i="8"/>
  <c r="J1080" i="8"/>
  <c r="H1080" i="8"/>
  <c r="B1080" i="8"/>
  <c r="A1080" i="8"/>
  <c r="AA1079" i="8"/>
  <c r="W1079" i="8"/>
  <c r="U1079" i="8"/>
  <c r="P1079" i="8"/>
  <c r="M1079" i="8"/>
  <c r="J1079" i="8"/>
  <c r="H1079" i="8"/>
  <c r="B1079" i="8"/>
  <c r="A1079" i="8"/>
  <c r="AA1078" i="8"/>
  <c r="W1078" i="8"/>
  <c r="U1078" i="8"/>
  <c r="P1078" i="8"/>
  <c r="M1078" i="8"/>
  <c r="J1078" i="8"/>
  <c r="H1078" i="8"/>
  <c r="B1078" i="8"/>
  <c r="A1078" i="8"/>
  <c r="AA1077" i="8"/>
  <c r="W1077" i="8"/>
  <c r="U1077" i="8"/>
  <c r="P1077" i="8"/>
  <c r="M1077" i="8"/>
  <c r="J1077" i="8"/>
  <c r="H1077" i="8"/>
  <c r="B1077" i="8"/>
  <c r="A1077" i="8"/>
  <c r="AA1076" i="8"/>
  <c r="W1076" i="8"/>
  <c r="U1076" i="8"/>
  <c r="P1076" i="8"/>
  <c r="M1076" i="8"/>
  <c r="J1076" i="8"/>
  <c r="H1076" i="8"/>
  <c r="B1076" i="8"/>
  <c r="A1076" i="8"/>
  <c r="AA1075" i="8"/>
  <c r="W1075" i="8"/>
  <c r="U1075" i="8"/>
  <c r="P1075" i="8"/>
  <c r="M1075" i="8"/>
  <c r="J1075" i="8"/>
  <c r="H1075" i="8"/>
  <c r="B1075" i="8"/>
  <c r="A1075" i="8"/>
  <c r="AA1074" i="8"/>
  <c r="W1074" i="8"/>
  <c r="U1074" i="8"/>
  <c r="P1074" i="8"/>
  <c r="M1074" i="8"/>
  <c r="J1074" i="8"/>
  <c r="H1074" i="8"/>
  <c r="B1074" i="8"/>
  <c r="A1074" i="8"/>
  <c r="AA1073" i="8"/>
  <c r="W1073" i="8"/>
  <c r="U1073" i="8"/>
  <c r="P1073" i="8"/>
  <c r="M1073" i="8"/>
  <c r="J1073" i="8"/>
  <c r="H1073" i="8"/>
  <c r="B1073" i="8"/>
  <c r="A1073" i="8"/>
  <c r="AA1072" i="8"/>
  <c r="W1072" i="8"/>
  <c r="U1072" i="8"/>
  <c r="P1072" i="8"/>
  <c r="M1072" i="8"/>
  <c r="J1072" i="8"/>
  <c r="H1072" i="8"/>
  <c r="B1072" i="8"/>
  <c r="A1072" i="8"/>
  <c r="AA1071" i="8"/>
  <c r="W1071" i="8"/>
  <c r="U1071" i="8"/>
  <c r="P1071" i="8"/>
  <c r="M1071" i="8"/>
  <c r="J1071" i="8"/>
  <c r="H1071" i="8"/>
  <c r="B1071" i="8"/>
  <c r="A1071" i="8"/>
  <c r="AA1070" i="8"/>
  <c r="W1070" i="8"/>
  <c r="U1070" i="8"/>
  <c r="P1070" i="8"/>
  <c r="M1070" i="8"/>
  <c r="J1070" i="8"/>
  <c r="H1070" i="8"/>
  <c r="B1070" i="8"/>
  <c r="A1070" i="8"/>
  <c r="AA1069" i="8"/>
  <c r="W1069" i="8"/>
  <c r="U1069" i="8"/>
  <c r="P1069" i="8"/>
  <c r="M1069" i="8"/>
  <c r="J1069" i="8"/>
  <c r="H1069" i="8"/>
  <c r="B1069" i="8"/>
  <c r="A1069" i="8"/>
  <c r="AA1068" i="8"/>
  <c r="W1068" i="8"/>
  <c r="U1068" i="8"/>
  <c r="P1068" i="8"/>
  <c r="M1068" i="8"/>
  <c r="J1068" i="8"/>
  <c r="H1068" i="8"/>
  <c r="B1068" i="8"/>
  <c r="A1068" i="8"/>
  <c r="AA1067" i="8"/>
  <c r="W1067" i="8"/>
  <c r="U1067" i="8"/>
  <c r="P1067" i="8"/>
  <c r="M1067" i="8"/>
  <c r="J1067" i="8"/>
  <c r="H1067" i="8"/>
  <c r="B1067" i="8"/>
  <c r="A1067" i="8"/>
  <c r="AA1066" i="8"/>
  <c r="W1066" i="8"/>
  <c r="U1066" i="8"/>
  <c r="P1066" i="8"/>
  <c r="M1066" i="8"/>
  <c r="J1066" i="8"/>
  <c r="H1066" i="8"/>
  <c r="B1066" i="8"/>
  <c r="A1066" i="8"/>
  <c r="AA1065" i="8"/>
  <c r="W1065" i="8"/>
  <c r="U1065" i="8"/>
  <c r="R1065" i="8"/>
  <c r="Q1065" i="8"/>
  <c r="P1065" i="8"/>
  <c r="M1065" i="8"/>
  <c r="J1065" i="8"/>
  <c r="H1065" i="8"/>
  <c r="B1065" i="8"/>
  <c r="A1065" i="8"/>
  <c r="AA1064" i="8"/>
  <c r="W1064" i="8"/>
  <c r="U1064" i="8"/>
  <c r="P1064" i="8"/>
  <c r="M1064" i="8"/>
  <c r="J1064" i="8"/>
  <c r="H1064" i="8"/>
  <c r="B1064" i="8"/>
  <c r="A1064" i="8"/>
  <c r="AA1063" i="8"/>
  <c r="W1063" i="8"/>
  <c r="U1063" i="8"/>
  <c r="P1063" i="8"/>
  <c r="M1063" i="8"/>
  <c r="J1063" i="8"/>
  <c r="H1063" i="8"/>
  <c r="B1063" i="8"/>
  <c r="A1063" i="8"/>
  <c r="AA1062" i="8"/>
  <c r="W1062" i="8"/>
  <c r="U1062" i="8"/>
  <c r="R1062" i="8"/>
  <c r="Q1062" i="8"/>
  <c r="P1062" i="8"/>
  <c r="M1062" i="8"/>
  <c r="J1062" i="8"/>
  <c r="H1062" i="8"/>
  <c r="B1062" i="8"/>
  <c r="A1062" i="8"/>
  <c r="AA1061" i="8"/>
  <c r="W1061" i="8"/>
  <c r="U1061" i="8"/>
  <c r="P1061" i="8"/>
  <c r="M1061" i="8"/>
  <c r="J1061" i="8"/>
  <c r="H1061" i="8"/>
  <c r="B1061" i="8"/>
  <c r="A1061" i="8"/>
  <c r="AA1060" i="8"/>
  <c r="W1060" i="8"/>
  <c r="U1060" i="8"/>
  <c r="P1060" i="8"/>
  <c r="M1060" i="8"/>
  <c r="J1060" i="8"/>
  <c r="H1060" i="8"/>
  <c r="B1060" i="8"/>
  <c r="A1060" i="8"/>
  <c r="AA1059" i="8"/>
  <c r="W1059" i="8"/>
  <c r="U1059" i="8"/>
  <c r="P1059" i="8"/>
  <c r="M1059" i="8"/>
  <c r="J1059" i="8"/>
  <c r="H1059" i="8"/>
  <c r="B1059" i="8"/>
  <c r="A1059" i="8"/>
  <c r="AA1058" i="8"/>
  <c r="W1058" i="8"/>
  <c r="U1058" i="8"/>
  <c r="P1058" i="8"/>
  <c r="M1058" i="8"/>
  <c r="J1058" i="8"/>
  <c r="H1058" i="8"/>
  <c r="B1058" i="8"/>
  <c r="A1058" i="8"/>
  <c r="AA1057" i="8"/>
  <c r="W1057" i="8"/>
  <c r="U1057" i="8"/>
  <c r="R1057" i="8"/>
  <c r="Q1057" i="8"/>
  <c r="P1057" i="8"/>
  <c r="M1057" i="8"/>
  <c r="J1057" i="8"/>
  <c r="H1057" i="8"/>
  <c r="B1057" i="8"/>
  <c r="A1057" i="8"/>
  <c r="AA1056" i="8"/>
  <c r="W1056" i="8"/>
  <c r="U1056" i="8"/>
  <c r="R1056" i="8"/>
  <c r="Q1056" i="8"/>
  <c r="P1056" i="8"/>
  <c r="M1056" i="8"/>
  <c r="J1056" i="8"/>
  <c r="H1056" i="8"/>
  <c r="B1056" i="8"/>
  <c r="A1056" i="8"/>
  <c r="AA1055" i="8"/>
  <c r="W1055" i="8"/>
  <c r="U1055" i="8"/>
  <c r="P1055" i="8"/>
  <c r="M1055" i="8"/>
  <c r="J1055" i="8"/>
  <c r="H1055" i="8"/>
  <c r="B1055" i="8"/>
  <c r="A1055" i="8"/>
  <c r="AA1054" i="8"/>
  <c r="W1054" i="8"/>
  <c r="U1054" i="8"/>
  <c r="P1054" i="8"/>
  <c r="M1054" i="8"/>
  <c r="J1054" i="8"/>
  <c r="H1054" i="8"/>
  <c r="B1054" i="8"/>
  <c r="A1054" i="8"/>
  <c r="AA1053" i="8"/>
  <c r="W1053" i="8"/>
  <c r="U1053" i="8"/>
  <c r="P1053" i="8"/>
  <c r="M1053" i="8"/>
  <c r="J1053" i="8"/>
  <c r="H1053" i="8"/>
  <c r="B1053" i="8"/>
  <c r="A1053" i="8"/>
  <c r="AA1052" i="8"/>
  <c r="W1052" i="8"/>
  <c r="U1052" i="8"/>
  <c r="P1052" i="8"/>
  <c r="M1052" i="8"/>
  <c r="J1052" i="8"/>
  <c r="H1052" i="8"/>
  <c r="B1052" i="8"/>
  <c r="A1052" i="8"/>
  <c r="AA1051" i="8"/>
  <c r="W1051" i="8"/>
  <c r="U1051" i="8"/>
  <c r="P1051" i="8"/>
  <c r="M1051" i="8"/>
  <c r="J1051" i="8"/>
  <c r="H1051" i="8"/>
  <c r="B1051" i="8"/>
  <c r="A1051" i="8"/>
  <c r="AA1050" i="8"/>
  <c r="W1050" i="8"/>
  <c r="U1050" i="8"/>
  <c r="P1050" i="8"/>
  <c r="M1050" i="8"/>
  <c r="J1050" i="8"/>
  <c r="H1050" i="8"/>
  <c r="B1050" i="8"/>
  <c r="A1050" i="8"/>
  <c r="AA1049" i="8"/>
  <c r="W1049" i="8"/>
  <c r="U1049" i="8"/>
  <c r="P1049" i="8"/>
  <c r="M1049" i="8"/>
  <c r="J1049" i="8"/>
  <c r="H1049" i="8"/>
  <c r="B1049" i="8"/>
  <c r="A1049" i="8"/>
  <c r="AA1048" i="8"/>
  <c r="W1048" i="8"/>
  <c r="U1048" i="8"/>
  <c r="P1048" i="8"/>
  <c r="M1048" i="8"/>
  <c r="J1048" i="8"/>
  <c r="H1048" i="8"/>
  <c r="B1048" i="8"/>
  <c r="A1048" i="8"/>
  <c r="AA1047" i="8"/>
  <c r="W1047" i="8"/>
  <c r="U1047" i="8"/>
  <c r="P1047" i="8"/>
  <c r="M1047" i="8"/>
  <c r="J1047" i="8"/>
  <c r="H1047" i="8"/>
  <c r="B1047" i="8"/>
  <c r="A1047" i="8"/>
  <c r="AA1046" i="8"/>
  <c r="W1046" i="8"/>
  <c r="U1046" i="8"/>
  <c r="P1046" i="8"/>
  <c r="M1046" i="8"/>
  <c r="J1046" i="8"/>
  <c r="H1046" i="8"/>
  <c r="B1046" i="8"/>
  <c r="A1046" i="8"/>
  <c r="AA1045" i="8"/>
  <c r="W1045" i="8"/>
  <c r="U1045" i="8"/>
  <c r="P1045" i="8"/>
  <c r="M1045" i="8"/>
  <c r="J1045" i="8"/>
  <c r="H1045" i="8"/>
  <c r="B1045" i="8"/>
  <c r="A1045" i="8"/>
  <c r="AA1044" i="8"/>
  <c r="W1044" i="8"/>
  <c r="U1044" i="8"/>
  <c r="P1044" i="8"/>
  <c r="M1044" i="8"/>
  <c r="J1044" i="8"/>
  <c r="H1044" i="8"/>
  <c r="B1044" i="8"/>
  <c r="A1044" i="8"/>
  <c r="AA1043" i="8"/>
  <c r="W1043" i="8"/>
  <c r="U1043" i="8"/>
  <c r="P1043" i="8"/>
  <c r="M1043" i="8"/>
  <c r="J1043" i="8"/>
  <c r="H1043" i="8"/>
  <c r="B1043" i="8"/>
  <c r="A1043" i="8"/>
  <c r="AA1042" i="8"/>
  <c r="W1042" i="8"/>
  <c r="U1042" i="8"/>
  <c r="P1042" i="8"/>
  <c r="M1042" i="8"/>
  <c r="J1042" i="8"/>
  <c r="H1042" i="8"/>
  <c r="B1042" i="8"/>
  <c r="A1042" i="8"/>
  <c r="AA1041" i="8"/>
  <c r="W1041" i="8"/>
  <c r="U1041" i="8"/>
  <c r="P1041" i="8"/>
  <c r="M1041" i="8"/>
  <c r="J1041" i="8"/>
  <c r="H1041" i="8"/>
  <c r="B1041" i="8"/>
  <c r="A1041" i="8"/>
  <c r="AA1040" i="8"/>
  <c r="W1040" i="8"/>
  <c r="U1040" i="8"/>
  <c r="P1040" i="8"/>
  <c r="M1040" i="8"/>
  <c r="J1040" i="8"/>
  <c r="H1040" i="8"/>
  <c r="B1040" i="8"/>
  <c r="A1040" i="8"/>
  <c r="AA1039" i="8"/>
  <c r="W1039" i="8"/>
  <c r="U1039" i="8"/>
  <c r="P1039" i="8"/>
  <c r="M1039" i="8"/>
  <c r="J1039" i="8"/>
  <c r="H1039" i="8"/>
  <c r="B1039" i="8"/>
  <c r="A1039" i="8"/>
  <c r="AA1038" i="8"/>
  <c r="W1038" i="8"/>
  <c r="U1038" i="8"/>
  <c r="P1038" i="8"/>
  <c r="M1038" i="8"/>
  <c r="J1038" i="8"/>
  <c r="H1038" i="8"/>
  <c r="B1038" i="8"/>
  <c r="A1038" i="8"/>
  <c r="AA1037" i="8"/>
  <c r="W1037" i="8"/>
  <c r="U1037" i="8"/>
  <c r="P1037" i="8"/>
  <c r="M1037" i="8"/>
  <c r="J1037" i="8"/>
  <c r="H1037" i="8"/>
  <c r="B1037" i="8"/>
  <c r="A1037" i="8"/>
  <c r="AA1036" i="8"/>
  <c r="W1036" i="8"/>
  <c r="U1036" i="8"/>
  <c r="P1036" i="8"/>
  <c r="M1036" i="8"/>
  <c r="J1036" i="8"/>
  <c r="H1036" i="8"/>
  <c r="B1036" i="8"/>
  <c r="A1036" i="8"/>
  <c r="AA1035" i="8"/>
  <c r="W1035" i="8"/>
  <c r="U1035" i="8"/>
  <c r="P1035" i="8"/>
  <c r="M1035" i="8"/>
  <c r="J1035" i="8"/>
  <c r="H1035" i="8"/>
  <c r="B1035" i="8"/>
  <c r="A1035" i="8"/>
  <c r="AA1034" i="8"/>
  <c r="W1034" i="8"/>
  <c r="U1034" i="8"/>
  <c r="P1034" i="8"/>
  <c r="M1034" i="8"/>
  <c r="J1034" i="8"/>
  <c r="H1034" i="8"/>
  <c r="B1034" i="8"/>
  <c r="A1034" i="8"/>
  <c r="AA1033" i="8"/>
  <c r="W1033" i="8"/>
  <c r="U1033" i="8"/>
  <c r="P1033" i="8"/>
  <c r="M1033" i="8"/>
  <c r="J1033" i="8"/>
  <c r="H1033" i="8"/>
  <c r="B1033" i="8"/>
  <c r="A1033" i="8"/>
  <c r="AA1032" i="8"/>
  <c r="W1032" i="8"/>
  <c r="U1032" i="8"/>
  <c r="P1032" i="8"/>
  <c r="M1032" i="8"/>
  <c r="J1032" i="8"/>
  <c r="H1032" i="8"/>
  <c r="B1032" i="8"/>
  <c r="A1032" i="8"/>
  <c r="AA1031" i="8"/>
  <c r="W1031" i="8"/>
  <c r="U1031" i="8"/>
  <c r="P1031" i="8"/>
  <c r="M1031" i="8"/>
  <c r="J1031" i="8"/>
  <c r="H1031" i="8"/>
  <c r="B1031" i="8"/>
  <c r="A1031" i="8"/>
  <c r="AA1030" i="8"/>
  <c r="W1030" i="8"/>
  <c r="U1030" i="8"/>
  <c r="P1030" i="8"/>
  <c r="M1030" i="8"/>
  <c r="J1030" i="8"/>
  <c r="H1030" i="8"/>
  <c r="B1030" i="8"/>
  <c r="A1030" i="8"/>
  <c r="AA1029" i="8"/>
  <c r="W1029" i="8"/>
  <c r="U1029" i="8"/>
  <c r="P1029" i="8"/>
  <c r="M1029" i="8"/>
  <c r="J1029" i="8"/>
  <c r="H1029" i="8"/>
  <c r="B1029" i="8"/>
  <c r="A1029" i="8"/>
  <c r="AA1028" i="8"/>
  <c r="W1028" i="8"/>
  <c r="U1028" i="8"/>
  <c r="P1028" i="8"/>
  <c r="M1028" i="8"/>
  <c r="J1028" i="8"/>
  <c r="H1028" i="8"/>
  <c r="B1028" i="8"/>
  <c r="A1028" i="8"/>
  <c r="AA1027" i="8"/>
  <c r="W1027" i="8"/>
  <c r="U1027" i="8"/>
  <c r="P1027" i="8"/>
  <c r="M1027" i="8"/>
  <c r="J1027" i="8"/>
  <c r="H1027" i="8"/>
  <c r="B1027" i="8"/>
  <c r="A1027" i="8"/>
  <c r="AA1026" i="8"/>
  <c r="W1026" i="8"/>
  <c r="U1026" i="8"/>
  <c r="P1026" i="8"/>
  <c r="M1026" i="8"/>
  <c r="J1026" i="8"/>
  <c r="H1026" i="8"/>
  <c r="B1026" i="8"/>
  <c r="A1026" i="8"/>
  <c r="AA1025" i="8"/>
  <c r="W1025" i="8"/>
  <c r="U1025" i="8"/>
  <c r="R1025" i="8"/>
  <c r="Q1025" i="8"/>
  <c r="P1025" i="8"/>
  <c r="M1025" i="8"/>
  <c r="J1025" i="8"/>
  <c r="H1025" i="8"/>
  <c r="B1025" i="8"/>
  <c r="A1025" i="8"/>
  <c r="AA1024" i="8"/>
  <c r="W1024" i="8"/>
  <c r="U1024" i="8"/>
  <c r="P1024" i="8"/>
  <c r="M1024" i="8"/>
  <c r="J1024" i="8"/>
  <c r="H1024" i="8"/>
  <c r="B1024" i="8"/>
  <c r="A1024" i="8"/>
  <c r="AA1023" i="8"/>
  <c r="W1023" i="8"/>
  <c r="U1023" i="8"/>
  <c r="P1023" i="8"/>
  <c r="M1023" i="8"/>
  <c r="J1023" i="8"/>
  <c r="H1023" i="8"/>
  <c r="B1023" i="8"/>
  <c r="A1023" i="8"/>
  <c r="AA1022" i="8"/>
  <c r="W1022" i="8"/>
  <c r="U1022" i="8"/>
  <c r="P1022" i="8"/>
  <c r="M1022" i="8"/>
  <c r="J1022" i="8"/>
  <c r="H1022" i="8"/>
  <c r="B1022" i="8"/>
  <c r="A1022" i="8"/>
  <c r="AA1021" i="8"/>
  <c r="W1021" i="8"/>
  <c r="U1021" i="8"/>
  <c r="P1021" i="8"/>
  <c r="M1021" i="8"/>
  <c r="J1021" i="8"/>
  <c r="H1021" i="8"/>
  <c r="B1021" i="8"/>
  <c r="A1021" i="8"/>
  <c r="AA1020" i="8"/>
  <c r="W1020" i="8"/>
  <c r="U1020" i="8"/>
  <c r="R1020" i="8"/>
  <c r="Q1020" i="8"/>
  <c r="P1020" i="8"/>
  <c r="M1020" i="8"/>
  <c r="J1020" i="8"/>
  <c r="H1020" i="8"/>
  <c r="B1020" i="8"/>
  <c r="A1020" i="8"/>
  <c r="AA1019" i="8"/>
  <c r="W1019" i="8"/>
  <c r="U1019" i="8"/>
  <c r="P1019" i="8"/>
  <c r="M1019" i="8"/>
  <c r="J1019" i="8"/>
  <c r="H1019" i="8"/>
  <c r="B1019" i="8"/>
  <c r="A1019" i="8"/>
  <c r="AA1018" i="8"/>
  <c r="W1018" i="8"/>
  <c r="U1018" i="8"/>
  <c r="P1018" i="8"/>
  <c r="M1018" i="8"/>
  <c r="J1018" i="8"/>
  <c r="H1018" i="8"/>
  <c r="B1018" i="8"/>
  <c r="A1018" i="8"/>
  <c r="AA1017" i="8"/>
  <c r="W1017" i="8"/>
  <c r="U1017" i="8"/>
  <c r="P1017" i="8"/>
  <c r="M1017" i="8"/>
  <c r="J1017" i="8"/>
  <c r="H1017" i="8"/>
  <c r="B1017" i="8"/>
  <c r="A1017" i="8"/>
  <c r="AA1016" i="8"/>
  <c r="W1016" i="8"/>
  <c r="U1016" i="8"/>
  <c r="P1016" i="8"/>
  <c r="M1016" i="8"/>
  <c r="J1016" i="8"/>
  <c r="H1016" i="8"/>
  <c r="B1016" i="8"/>
  <c r="A1016" i="8"/>
  <c r="AA1015" i="8"/>
  <c r="W1015" i="8"/>
  <c r="U1015" i="8"/>
  <c r="P1015" i="8"/>
  <c r="M1015" i="8"/>
  <c r="J1015" i="8"/>
  <c r="H1015" i="8"/>
  <c r="B1015" i="8"/>
  <c r="A1015" i="8"/>
  <c r="AA1014" i="8"/>
  <c r="W1014" i="8"/>
  <c r="U1014" i="8"/>
  <c r="P1014" i="8"/>
  <c r="M1014" i="8"/>
  <c r="J1014" i="8"/>
  <c r="H1014" i="8"/>
  <c r="B1014" i="8"/>
  <c r="A1014" i="8"/>
  <c r="AA1013" i="8"/>
  <c r="W1013" i="8"/>
  <c r="U1013" i="8"/>
  <c r="P1013" i="8"/>
  <c r="M1013" i="8"/>
  <c r="J1013" i="8"/>
  <c r="H1013" i="8"/>
  <c r="B1013" i="8"/>
  <c r="A1013" i="8"/>
  <c r="AA1012" i="8"/>
  <c r="W1012" i="8"/>
  <c r="U1012" i="8"/>
  <c r="P1012" i="8"/>
  <c r="M1012" i="8"/>
  <c r="J1012" i="8"/>
  <c r="H1012" i="8"/>
  <c r="B1012" i="8"/>
  <c r="A1012" i="8"/>
  <c r="AA1011" i="8"/>
  <c r="W1011" i="8"/>
  <c r="U1011" i="8"/>
  <c r="P1011" i="8"/>
  <c r="M1011" i="8"/>
  <c r="J1011" i="8"/>
  <c r="H1011" i="8"/>
  <c r="B1011" i="8"/>
  <c r="A1011" i="8"/>
  <c r="AA1010" i="8"/>
  <c r="W1010" i="8"/>
  <c r="U1010" i="8"/>
  <c r="P1010" i="8"/>
  <c r="M1010" i="8"/>
  <c r="J1010" i="8"/>
  <c r="H1010" i="8"/>
  <c r="B1010" i="8"/>
  <c r="A1010" i="8"/>
  <c r="AA1009" i="8"/>
  <c r="W1009" i="8"/>
  <c r="U1009" i="8"/>
  <c r="R1009" i="8"/>
  <c r="Q1009" i="8"/>
  <c r="P1009" i="8"/>
  <c r="M1009" i="8"/>
  <c r="J1009" i="8"/>
  <c r="H1009" i="8"/>
  <c r="B1009" i="8"/>
  <c r="A1009" i="8"/>
  <c r="AA1008" i="8"/>
  <c r="W1008" i="8"/>
  <c r="U1008" i="8"/>
  <c r="R1008" i="8"/>
  <c r="Q1008" i="8"/>
  <c r="P1008" i="8"/>
  <c r="M1008" i="8"/>
  <c r="J1008" i="8"/>
  <c r="H1008" i="8"/>
  <c r="B1008" i="8"/>
  <c r="A1008" i="8"/>
  <c r="AA1007" i="8"/>
  <c r="W1007" i="8"/>
  <c r="U1007" i="8"/>
  <c r="P1007" i="8"/>
  <c r="M1007" i="8"/>
  <c r="J1007" i="8"/>
  <c r="H1007" i="8"/>
  <c r="B1007" i="8"/>
  <c r="A1007" i="8"/>
  <c r="AA1006" i="8"/>
  <c r="W1006" i="8"/>
  <c r="U1006" i="8"/>
  <c r="P1006" i="8"/>
  <c r="M1006" i="8"/>
  <c r="J1006" i="8"/>
  <c r="H1006" i="8"/>
  <c r="B1006" i="8"/>
  <c r="A1006" i="8"/>
  <c r="AA1005" i="8"/>
  <c r="W1005" i="8"/>
  <c r="U1005" i="8"/>
  <c r="P1005" i="8"/>
  <c r="M1005" i="8"/>
  <c r="J1005" i="8"/>
  <c r="H1005" i="8"/>
  <c r="B1005" i="8"/>
  <c r="A1005" i="8"/>
  <c r="AA1004" i="8"/>
  <c r="W1004" i="8"/>
  <c r="U1004" i="8"/>
  <c r="P1004" i="8"/>
  <c r="M1004" i="8"/>
  <c r="J1004" i="8"/>
  <c r="H1004" i="8"/>
  <c r="B1004" i="8"/>
  <c r="A1004" i="8"/>
  <c r="AA1003" i="8"/>
  <c r="W1003" i="8"/>
  <c r="U1003" i="8"/>
  <c r="P1003" i="8"/>
  <c r="M1003" i="8"/>
  <c r="J1003" i="8"/>
  <c r="H1003" i="8"/>
  <c r="B1003" i="8"/>
  <c r="A1003" i="8"/>
  <c r="AA1002" i="8"/>
  <c r="W1002" i="8"/>
  <c r="U1002" i="8"/>
  <c r="R1002" i="8"/>
  <c r="Q1002" i="8"/>
  <c r="P1002" i="8"/>
  <c r="M1002" i="8"/>
  <c r="J1002" i="8"/>
  <c r="H1002" i="8"/>
  <c r="B1002" i="8"/>
  <c r="A1002" i="8"/>
  <c r="AA1001" i="8"/>
  <c r="W1001" i="8"/>
  <c r="U1001" i="8"/>
  <c r="P1001" i="8"/>
  <c r="M1001" i="8"/>
  <c r="J1001" i="8"/>
  <c r="H1001" i="8"/>
  <c r="B1001" i="8"/>
  <c r="A1001" i="8"/>
  <c r="AA1000" i="8"/>
  <c r="W1000" i="8"/>
  <c r="U1000" i="8"/>
  <c r="P1000" i="8"/>
  <c r="M1000" i="8"/>
  <c r="J1000" i="8"/>
  <c r="H1000" i="8"/>
  <c r="B1000" i="8"/>
  <c r="A1000" i="8"/>
  <c r="AA999" i="8"/>
  <c r="W999" i="8"/>
  <c r="U999" i="8"/>
  <c r="R999" i="8"/>
  <c r="Q999" i="8"/>
  <c r="P999" i="8"/>
  <c r="M999" i="8"/>
  <c r="J999" i="8"/>
  <c r="H999" i="8"/>
  <c r="B999" i="8"/>
  <c r="A999" i="8"/>
  <c r="AA998" i="8"/>
  <c r="W998" i="8"/>
  <c r="U998" i="8"/>
  <c r="P998" i="8"/>
  <c r="M998" i="8"/>
  <c r="J998" i="8"/>
  <c r="H998" i="8"/>
  <c r="B998" i="8"/>
  <c r="A998" i="8"/>
  <c r="AA997" i="8"/>
  <c r="W997" i="8"/>
  <c r="U997" i="8"/>
  <c r="P997" i="8"/>
  <c r="M997" i="8"/>
  <c r="J997" i="8"/>
  <c r="H997" i="8"/>
  <c r="B997" i="8"/>
  <c r="A997" i="8"/>
  <c r="AA996" i="8"/>
  <c r="W996" i="8"/>
  <c r="U996" i="8"/>
  <c r="P996" i="8"/>
  <c r="M996" i="8"/>
  <c r="J996" i="8"/>
  <c r="H996" i="8"/>
  <c r="B996" i="8"/>
  <c r="A996" i="8"/>
  <c r="AA995" i="8"/>
  <c r="W995" i="8"/>
  <c r="U995" i="8"/>
  <c r="P995" i="8"/>
  <c r="M995" i="8"/>
  <c r="J995" i="8"/>
  <c r="H995" i="8"/>
  <c r="B995" i="8"/>
  <c r="A995" i="8"/>
  <c r="AA994" i="8"/>
  <c r="W994" i="8"/>
  <c r="U994" i="8"/>
  <c r="P994" i="8"/>
  <c r="M994" i="8"/>
  <c r="J994" i="8"/>
  <c r="H994" i="8"/>
  <c r="B994" i="8"/>
  <c r="A994" i="8"/>
  <c r="AA993" i="8"/>
  <c r="W993" i="8"/>
  <c r="U993" i="8"/>
  <c r="P993" i="8"/>
  <c r="M993" i="8"/>
  <c r="J993" i="8"/>
  <c r="H993" i="8"/>
  <c r="B993" i="8"/>
  <c r="A993" i="8"/>
  <c r="AA992" i="8"/>
  <c r="W992" i="8"/>
  <c r="U992" i="8"/>
  <c r="P992" i="8"/>
  <c r="M992" i="8"/>
  <c r="J992" i="8"/>
  <c r="H992" i="8"/>
  <c r="B992" i="8"/>
  <c r="A992" i="8"/>
  <c r="AA991" i="8"/>
  <c r="W991" i="8"/>
  <c r="U991" i="8"/>
  <c r="P991" i="8"/>
  <c r="M991" i="8"/>
  <c r="J991" i="8"/>
  <c r="H991" i="8"/>
  <c r="B991" i="8"/>
  <c r="A991" i="8"/>
  <c r="AA990" i="8"/>
  <c r="W990" i="8"/>
  <c r="U990" i="8"/>
  <c r="P990" i="8"/>
  <c r="M990" i="8"/>
  <c r="J990" i="8"/>
  <c r="H990" i="8"/>
  <c r="B990" i="8"/>
  <c r="A990" i="8"/>
  <c r="AA989" i="8"/>
  <c r="W989" i="8"/>
  <c r="U989" i="8"/>
  <c r="P989" i="8"/>
  <c r="M989" i="8"/>
  <c r="J989" i="8"/>
  <c r="H989" i="8"/>
  <c r="B989" i="8"/>
  <c r="A989" i="8"/>
  <c r="AA988" i="8"/>
  <c r="W988" i="8"/>
  <c r="U988" i="8"/>
  <c r="P988" i="8"/>
  <c r="M988" i="8"/>
  <c r="J988" i="8"/>
  <c r="H988" i="8"/>
  <c r="B988" i="8"/>
  <c r="A988" i="8"/>
  <c r="AA987" i="8"/>
  <c r="W987" i="8"/>
  <c r="U987" i="8"/>
  <c r="P987" i="8"/>
  <c r="M987" i="8"/>
  <c r="J987" i="8"/>
  <c r="H987" i="8"/>
  <c r="B987" i="8"/>
  <c r="A987" i="8"/>
  <c r="AA986" i="8"/>
  <c r="W986" i="8"/>
  <c r="U986" i="8"/>
  <c r="P986" i="8"/>
  <c r="M986" i="8"/>
  <c r="J986" i="8"/>
  <c r="H986" i="8"/>
  <c r="B986" i="8"/>
  <c r="A986" i="8"/>
  <c r="AA985" i="8"/>
  <c r="W985" i="8"/>
  <c r="U985" i="8"/>
  <c r="P985" i="8"/>
  <c r="M985" i="8"/>
  <c r="J985" i="8"/>
  <c r="H985" i="8"/>
  <c r="B985" i="8"/>
  <c r="A985" i="8"/>
  <c r="AA984" i="8"/>
  <c r="W984" i="8"/>
  <c r="U984" i="8"/>
  <c r="P984" i="8"/>
  <c r="M984" i="8"/>
  <c r="J984" i="8"/>
  <c r="H984" i="8"/>
  <c r="B984" i="8"/>
  <c r="A984" i="8"/>
  <c r="AA983" i="8"/>
  <c r="W983" i="8"/>
  <c r="U983" i="8"/>
  <c r="P983" i="8"/>
  <c r="M983" i="8"/>
  <c r="J983" i="8"/>
  <c r="H983" i="8"/>
  <c r="B983" i="8"/>
  <c r="A983" i="8"/>
  <c r="AA982" i="8"/>
  <c r="W982" i="8"/>
  <c r="U982" i="8"/>
  <c r="R982" i="8"/>
  <c r="Q982" i="8"/>
  <c r="P982" i="8"/>
  <c r="M982" i="8"/>
  <c r="J982" i="8"/>
  <c r="H982" i="8"/>
  <c r="B982" i="8"/>
  <c r="A982" i="8"/>
  <c r="AA981" i="8"/>
  <c r="W981" i="8"/>
  <c r="U981" i="8"/>
  <c r="P981" i="8"/>
  <c r="M981" i="8"/>
  <c r="J981" i="8"/>
  <c r="H981" i="8"/>
  <c r="B981" i="8"/>
  <c r="A981" i="8"/>
  <c r="AA980" i="8"/>
  <c r="W980" i="8"/>
  <c r="U980" i="8"/>
  <c r="P980" i="8"/>
  <c r="M980" i="8"/>
  <c r="J980" i="8"/>
  <c r="H980" i="8"/>
  <c r="B980" i="8"/>
  <c r="A980" i="8"/>
  <c r="AA979" i="8"/>
  <c r="W979" i="8"/>
  <c r="U979" i="8"/>
  <c r="P979" i="8"/>
  <c r="M979" i="8"/>
  <c r="J979" i="8"/>
  <c r="H979" i="8"/>
  <c r="B979" i="8"/>
  <c r="A979" i="8"/>
  <c r="AA978" i="8"/>
  <c r="W978" i="8"/>
  <c r="U978" i="8"/>
  <c r="P978" i="8"/>
  <c r="M978" i="8"/>
  <c r="J978" i="8"/>
  <c r="H978" i="8"/>
  <c r="B978" i="8"/>
  <c r="A978" i="8"/>
  <c r="AA977" i="8"/>
  <c r="W977" i="8"/>
  <c r="U977" i="8"/>
  <c r="P977" i="8"/>
  <c r="M977" i="8"/>
  <c r="J977" i="8"/>
  <c r="H977" i="8"/>
  <c r="B977" i="8"/>
  <c r="A977" i="8"/>
  <c r="AA976" i="8"/>
  <c r="W976" i="8"/>
  <c r="U976" i="8"/>
  <c r="P976" i="8"/>
  <c r="M976" i="8"/>
  <c r="J976" i="8"/>
  <c r="H976" i="8"/>
  <c r="B976" i="8"/>
  <c r="A976" i="8"/>
  <c r="AA975" i="8"/>
  <c r="W975" i="8"/>
  <c r="U975" i="8"/>
  <c r="P975" i="8"/>
  <c r="M975" i="8"/>
  <c r="J975" i="8"/>
  <c r="H975" i="8"/>
  <c r="B975" i="8"/>
  <c r="A975" i="8"/>
  <c r="AA974" i="8"/>
  <c r="W974" i="8"/>
  <c r="U974" i="8"/>
  <c r="P974" i="8"/>
  <c r="M974" i="8"/>
  <c r="J974" i="8"/>
  <c r="H974" i="8"/>
  <c r="B974" i="8"/>
  <c r="A974" i="8"/>
  <c r="AA973" i="8"/>
  <c r="W973" i="8"/>
  <c r="U973" i="8"/>
  <c r="P973" i="8"/>
  <c r="M973" i="8"/>
  <c r="J973" i="8"/>
  <c r="H973" i="8"/>
  <c r="B973" i="8"/>
  <c r="A973" i="8"/>
  <c r="AA972" i="8"/>
  <c r="W972" i="8"/>
  <c r="U972" i="8"/>
  <c r="P972" i="8"/>
  <c r="M972" i="8"/>
  <c r="J972" i="8"/>
  <c r="H972" i="8"/>
  <c r="B972" i="8"/>
  <c r="A972" i="8"/>
  <c r="AA971" i="8"/>
  <c r="W971" i="8"/>
  <c r="U971" i="8"/>
  <c r="P971" i="8"/>
  <c r="M971" i="8"/>
  <c r="J971" i="8"/>
  <c r="H971" i="8"/>
  <c r="B971" i="8"/>
  <c r="A971" i="8"/>
  <c r="AA970" i="8"/>
  <c r="W970" i="8"/>
  <c r="U970" i="8"/>
  <c r="P970" i="8"/>
  <c r="M970" i="8"/>
  <c r="J970" i="8"/>
  <c r="H970" i="8"/>
  <c r="B970" i="8"/>
  <c r="A970" i="8"/>
  <c r="AA969" i="8"/>
  <c r="W969" i="8"/>
  <c r="U969" i="8"/>
  <c r="P969" i="8"/>
  <c r="M969" i="8"/>
  <c r="J969" i="8"/>
  <c r="H969" i="8"/>
  <c r="B969" i="8"/>
  <c r="A969" i="8"/>
  <c r="AA968" i="8"/>
  <c r="W968" i="8"/>
  <c r="U968" i="8"/>
  <c r="P968" i="8"/>
  <c r="M968" i="8"/>
  <c r="J968" i="8"/>
  <c r="H968" i="8"/>
  <c r="B968" i="8"/>
  <c r="A968" i="8"/>
  <c r="AA967" i="8"/>
  <c r="W967" i="8"/>
  <c r="U967" i="8"/>
  <c r="P967" i="8"/>
  <c r="M967" i="8"/>
  <c r="J967" i="8"/>
  <c r="H967" i="8"/>
  <c r="B967" i="8"/>
  <c r="A967" i="8"/>
  <c r="AA966" i="8"/>
  <c r="W966" i="8"/>
  <c r="U966" i="8"/>
  <c r="P966" i="8"/>
  <c r="M966" i="8"/>
  <c r="J966" i="8"/>
  <c r="H966" i="8"/>
  <c r="B966" i="8"/>
  <c r="A966" i="8"/>
  <c r="AA965" i="8"/>
  <c r="W965" i="8"/>
  <c r="U965" i="8"/>
  <c r="P965" i="8"/>
  <c r="M965" i="8"/>
  <c r="J965" i="8"/>
  <c r="H965" i="8"/>
  <c r="B965" i="8"/>
  <c r="A965" i="8"/>
  <c r="AA964" i="8"/>
  <c r="W964" i="8"/>
  <c r="U964" i="8"/>
  <c r="R964" i="8"/>
  <c r="Q964" i="8"/>
  <c r="P964" i="8"/>
  <c r="M964" i="8"/>
  <c r="J964" i="8"/>
  <c r="H964" i="8"/>
  <c r="B964" i="8"/>
  <c r="A964" i="8"/>
  <c r="AA963" i="8"/>
  <c r="W963" i="8"/>
  <c r="U963" i="8"/>
  <c r="P963" i="8"/>
  <c r="M963" i="8"/>
  <c r="J963" i="8"/>
  <c r="H963" i="8"/>
  <c r="B963" i="8"/>
  <c r="A963" i="8"/>
  <c r="AA962" i="8"/>
  <c r="W962" i="8"/>
  <c r="U962" i="8"/>
  <c r="P962" i="8"/>
  <c r="M962" i="8"/>
  <c r="J962" i="8"/>
  <c r="H962" i="8"/>
  <c r="B962" i="8"/>
  <c r="A962" i="8"/>
  <c r="AA961" i="8"/>
  <c r="W961" i="8"/>
  <c r="U961" i="8"/>
  <c r="P961" i="8"/>
  <c r="M961" i="8"/>
  <c r="J961" i="8"/>
  <c r="H961" i="8"/>
  <c r="B961" i="8"/>
  <c r="A961" i="8"/>
  <c r="AA960" i="8"/>
  <c r="W960" i="8"/>
  <c r="U960" i="8"/>
  <c r="P960" i="8"/>
  <c r="M960" i="8"/>
  <c r="J960" i="8"/>
  <c r="H960" i="8"/>
  <c r="B960" i="8"/>
  <c r="A960" i="8"/>
  <c r="AA959" i="8"/>
  <c r="W959" i="8"/>
  <c r="U959" i="8"/>
  <c r="P959" i="8"/>
  <c r="M959" i="8"/>
  <c r="J959" i="8"/>
  <c r="H959" i="8"/>
  <c r="B959" i="8"/>
  <c r="A959" i="8"/>
  <c r="AA958" i="8"/>
  <c r="W958" i="8"/>
  <c r="U958" i="8"/>
  <c r="P958" i="8"/>
  <c r="M958" i="8"/>
  <c r="J958" i="8"/>
  <c r="H958" i="8"/>
  <c r="B958" i="8"/>
  <c r="A958" i="8"/>
  <c r="AA957" i="8"/>
  <c r="W957" i="8"/>
  <c r="U957" i="8"/>
  <c r="P957" i="8"/>
  <c r="M957" i="8"/>
  <c r="J957" i="8"/>
  <c r="H957" i="8"/>
  <c r="B957" i="8"/>
  <c r="A957" i="8"/>
  <c r="AA956" i="8"/>
  <c r="W956" i="8"/>
  <c r="U956" i="8"/>
  <c r="P956" i="8"/>
  <c r="M956" i="8"/>
  <c r="J956" i="8"/>
  <c r="H956" i="8"/>
  <c r="B956" i="8"/>
  <c r="A956" i="8"/>
  <c r="AA955" i="8"/>
  <c r="W955" i="8"/>
  <c r="U955" i="8"/>
  <c r="P955" i="8"/>
  <c r="M955" i="8"/>
  <c r="J955" i="8"/>
  <c r="H955" i="8"/>
  <c r="B955" i="8"/>
  <c r="A955" i="8"/>
  <c r="AA954" i="8"/>
  <c r="W954" i="8"/>
  <c r="U954" i="8"/>
  <c r="P954" i="8"/>
  <c r="M954" i="8"/>
  <c r="J954" i="8"/>
  <c r="H954" i="8"/>
  <c r="B954" i="8"/>
  <c r="A954" i="8"/>
  <c r="AA953" i="8"/>
  <c r="W953" i="8"/>
  <c r="U953" i="8"/>
  <c r="R953" i="8"/>
  <c r="Q953" i="8"/>
  <c r="P953" i="8"/>
  <c r="M953" i="8"/>
  <c r="J953" i="8"/>
  <c r="H953" i="8"/>
  <c r="B953" i="8"/>
  <c r="A953" i="8"/>
  <c r="AA952" i="8"/>
  <c r="W952" i="8"/>
  <c r="U952" i="8"/>
  <c r="P952" i="8"/>
  <c r="M952" i="8"/>
  <c r="J952" i="8"/>
  <c r="H952" i="8"/>
  <c r="B952" i="8"/>
  <c r="A952" i="8"/>
  <c r="AA951" i="8"/>
  <c r="W951" i="8"/>
  <c r="U951" i="8"/>
  <c r="P951" i="8"/>
  <c r="M951" i="8"/>
  <c r="J951" i="8"/>
  <c r="H951" i="8"/>
  <c r="B951" i="8"/>
  <c r="A951" i="8"/>
  <c r="AA950" i="8"/>
  <c r="W950" i="8"/>
  <c r="U950" i="8"/>
  <c r="P950" i="8"/>
  <c r="M950" i="8"/>
  <c r="J950" i="8"/>
  <c r="H950" i="8"/>
  <c r="B950" i="8"/>
  <c r="A950" i="8"/>
  <c r="AA949" i="8"/>
  <c r="W949" i="8"/>
  <c r="U949" i="8"/>
  <c r="P949" i="8"/>
  <c r="M949" i="8"/>
  <c r="J949" i="8"/>
  <c r="H949" i="8"/>
  <c r="B949" i="8"/>
  <c r="A949" i="8"/>
  <c r="AA948" i="8"/>
  <c r="W948" i="8"/>
  <c r="U948" i="8"/>
  <c r="P948" i="8"/>
  <c r="M948" i="8"/>
  <c r="J948" i="8"/>
  <c r="H948" i="8"/>
  <c r="B948" i="8"/>
  <c r="A948" i="8"/>
  <c r="AA947" i="8"/>
  <c r="W947" i="8"/>
  <c r="U947" i="8"/>
  <c r="P947" i="8"/>
  <c r="M947" i="8"/>
  <c r="J947" i="8"/>
  <c r="H947" i="8"/>
  <c r="B947" i="8"/>
  <c r="A947" i="8"/>
  <c r="AA946" i="8"/>
  <c r="W946" i="8"/>
  <c r="U946" i="8"/>
  <c r="P946" i="8"/>
  <c r="M946" i="8"/>
  <c r="J946" i="8"/>
  <c r="H946" i="8"/>
  <c r="B946" i="8"/>
  <c r="A946" i="8"/>
  <c r="AA945" i="8"/>
  <c r="W945" i="8"/>
  <c r="U945" i="8"/>
  <c r="P945" i="8"/>
  <c r="M945" i="8"/>
  <c r="J945" i="8"/>
  <c r="H945" i="8"/>
  <c r="B945" i="8"/>
  <c r="A945" i="8"/>
  <c r="AA944" i="8"/>
  <c r="W944" i="8"/>
  <c r="U944" i="8"/>
  <c r="P944" i="8"/>
  <c r="M944" i="8"/>
  <c r="J944" i="8"/>
  <c r="H944" i="8"/>
  <c r="B944" i="8"/>
  <c r="A944" i="8"/>
  <c r="AA943" i="8"/>
  <c r="W943" i="8"/>
  <c r="U943" i="8"/>
  <c r="P943" i="8"/>
  <c r="M943" i="8"/>
  <c r="J943" i="8"/>
  <c r="H943" i="8"/>
  <c r="B943" i="8"/>
  <c r="A943" i="8"/>
  <c r="AA942" i="8"/>
  <c r="W942" i="8"/>
  <c r="U942" i="8"/>
  <c r="P942" i="8"/>
  <c r="M942" i="8"/>
  <c r="J942" i="8"/>
  <c r="H942" i="8"/>
  <c r="B942" i="8"/>
  <c r="A942" i="8"/>
  <c r="AA941" i="8"/>
  <c r="W941" i="8"/>
  <c r="U941" i="8"/>
  <c r="P941" i="8"/>
  <c r="M941" i="8"/>
  <c r="J941" i="8"/>
  <c r="H941" i="8"/>
  <c r="B941" i="8"/>
  <c r="A941" i="8"/>
  <c r="AA940" i="8"/>
  <c r="W940" i="8"/>
  <c r="U940" i="8"/>
  <c r="R940" i="8"/>
  <c r="Q940" i="8"/>
  <c r="P940" i="8"/>
  <c r="M940" i="8"/>
  <c r="J940" i="8"/>
  <c r="H940" i="8"/>
  <c r="B940" i="8"/>
  <c r="A940" i="8"/>
  <c r="AA939" i="8"/>
  <c r="W939" i="8"/>
  <c r="U939" i="8"/>
  <c r="P939" i="8"/>
  <c r="M939" i="8"/>
  <c r="J939" i="8"/>
  <c r="H939" i="8"/>
  <c r="B939" i="8"/>
  <c r="A939" i="8"/>
  <c r="AA938" i="8"/>
  <c r="W938" i="8"/>
  <c r="U938" i="8"/>
  <c r="P938" i="8"/>
  <c r="M938" i="8"/>
  <c r="J938" i="8"/>
  <c r="H938" i="8"/>
  <c r="B938" i="8"/>
  <c r="A938" i="8"/>
  <c r="AA937" i="8"/>
  <c r="W937" i="8"/>
  <c r="U937" i="8"/>
  <c r="P937" i="8"/>
  <c r="M937" i="8"/>
  <c r="J937" i="8"/>
  <c r="H937" i="8"/>
  <c r="B937" i="8"/>
  <c r="A937" i="8"/>
  <c r="AA936" i="8"/>
  <c r="W936" i="8"/>
  <c r="U936" i="8"/>
  <c r="P936" i="8"/>
  <c r="M936" i="8"/>
  <c r="J936" i="8"/>
  <c r="H936" i="8"/>
  <c r="B936" i="8"/>
  <c r="A936" i="8"/>
  <c r="AA935" i="8"/>
  <c r="W935" i="8"/>
  <c r="U935" i="8"/>
  <c r="P935" i="8"/>
  <c r="M935" i="8"/>
  <c r="J935" i="8"/>
  <c r="H935" i="8"/>
  <c r="B935" i="8"/>
  <c r="A935" i="8"/>
  <c r="AA934" i="8"/>
  <c r="W934" i="8"/>
  <c r="U934" i="8"/>
  <c r="P934" i="8"/>
  <c r="M934" i="8"/>
  <c r="J934" i="8"/>
  <c r="H934" i="8"/>
  <c r="B934" i="8"/>
  <c r="A934" i="8"/>
  <c r="AA933" i="8"/>
  <c r="W933" i="8"/>
  <c r="U933" i="8"/>
  <c r="P933" i="8"/>
  <c r="M933" i="8"/>
  <c r="J933" i="8"/>
  <c r="H933" i="8"/>
  <c r="B933" i="8"/>
  <c r="A933" i="8"/>
  <c r="AA932" i="8"/>
  <c r="W932" i="8"/>
  <c r="U932" i="8"/>
  <c r="P932" i="8"/>
  <c r="M932" i="8"/>
  <c r="J932" i="8"/>
  <c r="H932" i="8"/>
  <c r="B932" i="8"/>
  <c r="A932" i="8"/>
  <c r="AA931" i="8"/>
  <c r="W931" i="8"/>
  <c r="U931" i="8"/>
  <c r="P931" i="8"/>
  <c r="M931" i="8"/>
  <c r="J931" i="8"/>
  <c r="H931" i="8"/>
  <c r="B931" i="8"/>
  <c r="A931" i="8"/>
  <c r="AA930" i="8"/>
  <c r="W930" i="8"/>
  <c r="U930" i="8"/>
  <c r="P930" i="8"/>
  <c r="M930" i="8"/>
  <c r="J930" i="8"/>
  <c r="H930" i="8"/>
  <c r="B930" i="8"/>
  <c r="A930" i="8"/>
  <c r="AA929" i="8"/>
  <c r="W929" i="8"/>
  <c r="U929" i="8"/>
  <c r="R929" i="8"/>
  <c r="Q929" i="8"/>
  <c r="P929" i="8"/>
  <c r="M929" i="8"/>
  <c r="J929" i="8"/>
  <c r="H929" i="8"/>
  <c r="B929" i="8"/>
  <c r="A929" i="8"/>
  <c r="AA928" i="8"/>
  <c r="W928" i="8"/>
  <c r="U928" i="8"/>
  <c r="R928" i="8"/>
  <c r="Q928" i="8"/>
  <c r="P928" i="8"/>
  <c r="M928" i="8"/>
  <c r="J928" i="8"/>
  <c r="H928" i="8"/>
  <c r="B928" i="8"/>
  <c r="A928" i="8"/>
  <c r="AA927" i="8"/>
  <c r="W927" i="8"/>
  <c r="U927" i="8"/>
  <c r="P927" i="8"/>
  <c r="M927" i="8"/>
  <c r="J927" i="8"/>
  <c r="H927" i="8"/>
  <c r="B927" i="8"/>
  <c r="A927" i="8"/>
  <c r="AA926" i="8"/>
  <c r="W926" i="8"/>
  <c r="U926" i="8"/>
  <c r="P926" i="8"/>
  <c r="M926" i="8"/>
  <c r="J926" i="8"/>
  <c r="H926" i="8"/>
  <c r="B926" i="8"/>
  <c r="A926" i="8"/>
  <c r="AA925" i="8"/>
  <c r="W925" i="8"/>
  <c r="U925" i="8"/>
  <c r="P925" i="8"/>
  <c r="M925" i="8"/>
  <c r="J925" i="8"/>
  <c r="H925" i="8"/>
  <c r="B925" i="8"/>
  <c r="A925" i="8"/>
  <c r="AA924" i="8"/>
  <c r="W924" i="8"/>
  <c r="U924" i="8"/>
  <c r="P924" i="8"/>
  <c r="M924" i="8"/>
  <c r="J924" i="8"/>
  <c r="H924" i="8"/>
  <c r="B924" i="8"/>
  <c r="A924" i="8"/>
  <c r="AA923" i="8"/>
  <c r="W923" i="8"/>
  <c r="U923" i="8"/>
  <c r="P923" i="8"/>
  <c r="M923" i="8"/>
  <c r="J923" i="8"/>
  <c r="H923" i="8"/>
  <c r="B923" i="8"/>
  <c r="A923" i="8"/>
  <c r="AA922" i="8"/>
  <c r="W922" i="8"/>
  <c r="U922" i="8"/>
  <c r="P922" i="8"/>
  <c r="M922" i="8"/>
  <c r="J922" i="8"/>
  <c r="H922" i="8"/>
  <c r="B922" i="8"/>
  <c r="A922" i="8"/>
  <c r="AA921" i="8"/>
  <c r="W921" i="8"/>
  <c r="U921" i="8"/>
  <c r="P921" i="8"/>
  <c r="M921" i="8"/>
  <c r="J921" i="8"/>
  <c r="H921" i="8"/>
  <c r="B921" i="8"/>
  <c r="A921" i="8"/>
  <c r="AA920" i="8"/>
  <c r="W920" i="8"/>
  <c r="U920" i="8"/>
  <c r="P920" i="8"/>
  <c r="M920" i="8"/>
  <c r="J920" i="8"/>
  <c r="H920" i="8"/>
  <c r="B920" i="8"/>
  <c r="A920" i="8"/>
  <c r="AA919" i="8"/>
  <c r="W919" i="8"/>
  <c r="U919" i="8"/>
  <c r="P919" i="8"/>
  <c r="M919" i="8"/>
  <c r="J919" i="8"/>
  <c r="H919" i="8"/>
  <c r="B919" i="8"/>
  <c r="A919" i="8"/>
  <c r="AA918" i="8"/>
  <c r="W918" i="8"/>
  <c r="U918" i="8"/>
  <c r="P918" i="8"/>
  <c r="M918" i="8"/>
  <c r="J918" i="8"/>
  <c r="H918" i="8"/>
  <c r="B918" i="8"/>
  <c r="A918" i="8"/>
  <c r="AA917" i="8"/>
  <c r="W917" i="8"/>
  <c r="U917" i="8"/>
  <c r="P917" i="8"/>
  <c r="M917" i="8"/>
  <c r="J917" i="8"/>
  <c r="H917" i="8"/>
  <c r="B917" i="8"/>
  <c r="A917" i="8"/>
  <c r="AA916" i="8"/>
  <c r="W916" i="8"/>
  <c r="U916" i="8"/>
  <c r="P916" i="8"/>
  <c r="M916" i="8"/>
  <c r="J916" i="8"/>
  <c r="H916" i="8"/>
  <c r="B916" i="8"/>
  <c r="A916" i="8"/>
  <c r="AA915" i="8"/>
  <c r="W915" i="8"/>
  <c r="U915" i="8"/>
  <c r="P915" i="8"/>
  <c r="M915" i="8"/>
  <c r="J915" i="8"/>
  <c r="H915" i="8"/>
  <c r="B915" i="8"/>
  <c r="A915" i="8"/>
  <c r="AA914" i="8"/>
  <c r="W914" i="8"/>
  <c r="U914" i="8"/>
  <c r="P914" i="8"/>
  <c r="M914" i="8"/>
  <c r="J914" i="8"/>
  <c r="H914" i="8"/>
  <c r="B914" i="8"/>
  <c r="A914" i="8"/>
  <c r="AA913" i="8"/>
  <c r="W913" i="8"/>
  <c r="U913" i="8"/>
  <c r="P913" i="8"/>
  <c r="M913" i="8"/>
  <c r="J913" i="8"/>
  <c r="H913" i="8"/>
  <c r="B913" i="8"/>
  <c r="A913" i="8"/>
  <c r="AA912" i="8"/>
  <c r="W912" i="8"/>
  <c r="U912" i="8"/>
  <c r="R912" i="8"/>
  <c r="Q912" i="8"/>
  <c r="P912" i="8"/>
  <c r="M912" i="8"/>
  <c r="J912" i="8"/>
  <c r="H912" i="8"/>
  <c r="B912" i="8"/>
  <c r="A912" i="8"/>
  <c r="AA911" i="8"/>
  <c r="W911" i="8"/>
  <c r="U911" i="8"/>
  <c r="P911" i="8"/>
  <c r="M911" i="8"/>
  <c r="J911" i="8"/>
  <c r="H911" i="8"/>
  <c r="B911" i="8"/>
  <c r="A911" i="8"/>
  <c r="AA910" i="8"/>
  <c r="W910" i="8"/>
  <c r="U910" i="8"/>
  <c r="P910" i="8"/>
  <c r="M910" i="8"/>
  <c r="J910" i="8"/>
  <c r="H910" i="8"/>
  <c r="B910" i="8"/>
  <c r="A910" i="8"/>
  <c r="AA909" i="8"/>
  <c r="W909" i="8"/>
  <c r="U909" i="8"/>
  <c r="P909" i="8"/>
  <c r="M909" i="8"/>
  <c r="J909" i="8"/>
  <c r="H909" i="8"/>
  <c r="B909" i="8"/>
  <c r="A909" i="8"/>
  <c r="AA908" i="8"/>
  <c r="W908" i="8"/>
  <c r="U908" i="8"/>
  <c r="P908" i="8"/>
  <c r="M908" i="8"/>
  <c r="J908" i="8"/>
  <c r="H908" i="8"/>
  <c r="B908" i="8"/>
  <c r="A908" i="8"/>
  <c r="AA907" i="8"/>
  <c r="W907" i="8"/>
  <c r="U907" i="8"/>
  <c r="P907" i="8"/>
  <c r="M907" i="8"/>
  <c r="J907" i="8"/>
  <c r="H907" i="8"/>
  <c r="B907" i="8"/>
  <c r="A907" i="8"/>
  <c r="AA906" i="8"/>
  <c r="W906" i="8"/>
  <c r="U906" i="8"/>
  <c r="P906" i="8"/>
  <c r="M906" i="8"/>
  <c r="J906" i="8"/>
  <c r="H906" i="8"/>
  <c r="B906" i="8"/>
  <c r="A906" i="8"/>
  <c r="AA905" i="8"/>
  <c r="W905" i="8"/>
  <c r="U905" i="8"/>
  <c r="P905" i="8"/>
  <c r="M905" i="8"/>
  <c r="J905" i="8"/>
  <c r="H905" i="8"/>
  <c r="B905" i="8"/>
  <c r="A905" i="8"/>
  <c r="AA904" i="8"/>
  <c r="W904" i="8"/>
  <c r="U904" i="8"/>
  <c r="P904" i="8"/>
  <c r="M904" i="8"/>
  <c r="J904" i="8"/>
  <c r="H904" i="8"/>
  <c r="B904" i="8"/>
  <c r="A904" i="8"/>
  <c r="AA903" i="8"/>
  <c r="W903" i="8"/>
  <c r="U903" i="8"/>
  <c r="P903" i="8"/>
  <c r="M903" i="8"/>
  <c r="J903" i="8"/>
  <c r="H903" i="8"/>
  <c r="B903" i="8"/>
  <c r="A903" i="8"/>
  <c r="AA902" i="8"/>
  <c r="W902" i="8"/>
  <c r="U902" i="8"/>
  <c r="P902" i="8"/>
  <c r="M902" i="8"/>
  <c r="J902" i="8"/>
  <c r="H902" i="8"/>
  <c r="B902" i="8"/>
  <c r="A902" i="8"/>
  <c r="AA901" i="8"/>
  <c r="W901" i="8"/>
  <c r="U901" i="8"/>
  <c r="P901" i="8"/>
  <c r="M901" i="8"/>
  <c r="J901" i="8"/>
  <c r="H901" i="8"/>
  <c r="B901" i="8"/>
  <c r="A901" i="8"/>
  <c r="AA900" i="8"/>
  <c r="W900" i="8"/>
  <c r="U900" i="8"/>
  <c r="P900" i="8"/>
  <c r="M900" i="8"/>
  <c r="J900" i="8"/>
  <c r="H900" i="8"/>
  <c r="B900" i="8"/>
  <c r="A900" i="8"/>
  <c r="AA899" i="8"/>
  <c r="W899" i="8"/>
  <c r="U899" i="8"/>
  <c r="P899" i="8"/>
  <c r="M899" i="8"/>
  <c r="J899" i="8"/>
  <c r="H899" i="8"/>
  <c r="B899" i="8"/>
  <c r="A899" i="8"/>
  <c r="AA898" i="8"/>
  <c r="W898" i="8"/>
  <c r="U898" i="8"/>
  <c r="P898" i="8"/>
  <c r="M898" i="8"/>
  <c r="J898" i="8"/>
  <c r="H898" i="8"/>
  <c r="B898" i="8"/>
  <c r="A898" i="8"/>
  <c r="AA897" i="8"/>
  <c r="W897" i="8"/>
  <c r="U897" i="8"/>
  <c r="R897" i="8"/>
  <c r="Q897" i="8"/>
  <c r="P897" i="8"/>
  <c r="M897" i="8"/>
  <c r="J897" i="8"/>
  <c r="H897" i="8"/>
  <c r="B897" i="8"/>
  <c r="A897" i="8"/>
  <c r="AA896" i="8"/>
  <c r="W896" i="8"/>
  <c r="U896" i="8"/>
  <c r="P896" i="8"/>
  <c r="M896" i="8"/>
  <c r="J896" i="8"/>
  <c r="H896" i="8"/>
  <c r="B896" i="8"/>
  <c r="A896" i="8"/>
  <c r="AA895" i="8"/>
  <c r="W895" i="8"/>
  <c r="U895" i="8"/>
  <c r="P895" i="8"/>
  <c r="M895" i="8"/>
  <c r="J895" i="8"/>
  <c r="H895" i="8"/>
  <c r="B895" i="8"/>
  <c r="A895" i="8"/>
  <c r="AA894" i="8"/>
  <c r="W894" i="8"/>
  <c r="U894" i="8"/>
  <c r="P894" i="8"/>
  <c r="M894" i="8"/>
  <c r="J894" i="8"/>
  <c r="H894" i="8"/>
  <c r="B894" i="8"/>
  <c r="A894" i="8"/>
  <c r="AA893" i="8"/>
  <c r="W893" i="8"/>
  <c r="U893" i="8"/>
  <c r="P893" i="8"/>
  <c r="M893" i="8"/>
  <c r="J893" i="8"/>
  <c r="H893" i="8"/>
  <c r="B893" i="8"/>
  <c r="A893" i="8"/>
  <c r="AA892" i="8"/>
  <c r="W892" i="8"/>
  <c r="U892" i="8"/>
  <c r="R892" i="8"/>
  <c r="Q892" i="8"/>
  <c r="P892" i="8"/>
  <c r="M892" i="8"/>
  <c r="J892" i="8"/>
  <c r="H892" i="8"/>
  <c r="B892" i="8"/>
  <c r="A892" i="8"/>
  <c r="AA891" i="8"/>
  <c r="W891" i="8"/>
  <c r="U891" i="8"/>
  <c r="P891" i="8"/>
  <c r="M891" i="8"/>
  <c r="J891" i="8"/>
  <c r="H891" i="8"/>
  <c r="B891" i="8"/>
  <c r="A891" i="8"/>
  <c r="AA890" i="8"/>
  <c r="W890" i="8"/>
  <c r="U890" i="8"/>
  <c r="P890" i="8"/>
  <c r="M890" i="8"/>
  <c r="J890" i="8"/>
  <c r="H890" i="8"/>
  <c r="B890" i="8"/>
  <c r="A890" i="8"/>
  <c r="AA889" i="8"/>
  <c r="W889" i="8"/>
  <c r="U889" i="8"/>
  <c r="P889" i="8"/>
  <c r="M889" i="8"/>
  <c r="J889" i="8"/>
  <c r="H889" i="8"/>
  <c r="B889" i="8"/>
  <c r="A889" i="8"/>
  <c r="AA888" i="8"/>
  <c r="W888" i="8"/>
  <c r="U888" i="8"/>
  <c r="P888" i="8"/>
  <c r="M888" i="8"/>
  <c r="J888" i="8"/>
  <c r="H888" i="8"/>
  <c r="B888" i="8"/>
  <c r="A888" i="8"/>
  <c r="AA887" i="8"/>
  <c r="W887" i="8"/>
  <c r="U887" i="8"/>
  <c r="P887" i="8"/>
  <c r="M887" i="8"/>
  <c r="J887" i="8"/>
  <c r="H887" i="8"/>
  <c r="B887" i="8"/>
  <c r="A887" i="8"/>
  <c r="AA886" i="8"/>
  <c r="W886" i="8"/>
  <c r="U886" i="8"/>
  <c r="P886" i="8"/>
  <c r="M886" i="8"/>
  <c r="J886" i="8"/>
  <c r="H886" i="8"/>
  <c r="B886" i="8"/>
  <c r="A886" i="8"/>
  <c r="AA885" i="8"/>
  <c r="W885" i="8"/>
  <c r="U885" i="8"/>
  <c r="P885" i="8"/>
  <c r="M885" i="8"/>
  <c r="J885" i="8"/>
  <c r="H885" i="8"/>
  <c r="B885" i="8"/>
  <c r="A885" i="8"/>
  <c r="AA884" i="8"/>
  <c r="W884" i="8"/>
  <c r="U884" i="8"/>
  <c r="R884" i="8"/>
  <c r="Q884" i="8"/>
  <c r="P884" i="8"/>
  <c r="M884" i="8"/>
  <c r="J884" i="8"/>
  <c r="H884" i="8"/>
  <c r="B884" i="8"/>
  <c r="A884" i="8"/>
  <c r="AA883" i="8"/>
  <c r="W883" i="8"/>
  <c r="U883" i="8"/>
  <c r="R883" i="8"/>
  <c r="Q883" i="8"/>
  <c r="P883" i="8"/>
  <c r="M883" i="8"/>
  <c r="J883" i="8"/>
  <c r="H883" i="8"/>
  <c r="B883" i="8"/>
  <c r="A883" i="8"/>
  <c r="AA882" i="8"/>
  <c r="W882" i="8"/>
  <c r="U882" i="8"/>
  <c r="R882" i="8"/>
  <c r="Q882" i="8"/>
  <c r="P882" i="8"/>
  <c r="M882" i="8"/>
  <c r="J882" i="8"/>
  <c r="H882" i="8"/>
  <c r="B882" i="8"/>
  <c r="A882" i="8"/>
  <c r="AA881" i="8"/>
  <c r="W881" i="8"/>
  <c r="U881" i="8"/>
  <c r="R881" i="8"/>
  <c r="Q881" i="8"/>
  <c r="P881" i="8"/>
  <c r="M881" i="8"/>
  <c r="J881" i="8"/>
  <c r="H881" i="8"/>
  <c r="B881" i="8"/>
  <c r="A881" i="8"/>
  <c r="AA880" i="8"/>
  <c r="W880" i="8"/>
  <c r="U880" i="8"/>
  <c r="P880" i="8"/>
  <c r="M880" i="8"/>
  <c r="J880" i="8"/>
  <c r="H880" i="8"/>
  <c r="B880" i="8"/>
  <c r="A880" i="8"/>
  <c r="AA879" i="8"/>
  <c r="W879" i="8"/>
  <c r="U879" i="8"/>
  <c r="P879" i="8"/>
  <c r="M879" i="8"/>
  <c r="J879" i="8"/>
  <c r="H879" i="8"/>
  <c r="B879" i="8"/>
  <c r="A879" i="8"/>
  <c r="AA878" i="8"/>
  <c r="W878" i="8"/>
  <c r="U878" i="8"/>
  <c r="P878" i="8"/>
  <c r="M878" i="8"/>
  <c r="J878" i="8"/>
  <c r="H878" i="8"/>
  <c r="B878" i="8"/>
  <c r="A878" i="8"/>
  <c r="AA877" i="8"/>
  <c r="W877" i="8"/>
  <c r="U877" i="8"/>
  <c r="P877" i="8"/>
  <c r="M877" i="8"/>
  <c r="J877" i="8"/>
  <c r="H877" i="8"/>
  <c r="B877" i="8"/>
  <c r="A877" i="8"/>
  <c r="AA876" i="8"/>
  <c r="W876" i="8"/>
  <c r="U876" i="8"/>
  <c r="P876" i="8"/>
  <c r="M876" i="8"/>
  <c r="J876" i="8"/>
  <c r="H876" i="8"/>
  <c r="B876" i="8"/>
  <c r="A876" i="8"/>
  <c r="AA875" i="8"/>
  <c r="W875" i="8"/>
  <c r="U875" i="8"/>
  <c r="P875" i="8"/>
  <c r="M875" i="8"/>
  <c r="J875" i="8"/>
  <c r="H875" i="8"/>
  <c r="B875" i="8"/>
  <c r="A875" i="8"/>
  <c r="AA874" i="8"/>
  <c r="W874" i="8"/>
  <c r="U874" i="8"/>
  <c r="P874" i="8"/>
  <c r="M874" i="8"/>
  <c r="J874" i="8"/>
  <c r="H874" i="8"/>
  <c r="B874" i="8"/>
  <c r="A874" i="8"/>
  <c r="AA873" i="8"/>
  <c r="W873" i="8"/>
  <c r="U873" i="8"/>
  <c r="R873" i="8"/>
  <c r="Q873" i="8"/>
  <c r="P873" i="8"/>
  <c r="M873" i="8"/>
  <c r="J873" i="8"/>
  <c r="H873" i="8"/>
  <c r="B873" i="8"/>
  <c r="A873" i="8"/>
  <c r="AA872" i="8"/>
  <c r="W872" i="8"/>
  <c r="U872" i="8"/>
  <c r="P872" i="8"/>
  <c r="M872" i="8"/>
  <c r="J872" i="8"/>
  <c r="H872" i="8"/>
  <c r="B872" i="8"/>
  <c r="A872" i="8"/>
  <c r="AA871" i="8"/>
  <c r="W871" i="8"/>
  <c r="U871" i="8"/>
  <c r="R871" i="8"/>
  <c r="Q871" i="8"/>
  <c r="P871" i="8"/>
  <c r="M871" i="8"/>
  <c r="J871" i="8"/>
  <c r="H871" i="8"/>
  <c r="B871" i="8"/>
  <c r="A871" i="8"/>
  <c r="AA870" i="8"/>
  <c r="W870" i="8"/>
  <c r="U870" i="8"/>
  <c r="P870" i="8"/>
  <c r="M870" i="8"/>
  <c r="J870" i="8"/>
  <c r="H870" i="8"/>
  <c r="B870" i="8"/>
  <c r="A870" i="8"/>
  <c r="AA869" i="8"/>
  <c r="W869" i="8"/>
  <c r="U869" i="8"/>
  <c r="P869" i="8"/>
  <c r="M869" i="8"/>
  <c r="J869" i="8"/>
  <c r="H869" i="8"/>
  <c r="B869" i="8"/>
  <c r="A869" i="8"/>
  <c r="AA868" i="8"/>
  <c r="W868" i="8"/>
  <c r="U868" i="8"/>
  <c r="P868" i="8"/>
  <c r="M868" i="8"/>
  <c r="J868" i="8"/>
  <c r="H868" i="8"/>
  <c r="B868" i="8"/>
  <c r="A868" i="8"/>
  <c r="AA867" i="8"/>
  <c r="W867" i="8"/>
  <c r="U867" i="8"/>
  <c r="P867" i="8"/>
  <c r="M867" i="8"/>
  <c r="J867" i="8"/>
  <c r="H867" i="8"/>
  <c r="B867" i="8"/>
  <c r="A867" i="8"/>
  <c r="AA866" i="8"/>
  <c r="W866" i="8"/>
  <c r="U866" i="8"/>
  <c r="P866" i="8"/>
  <c r="M866" i="8"/>
  <c r="J866" i="8"/>
  <c r="H866" i="8"/>
  <c r="B866" i="8"/>
  <c r="A866" i="8"/>
  <c r="AA865" i="8"/>
  <c r="W865" i="8"/>
  <c r="U865" i="8"/>
  <c r="P865" i="8"/>
  <c r="M865" i="8"/>
  <c r="J865" i="8"/>
  <c r="H865" i="8"/>
  <c r="B865" i="8"/>
  <c r="A865" i="8"/>
  <c r="AA864" i="8"/>
  <c r="W864" i="8"/>
  <c r="U864" i="8"/>
  <c r="R864" i="8"/>
  <c r="Q864" i="8"/>
  <c r="P864" i="8"/>
  <c r="M864" i="8"/>
  <c r="J864" i="8"/>
  <c r="H864" i="8"/>
  <c r="B864" i="8"/>
  <c r="A864" i="8"/>
  <c r="AA863" i="8"/>
  <c r="W863" i="8"/>
  <c r="U863" i="8"/>
  <c r="R863" i="8"/>
  <c r="Q863" i="8"/>
  <c r="P863" i="8"/>
  <c r="M863" i="8"/>
  <c r="J863" i="8"/>
  <c r="H863" i="8"/>
  <c r="B863" i="8"/>
  <c r="A863" i="8"/>
  <c r="AA862" i="8"/>
  <c r="W862" i="8"/>
  <c r="U862" i="8"/>
  <c r="P862" i="8"/>
  <c r="M862" i="8"/>
  <c r="J862" i="8"/>
  <c r="H862" i="8"/>
  <c r="B862" i="8"/>
  <c r="A862" i="8"/>
  <c r="AA861" i="8"/>
  <c r="W861" i="8"/>
  <c r="U861" i="8"/>
  <c r="R861" i="8"/>
  <c r="Q861" i="8"/>
  <c r="P861" i="8"/>
  <c r="M861" i="8"/>
  <c r="J861" i="8"/>
  <c r="H861" i="8"/>
  <c r="B861" i="8"/>
  <c r="A861" i="8"/>
  <c r="AA860" i="8"/>
  <c r="W860" i="8"/>
  <c r="U860" i="8"/>
  <c r="R860" i="8"/>
  <c r="Q860" i="8"/>
  <c r="P860" i="8"/>
  <c r="M860" i="8"/>
  <c r="J860" i="8"/>
  <c r="H860" i="8"/>
  <c r="B860" i="8"/>
  <c r="A860" i="8"/>
  <c r="AA859" i="8"/>
  <c r="W859" i="8"/>
  <c r="U859" i="8"/>
  <c r="P859" i="8"/>
  <c r="M859" i="8"/>
  <c r="J859" i="8"/>
  <c r="H859" i="8"/>
  <c r="B859" i="8"/>
  <c r="A859" i="8"/>
  <c r="AA858" i="8"/>
  <c r="W858" i="8"/>
  <c r="U858" i="8"/>
  <c r="P858" i="8"/>
  <c r="M858" i="8"/>
  <c r="J858" i="8"/>
  <c r="H858" i="8"/>
  <c r="B858" i="8"/>
  <c r="A858" i="8"/>
  <c r="AA857" i="8"/>
  <c r="W857" i="8"/>
  <c r="U857" i="8"/>
  <c r="P857" i="8"/>
  <c r="M857" i="8"/>
  <c r="J857" i="8"/>
  <c r="H857" i="8"/>
  <c r="B857" i="8"/>
  <c r="A857" i="8"/>
  <c r="AA856" i="8"/>
  <c r="W856" i="8"/>
  <c r="U856" i="8"/>
  <c r="P856" i="8"/>
  <c r="M856" i="8"/>
  <c r="J856" i="8"/>
  <c r="H856" i="8"/>
  <c r="B856" i="8"/>
  <c r="A856" i="8"/>
  <c r="AA855" i="8"/>
  <c r="W855" i="8"/>
  <c r="U855" i="8"/>
  <c r="P855" i="8"/>
  <c r="M855" i="8"/>
  <c r="J855" i="8"/>
  <c r="H855" i="8"/>
  <c r="B855" i="8"/>
  <c r="A855" i="8"/>
  <c r="AA854" i="8"/>
  <c r="W854" i="8"/>
  <c r="U854" i="8"/>
  <c r="P854" i="8"/>
  <c r="M854" i="8"/>
  <c r="J854" i="8"/>
  <c r="H854" i="8"/>
  <c r="B854" i="8"/>
  <c r="A854" i="8"/>
  <c r="AA853" i="8"/>
  <c r="W853" i="8"/>
  <c r="U853" i="8"/>
  <c r="P853" i="8"/>
  <c r="M853" i="8"/>
  <c r="J853" i="8"/>
  <c r="H853" i="8"/>
  <c r="B853" i="8"/>
  <c r="A853" i="8"/>
  <c r="AA852" i="8"/>
  <c r="W852" i="8"/>
  <c r="U852" i="8"/>
  <c r="P852" i="8"/>
  <c r="M852" i="8"/>
  <c r="J852" i="8"/>
  <c r="H852" i="8"/>
  <c r="B852" i="8"/>
  <c r="A852" i="8"/>
  <c r="AA851" i="8"/>
  <c r="W851" i="8"/>
  <c r="U851" i="8"/>
  <c r="P851" i="8"/>
  <c r="M851" i="8"/>
  <c r="J851" i="8"/>
  <c r="H851" i="8"/>
  <c r="B851" i="8"/>
  <c r="A851" i="8"/>
  <c r="AA850" i="8"/>
  <c r="W850" i="8"/>
  <c r="U850" i="8"/>
  <c r="P850" i="8"/>
  <c r="M850" i="8"/>
  <c r="J850" i="8"/>
  <c r="H850" i="8"/>
  <c r="B850" i="8"/>
  <c r="A850" i="8"/>
  <c r="AA849" i="8"/>
  <c r="W849" i="8"/>
  <c r="U849" i="8"/>
  <c r="P849" i="8"/>
  <c r="M849" i="8"/>
  <c r="J849" i="8"/>
  <c r="H849" i="8"/>
  <c r="B849" i="8"/>
  <c r="A849" i="8"/>
  <c r="AA848" i="8"/>
  <c r="W848" i="8"/>
  <c r="U848" i="8"/>
  <c r="P848" i="8"/>
  <c r="M848" i="8"/>
  <c r="J848" i="8"/>
  <c r="H848" i="8"/>
  <c r="B848" i="8"/>
  <c r="A848" i="8"/>
  <c r="AA847" i="8"/>
  <c r="W847" i="8"/>
  <c r="U847" i="8"/>
  <c r="P847" i="8"/>
  <c r="M847" i="8"/>
  <c r="J847" i="8"/>
  <c r="H847" i="8"/>
  <c r="B847" i="8"/>
  <c r="A847" i="8"/>
  <c r="AA846" i="8"/>
  <c r="W846" i="8"/>
  <c r="U846" i="8"/>
  <c r="P846" i="8"/>
  <c r="M846" i="8"/>
  <c r="J846" i="8"/>
  <c r="H846" i="8"/>
  <c r="B846" i="8"/>
  <c r="A846" i="8"/>
  <c r="AA845" i="8"/>
  <c r="W845" i="8"/>
  <c r="U845" i="8"/>
  <c r="P845" i="8"/>
  <c r="M845" i="8"/>
  <c r="J845" i="8"/>
  <c r="H845" i="8"/>
  <c r="B845" i="8"/>
  <c r="A845" i="8"/>
  <c r="AA844" i="8"/>
  <c r="W844" i="8"/>
  <c r="U844" i="8"/>
  <c r="P844" i="8"/>
  <c r="M844" i="8"/>
  <c r="J844" i="8"/>
  <c r="H844" i="8"/>
  <c r="B844" i="8"/>
  <c r="A844" i="8"/>
  <c r="AA843" i="8"/>
  <c r="W843" i="8"/>
  <c r="U843" i="8"/>
  <c r="P843" i="8"/>
  <c r="M843" i="8"/>
  <c r="J843" i="8"/>
  <c r="H843" i="8"/>
  <c r="B843" i="8"/>
  <c r="A843" i="8"/>
  <c r="AA842" i="8"/>
  <c r="W842" i="8"/>
  <c r="U842" i="8"/>
  <c r="P842" i="8"/>
  <c r="M842" i="8"/>
  <c r="J842" i="8"/>
  <c r="H842" i="8"/>
  <c r="B842" i="8"/>
  <c r="A842" i="8"/>
  <c r="AA841" i="8"/>
  <c r="W841" i="8"/>
  <c r="U841" i="8"/>
  <c r="R841" i="8"/>
  <c r="Q841" i="8"/>
  <c r="P841" i="8"/>
  <c r="M841" i="8"/>
  <c r="J841" i="8"/>
  <c r="H841" i="8"/>
  <c r="B841" i="8"/>
  <c r="A841" i="8"/>
  <c r="AA840" i="8"/>
  <c r="W840" i="8"/>
  <c r="U840" i="8"/>
  <c r="R840" i="8"/>
  <c r="Q840" i="8"/>
  <c r="P840" i="8"/>
  <c r="M840" i="8"/>
  <c r="J840" i="8"/>
  <c r="H840" i="8"/>
  <c r="B840" i="8"/>
  <c r="A840" i="8"/>
  <c r="AA839" i="8"/>
  <c r="W839" i="8"/>
  <c r="U839" i="8"/>
  <c r="P839" i="8"/>
  <c r="M839" i="8"/>
  <c r="J839" i="8"/>
  <c r="H839" i="8"/>
  <c r="B839" i="8"/>
  <c r="A839" i="8"/>
  <c r="AA838" i="8"/>
  <c r="W838" i="8"/>
  <c r="U838" i="8"/>
  <c r="P838" i="8"/>
  <c r="M838" i="8"/>
  <c r="J838" i="8"/>
  <c r="H838" i="8"/>
  <c r="B838" i="8"/>
  <c r="A838" i="8"/>
  <c r="AA837" i="8"/>
  <c r="W837" i="8"/>
  <c r="U837" i="8"/>
  <c r="P837" i="8"/>
  <c r="M837" i="8"/>
  <c r="J837" i="8"/>
  <c r="H837" i="8"/>
  <c r="B837" i="8"/>
  <c r="A837" i="8"/>
  <c r="AA836" i="8"/>
  <c r="W836" i="8"/>
  <c r="U836" i="8"/>
  <c r="P836" i="8"/>
  <c r="M836" i="8"/>
  <c r="J836" i="8"/>
  <c r="H836" i="8"/>
  <c r="B836" i="8"/>
  <c r="A836" i="8"/>
  <c r="AA835" i="8"/>
  <c r="W835" i="8"/>
  <c r="U835" i="8"/>
  <c r="P835" i="8"/>
  <c r="M835" i="8"/>
  <c r="J835" i="8"/>
  <c r="H835" i="8"/>
  <c r="B835" i="8"/>
  <c r="A835" i="8"/>
  <c r="AA834" i="8"/>
  <c r="W834" i="8"/>
  <c r="U834" i="8"/>
  <c r="R834" i="8"/>
  <c r="Q834" i="8"/>
  <c r="P834" i="8"/>
  <c r="M834" i="8"/>
  <c r="J834" i="8"/>
  <c r="H834" i="8"/>
  <c r="B834" i="8"/>
  <c r="A834" i="8"/>
  <c r="AA833" i="8"/>
  <c r="W833" i="8"/>
  <c r="U833" i="8"/>
  <c r="P833" i="8"/>
  <c r="M833" i="8"/>
  <c r="J833" i="8"/>
  <c r="H833" i="8"/>
  <c r="B833" i="8"/>
  <c r="A833" i="8"/>
  <c r="AA832" i="8"/>
  <c r="W832" i="8"/>
  <c r="U832" i="8"/>
  <c r="P832" i="8"/>
  <c r="M832" i="8"/>
  <c r="J832" i="8"/>
  <c r="H832" i="8"/>
  <c r="B832" i="8"/>
  <c r="A832" i="8"/>
  <c r="AA831" i="8"/>
  <c r="W831" i="8"/>
  <c r="U831" i="8"/>
  <c r="P831" i="8"/>
  <c r="M831" i="8"/>
  <c r="J831" i="8"/>
  <c r="H831" i="8"/>
  <c r="B831" i="8"/>
  <c r="A831" i="8"/>
  <c r="AA830" i="8"/>
  <c r="W830" i="8"/>
  <c r="U830" i="8"/>
  <c r="P830" i="8"/>
  <c r="M830" i="8"/>
  <c r="J830" i="8"/>
  <c r="H830" i="8"/>
  <c r="B830" i="8"/>
  <c r="A830" i="8"/>
  <c r="AA829" i="8"/>
  <c r="W829" i="8"/>
  <c r="U829" i="8"/>
  <c r="P829" i="8"/>
  <c r="M829" i="8"/>
  <c r="J829" i="8"/>
  <c r="H829" i="8"/>
  <c r="B829" i="8"/>
  <c r="A829" i="8"/>
  <c r="AA828" i="8"/>
  <c r="W828" i="8"/>
  <c r="U828" i="8"/>
  <c r="P828" i="8"/>
  <c r="M828" i="8"/>
  <c r="J828" i="8"/>
  <c r="H828" i="8"/>
  <c r="B828" i="8"/>
  <c r="A828" i="8"/>
  <c r="AA827" i="8"/>
  <c r="W827" i="8"/>
  <c r="U827" i="8"/>
  <c r="P827" i="8"/>
  <c r="M827" i="8"/>
  <c r="J827" i="8"/>
  <c r="H827" i="8"/>
  <c r="B827" i="8"/>
  <c r="A827" i="8"/>
  <c r="AA826" i="8"/>
  <c r="W826" i="8"/>
  <c r="U826" i="8"/>
  <c r="P826" i="8"/>
  <c r="M826" i="8"/>
  <c r="J826" i="8"/>
  <c r="H826" i="8"/>
  <c r="B826" i="8"/>
  <c r="A826" i="8"/>
  <c r="AA825" i="8"/>
  <c r="W825" i="8"/>
  <c r="U825" i="8"/>
  <c r="P825" i="8"/>
  <c r="M825" i="8"/>
  <c r="J825" i="8"/>
  <c r="H825" i="8"/>
  <c r="B825" i="8"/>
  <c r="A825" i="8"/>
  <c r="AA824" i="8"/>
  <c r="W824" i="8"/>
  <c r="U824" i="8"/>
  <c r="P824" i="8"/>
  <c r="M824" i="8"/>
  <c r="J824" i="8"/>
  <c r="H824" i="8"/>
  <c r="B824" i="8"/>
  <c r="A824" i="8"/>
  <c r="AA823" i="8"/>
  <c r="W823" i="8"/>
  <c r="U823" i="8"/>
  <c r="P823" i="8"/>
  <c r="M823" i="8"/>
  <c r="J823" i="8"/>
  <c r="H823" i="8"/>
  <c r="B823" i="8"/>
  <c r="A823" i="8"/>
  <c r="AA822" i="8"/>
  <c r="W822" i="8"/>
  <c r="U822" i="8"/>
  <c r="P822" i="8"/>
  <c r="M822" i="8"/>
  <c r="J822" i="8"/>
  <c r="H822" i="8"/>
  <c r="B822" i="8"/>
  <c r="A822" i="8"/>
  <c r="AA821" i="8"/>
  <c r="W821" i="8"/>
  <c r="U821" i="8"/>
  <c r="P821" i="8"/>
  <c r="M821" i="8"/>
  <c r="J821" i="8"/>
  <c r="H821" i="8"/>
  <c r="B821" i="8"/>
  <c r="A821" i="8"/>
  <c r="AA820" i="8"/>
  <c r="W820" i="8"/>
  <c r="U820" i="8"/>
  <c r="P820" i="8"/>
  <c r="M820" i="8"/>
  <c r="J820" i="8"/>
  <c r="H820" i="8"/>
  <c r="B820" i="8"/>
  <c r="A820" i="8"/>
  <c r="AA819" i="8"/>
  <c r="W819" i="8"/>
  <c r="U819" i="8"/>
  <c r="P819" i="8"/>
  <c r="M819" i="8"/>
  <c r="J819" i="8"/>
  <c r="H819" i="8"/>
  <c r="B819" i="8"/>
  <c r="A819" i="8"/>
  <c r="AA818" i="8"/>
  <c r="W818" i="8"/>
  <c r="U818" i="8"/>
  <c r="P818" i="8"/>
  <c r="M818" i="8"/>
  <c r="J818" i="8"/>
  <c r="H818" i="8"/>
  <c r="B818" i="8"/>
  <c r="A818" i="8"/>
  <c r="AA817" i="8"/>
  <c r="W817" i="8"/>
  <c r="U817" i="8"/>
  <c r="P817" i="8"/>
  <c r="M817" i="8"/>
  <c r="J817" i="8"/>
  <c r="H817" i="8"/>
  <c r="B817" i="8"/>
  <c r="A817" i="8"/>
  <c r="AA816" i="8"/>
  <c r="W816" i="8"/>
  <c r="U816" i="8"/>
  <c r="P816" i="8"/>
  <c r="M816" i="8"/>
  <c r="J816" i="8"/>
  <c r="H816" i="8"/>
  <c r="B816" i="8"/>
  <c r="A816" i="8"/>
  <c r="AA815" i="8"/>
  <c r="W815" i="8"/>
  <c r="U815" i="8"/>
  <c r="P815" i="8"/>
  <c r="M815" i="8"/>
  <c r="J815" i="8"/>
  <c r="H815" i="8"/>
  <c r="B815" i="8"/>
  <c r="A815" i="8"/>
  <c r="AA814" i="8"/>
  <c r="W814" i="8"/>
  <c r="U814" i="8"/>
  <c r="P814" i="8"/>
  <c r="M814" i="8"/>
  <c r="J814" i="8"/>
  <c r="H814" i="8"/>
  <c r="B814" i="8"/>
  <c r="A814" i="8"/>
  <c r="AA813" i="8"/>
  <c r="W813" i="8"/>
  <c r="U813" i="8"/>
  <c r="P813" i="8"/>
  <c r="M813" i="8"/>
  <c r="J813" i="8"/>
  <c r="H813" i="8"/>
  <c r="B813" i="8"/>
  <c r="A813" i="8"/>
  <c r="AA812" i="8"/>
  <c r="W812" i="8"/>
  <c r="U812" i="8"/>
  <c r="P812" i="8"/>
  <c r="M812" i="8"/>
  <c r="J812" i="8"/>
  <c r="H812" i="8"/>
  <c r="B812" i="8"/>
  <c r="A812" i="8"/>
  <c r="AA811" i="8"/>
  <c r="W811" i="8"/>
  <c r="U811" i="8"/>
  <c r="P811" i="8"/>
  <c r="M811" i="8"/>
  <c r="J811" i="8"/>
  <c r="H811" i="8"/>
  <c r="B811" i="8"/>
  <c r="A811" i="8"/>
  <c r="AA810" i="8"/>
  <c r="W810" i="8"/>
  <c r="U810" i="8"/>
  <c r="P810" i="8"/>
  <c r="M810" i="8"/>
  <c r="J810" i="8"/>
  <c r="H810" i="8"/>
  <c r="B810" i="8"/>
  <c r="A810" i="8"/>
  <c r="AA809" i="8"/>
  <c r="W809" i="8"/>
  <c r="U809" i="8"/>
  <c r="P809" i="8"/>
  <c r="M809" i="8"/>
  <c r="J809" i="8"/>
  <c r="H809" i="8"/>
  <c r="B809" i="8"/>
  <c r="A809" i="8"/>
  <c r="AA808" i="8"/>
  <c r="W808" i="8"/>
  <c r="U808" i="8"/>
  <c r="P808" i="8"/>
  <c r="M808" i="8"/>
  <c r="J808" i="8"/>
  <c r="H808" i="8"/>
  <c r="B808" i="8"/>
  <c r="A808" i="8"/>
  <c r="AA807" i="8"/>
  <c r="W807" i="8"/>
  <c r="U807" i="8"/>
  <c r="P807" i="8"/>
  <c r="M807" i="8"/>
  <c r="J807" i="8"/>
  <c r="H807" i="8"/>
  <c r="B807" i="8"/>
  <c r="A807" i="8"/>
  <c r="AA806" i="8"/>
  <c r="W806" i="8"/>
  <c r="U806" i="8"/>
  <c r="P806" i="8"/>
  <c r="M806" i="8"/>
  <c r="J806" i="8"/>
  <c r="H806" i="8"/>
  <c r="B806" i="8"/>
  <c r="A806" i="8"/>
  <c r="AA805" i="8"/>
  <c r="W805" i="8"/>
  <c r="U805" i="8"/>
  <c r="P805" i="8"/>
  <c r="M805" i="8"/>
  <c r="J805" i="8"/>
  <c r="H805" i="8"/>
  <c r="B805" i="8"/>
  <c r="A805" i="8"/>
  <c r="AA804" i="8"/>
  <c r="W804" i="8"/>
  <c r="U804" i="8"/>
  <c r="P804" i="8"/>
  <c r="M804" i="8"/>
  <c r="J804" i="8"/>
  <c r="H804" i="8"/>
  <c r="B804" i="8"/>
  <c r="A804" i="8"/>
  <c r="AA803" i="8"/>
  <c r="W803" i="8"/>
  <c r="U803" i="8"/>
  <c r="P803" i="8"/>
  <c r="M803" i="8"/>
  <c r="J803" i="8"/>
  <c r="H803" i="8"/>
  <c r="B803" i="8"/>
  <c r="A803" i="8"/>
  <c r="AA802" i="8"/>
  <c r="W802" i="8"/>
  <c r="U802" i="8"/>
  <c r="R802" i="8"/>
  <c r="Q802" i="8"/>
  <c r="P802" i="8"/>
  <c r="M802" i="8"/>
  <c r="J802" i="8"/>
  <c r="H802" i="8"/>
  <c r="B802" i="8"/>
  <c r="A802" i="8"/>
  <c r="AA801" i="8"/>
  <c r="W801" i="8"/>
  <c r="U801" i="8"/>
  <c r="R801" i="8"/>
  <c r="Q801" i="8"/>
  <c r="P801" i="8"/>
  <c r="M801" i="8"/>
  <c r="J801" i="8"/>
  <c r="H801" i="8"/>
  <c r="B801" i="8"/>
  <c r="A801" i="8"/>
  <c r="AA800" i="8"/>
  <c r="W800" i="8"/>
  <c r="U800" i="8"/>
  <c r="P800" i="8"/>
  <c r="M800" i="8"/>
  <c r="J800" i="8"/>
  <c r="H800" i="8"/>
  <c r="B800" i="8"/>
  <c r="A800" i="8"/>
  <c r="AA799" i="8"/>
  <c r="W799" i="8"/>
  <c r="U799" i="8"/>
  <c r="P799" i="8"/>
  <c r="M799" i="8"/>
  <c r="J799" i="8"/>
  <c r="H799" i="8"/>
  <c r="B799" i="8"/>
  <c r="A799" i="8"/>
  <c r="AA798" i="8"/>
  <c r="W798" i="8"/>
  <c r="U798" i="8"/>
  <c r="P798" i="8"/>
  <c r="M798" i="8"/>
  <c r="J798" i="8"/>
  <c r="H798" i="8"/>
  <c r="B798" i="8"/>
  <c r="A798" i="8"/>
  <c r="AA797" i="8"/>
  <c r="W797" i="8"/>
  <c r="U797" i="8"/>
  <c r="P797" i="8"/>
  <c r="M797" i="8"/>
  <c r="J797" i="8"/>
  <c r="H797" i="8"/>
  <c r="B797" i="8"/>
  <c r="A797" i="8"/>
  <c r="AA796" i="8"/>
  <c r="W796" i="8"/>
  <c r="U796" i="8"/>
  <c r="P796" i="8"/>
  <c r="M796" i="8"/>
  <c r="J796" i="8"/>
  <c r="H796" i="8"/>
  <c r="B796" i="8"/>
  <c r="A796" i="8"/>
  <c r="AA795" i="8"/>
  <c r="W795" i="8"/>
  <c r="U795" i="8"/>
  <c r="P795" i="8"/>
  <c r="M795" i="8"/>
  <c r="J795" i="8"/>
  <c r="H795" i="8"/>
  <c r="B795" i="8"/>
  <c r="A795" i="8"/>
  <c r="AA794" i="8"/>
  <c r="W794" i="8"/>
  <c r="U794" i="8"/>
  <c r="R794" i="8"/>
  <c r="Q794" i="8"/>
  <c r="P794" i="8"/>
  <c r="M794" i="8"/>
  <c r="J794" i="8"/>
  <c r="H794" i="8"/>
  <c r="B794" i="8"/>
  <c r="A794" i="8"/>
  <c r="AA793" i="8"/>
  <c r="W793" i="8"/>
  <c r="U793" i="8"/>
  <c r="P793" i="8"/>
  <c r="M793" i="8"/>
  <c r="J793" i="8"/>
  <c r="H793" i="8"/>
  <c r="B793" i="8"/>
  <c r="A793" i="8"/>
  <c r="AA792" i="8"/>
  <c r="W792" i="8"/>
  <c r="U792" i="8"/>
  <c r="P792" i="8"/>
  <c r="M792" i="8"/>
  <c r="J792" i="8"/>
  <c r="H792" i="8"/>
  <c r="B792" i="8"/>
  <c r="A792" i="8"/>
  <c r="AA791" i="8"/>
  <c r="W791" i="8"/>
  <c r="U791" i="8"/>
  <c r="P791" i="8"/>
  <c r="M791" i="8"/>
  <c r="J791" i="8"/>
  <c r="H791" i="8"/>
  <c r="B791" i="8"/>
  <c r="A791" i="8"/>
  <c r="AA790" i="8"/>
  <c r="W790" i="8"/>
  <c r="U790" i="8"/>
  <c r="P790" i="8"/>
  <c r="M790" i="8"/>
  <c r="J790" i="8"/>
  <c r="H790" i="8"/>
  <c r="B790" i="8"/>
  <c r="A790" i="8"/>
  <c r="AA789" i="8"/>
  <c r="W789" i="8"/>
  <c r="U789" i="8"/>
  <c r="P789" i="8"/>
  <c r="M789" i="8"/>
  <c r="J789" i="8"/>
  <c r="H789" i="8"/>
  <c r="B789" i="8"/>
  <c r="A789" i="8"/>
  <c r="AA788" i="8"/>
  <c r="W788" i="8"/>
  <c r="U788" i="8"/>
  <c r="P788" i="8"/>
  <c r="M788" i="8"/>
  <c r="J788" i="8"/>
  <c r="H788" i="8"/>
  <c r="B788" i="8"/>
  <c r="A788" i="8"/>
  <c r="AA787" i="8"/>
  <c r="W787" i="8"/>
  <c r="U787" i="8"/>
  <c r="P787" i="8"/>
  <c r="M787" i="8"/>
  <c r="J787" i="8"/>
  <c r="H787" i="8"/>
  <c r="B787" i="8"/>
  <c r="A787" i="8"/>
  <c r="AA786" i="8"/>
  <c r="W786" i="8"/>
  <c r="U786" i="8"/>
  <c r="P786" i="8"/>
  <c r="M786" i="8"/>
  <c r="J786" i="8"/>
  <c r="H786" i="8"/>
  <c r="B786" i="8"/>
  <c r="A786" i="8"/>
  <c r="AA785" i="8"/>
  <c r="W785" i="8"/>
  <c r="U785" i="8"/>
  <c r="P785" i="8"/>
  <c r="M785" i="8"/>
  <c r="J785" i="8"/>
  <c r="H785" i="8"/>
  <c r="B785" i="8"/>
  <c r="A785" i="8"/>
  <c r="AA784" i="8"/>
  <c r="W784" i="8"/>
  <c r="U784" i="8"/>
  <c r="P784" i="8"/>
  <c r="M784" i="8"/>
  <c r="J784" i="8"/>
  <c r="H784" i="8"/>
  <c r="B784" i="8"/>
  <c r="A784" i="8"/>
  <c r="AA783" i="8"/>
  <c r="W783" i="8"/>
  <c r="U783" i="8"/>
  <c r="P783" i="8"/>
  <c r="M783" i="8"/>
  <c r="J783" i="8"/>
  <c r="H783" i="8"/>
  <c r="B783" i="8"/>
  <c r="A783" i="8"/>
  <c r="AA782" i="8"/>
  <c r="W782" i="8"/>
  <c r="U782" i="8"/>
  <c r="P782" i="8"/>
  <c r="M782" i="8"/>
  <c r="J782" i="8"/>
  <c r="H782" i="8"/>
  <c r="B782" i="8"/>
  <c r="A782" i="8"/>
  <c r="AA781" i="8"/>
  <c r="W781" i="8"/>
  <c r="U781" i="8"/>
  <c r="P781" i="8"/>
  <c r="M781" i="8"/>
  <c r="J781" i="8"/>
  <c r="H781" i="8"/>
  <c r="B781" i="8"/>
  <c r="A781" i="8"/>
  <c r="AA780" i="8"/>
  <c r="W780" i="8"/>
  <c r="U780" i="8"/>
  <c r="P780" i="8"/>
  <c r="M780" i="8"/>
  <c r="J780" i="8"/>
  <c r="H780" i="8"/>
  <c r="B780" i="8"/>
  <c r="A780" i="8"/>
  <c r="AA779" i="8"/>
  <c r="W779" i="8"/>
  <c r="U779" i="8"/>
  <c r="P779" i="8"/>
  <c r="M779" i="8"/>
  <c r="J779" i="8"/>
  <c r="H779" i="8"/>
  <c r="B779" i="8"/>
  <c r="A779" i="8"/>
  <c r="AA778" i="8"/>
  <c r="W778" i="8"/>
  <c r="U778" i="8"/>
  <c r="R778" i="8"/>
  <c r="Q778" i="8"/>
  <c r="P778" i="8"/>
  <c r="M778" i="8"/>
  <c r="J778" i="8"/>
  <c r="H778" i="8"/>
  <c r="B778" i="8"/>
  <c r="A778" i="8"/>
  <c r="AA777" i="8"/>
  <c r="W777" i="8"/>
  <c r="U777" i="8"/>
  <c r="P777" i="8"/>
  <c r="M777" i="8"/>
  <c r="J777" i="8"/>
  <c r="H777" i="8"/>
  <c r="B777" i="8"/>
  <c r="A777" i="8"/>
  <c r="AA776" i="8"/>
  <c r="W776" i="8"/>
  <c r="U776" i="8"/>
  <c r="R776" i="8"/>
  <c r="Q776" i="8"/>
  <c r="P776" i="8"/>
  <c r="M776" i="8"/>
  <c r="J776" i="8"/>
  <c r="H776" i="8"/>
  <c r="B776" i="8"/>
  <c r="A776" i="8"/>
  <c r="AA775" i="8"/>
  <c r="W775" i="8"/>
  <c r="U775" i="8"/>
  <c r="R775" i="8"/>
  <c r="Q775" i="8"/>
  <c r="P775" i="8"/>
  <c r="M775" i="8"/>
  <c r="J775" i="8"/>
  <c r="H775" i="8"/>
  <c r="B775" i="8"/>
  <c r="A775" i="8"/>
  <c r="AA774" i="8"/>
  <c r="W774" i="8"/>
  <c r="U774" i="8"/>
  <c r="R774" i="8"/>
  <c r="Q774" i="8"/>
  <c r="P774" i="8"/>
  <c r="M774" i="8"/>
  <c r="J774" i="8"/>
  <c r="H774" i="8"/>
  <c r="B774" i="8"/>
  <c r="A774" i="8"/>
  <c r="AA773" i="8"/>
  <c r="W773" i="8"/>
  <c r="U773" i="8"/>
  <c r="P773" i="8"/>
  <c r="M773" i="8"/>
  <c r="J773" i="8"/>
  <c r="H773" i="8"/>
  <c r="B773" i="8"/>
  <c r="A773" i="8"/>
  <c r="AA772" i="8"/>
  <c r="W772" i="8"/>
  <c r="U772" i="8"/>
  <c r="P772" i="8"/>
  <c r="M772" i="8"/>
  <c r="J772" i="8"/>
  <c r="H772" i="8"/>
  <c r="B772" i="8"/>
  <c r="A772" i="8"/>
  <c r="AA771" i="8"/>
  <c r="W771" i="8"/>
  <c r="U771" i="8"/>
  <c r="P771" i="8"/>
  <c r="M771" i="8"/>
  <c r="J771" i="8"/>
  <c r="H771" i="8"/>
  <c r="B771" i="8"/>
  <c r="A771" i="8"/>
  <c r="AA770" i="8"/>
  <c r="W770" i="8"/>
  <c r="U770" i="8"/>
  <c r="P770" i="8"/>
  <c r="M770" i="8"/>
  <c r="J770" i="8"/>
  <c r="H770" i="8"/>
  <c r="B770" i="8"/>
  <c r="A770" i="8"/>
  <c r="AA769" i="8"/>
  <c r="W769" i="8"/>
  <c r="U769" i="8"/>
  <c r="P769" i="8"/>
  <c r="M769" i="8"/>
  <c r="J769" i="8"/>
  <c r="H769" i="8"/>
  <c r="B769" i="8"/>
  <c r="A769" i="8"/>
  <c r="AA768" i="8"/>
  <c r="W768" i="8"/>
  <c r="U768" i="8"/>
  <c r="P768" i="8"/>
  <c r="M768" i="8"/>
  <c r="J768" i="8"/>
  <c r="H768" i="8"/>
  <c r="B768" i="8"/>
  <c r="A768" i="8"/>
  <c r="AA767" i="8"/>
  <c r="W767" i="8"/>
  <c r="U767" i="8"/>
  <c r="P767" i="8"/>
  <c r="M767" i="8"/>
  <c r="J767" i="8"/>
  <c r="H767" i="8"/>
  <c r="B767" i="8"/>
  <c r="A767" i="8"/>
  <c r="AA766" i="8"/>
  <c r="W766" i="8"/>
  <c r="U766" i="8"/>
  <c r="P766" i="8"/>
  <c r="M766" i="8"/>
  <c r="J766" i="8"/>
  <c r="H766" i="8"/>
  <c r="B766" i="8"/>
  <c r="A766" i="8"/>
  <c r="AA765" i="8"/>
  <c r="W765" i="8"/>
  <c r="U765" i="8"/>
  <c r="P765" i="8"/>
  <c r="M765" i="8"/>
  <c r="J765" i="8"/>
  <c r="H765" i="8"/>
  <c r="B765" i="8"/>
  <c r="A765" i="8"/>
  <c r="AA764" i="8"/>
  <c r="W764" i="8"/>
  <c r="U764" i="8"/>
  <c r="P764" i="8"/>
  <c r="M764" i="8"/>
  <c r="J764" i="8"/>
  <c r="H764" i="8"/>
  <c r="B764" i="8"/>
  <c r="A764" i="8"/>
  <c r="AA763" i="8"/>
  <c r="W763" i="8"/>
  <c r="U763" i="8"/>
  <c r="P763" i="8"/>
  <c r="M763" i="8"/>
  <c r="J763" i="8"/>
  <c r="H763" i="8"/>
  <c r="B763" i="8"/>
  <c r="A763" i="8"/>
  <c r="AA762" i="8"/>
  <c r="W762" i="8"/>
  <c r="U762" i="8"/>
  <c r="P762" i="8"/>
  <c r="M762" i="8"/>
  <c r="J762" i="8"/>
  <c r="H762" i="8"/>
  <c r="B762" i="8"/>
  <c r="A762" i="8"/>
  <c r="AA761" i="8"/>
  <c r="W761" i="8"/>
  <c r="U761" i="8"/>
  <c r="P761" i="8"/>
  <c r="M761" i="8"/>
  <c r="J761" i="8"/>
  <c r="H761" i="8"/>
  <c r="B761" i="8"/>
  <c r="A761" i="8"/>
  <c r="AA760" i="8"/>
  <c r="W760" i="8"/>
  <c r="U760" i="8"/>
  <c r="R760" i="8"/>
  <c r="Q760" i="8"/>
  <c r="P760" i="8"/>
  <c r="M760" i="8"/>
  <c r="J760" i="8"/>
  <c r="H760" i="8"/>
  <c r="B760" i="8"/>
  <c r="A760" i="8"/>
  <c r="AA759" i="8"/>
  <c r="W759" i="8"/>
  <c r="U759" i="8"/>
  <c r="R759" i="8"/>
  <c r="Q759" i="8"/>
  <c r="P759" i="8"/>
  <c r="M759" i="8"/>
  <c r="J759" i="8"/>
  <c r="H759" i="8"/>
  <c r="B759" i="8"/>
  <c r="A759" i="8"/>
  <c r="AA758" i="8"/>
  <c r="W758" i="8"/>
  <c r="U758" i="8"/>
  <c r="P758" i="8"/>
  <c r="M758" i="8"/>
  <c r="J758" i="8"/>
  <c r="H758" i="8"/>
  <c r="B758" i="8"/>
  <c r="A758" i="8"/>
  <c r="AA757" i="8"/>
  <c r="W757" i="8"/>
  <c r="U757" i="8"/>
  <c r="P757" i="8"/>
  <c r="M757" i="8"/>
  <c r="J757" i="8"/>
  <c r="H757" i="8"/>
  <c r="B757" i="8"/>
  <c r="A757" i="8"/>
  <c r="AA756" i="8"/>
  <c r="W756" i="8"/>
  <c r="U756" i="8"/>
  <c r="P756" i="8"/>
  <c r="M756" i="8"/>
  <c r="J756" i="8"/>
  <c r="H756" i="8"/>
  <c r="B756" i="8"/>
  <c r="A756" i="8"/>
  <c r="AA755" i="8"/>
  <c r="W755" i="8"/>
  <c r="U755" i="8"/>
  <c r="P755" i="8"/>
  <c r="M755" i="8"/>
  <c r="J755" i="8"/>
  <c r="H755" i="8"/>
  <c r="B755" i="8"/>
  <c r="A755" i="8"/>
  <c r="AA754" i="8"/>
  <c r="W754" i="8"/>
  <c r="U754" i="8"/>
  <c r="P754" i="8"/>
  <c r="M754" i="8"/>
  <c r="J754" i="8"/>
  <c r="H754" i="8"/>
  <c r="B754" i="8"/>
  <c r="A754" i="8"/>
  <c r="AA753" i="8"/>
  <c r="W753" i="8"/>
  <c r="U753" i="8"/>
  <c r="R753" i="8"/>
  <c r="Q753" i="8"/>
  <c r="P753" i="8"/>
  <c r="M753" i="8"/>
  <c r="J753" i="8"/>
  <c r="H753" i="8"/>
  <c r="B753" i="8"/>
  <c r="A753" i="8"/>
  <c r="AA752" i="8"/>
  <c r="W752" i="8"/>
  <c r="U752" i="8"/>
  <c r="P752" i="8"/>
  <c r="M752" i="8"/>
  <c r="J752" i="8"/>
  <c r="H752" i="8"/>
  <c r="B752" i="8"/>
  <c r="A752" i="8"/>
  <c r="AA751" i="8"/>
  <c r="W751" i="8"/>
  <c r="U751" i="8"/>
  <c r="P751" i="8"/>
  <c r="M751" i="8"/>
  <c r="J751" i="8"/>
  <c r="H751" i="8"/>
  <c r="B751" i="8"/>
  <c r="A751" i="8"/>
  <c r="AA750" i="8"/>
  <c r="W750" i="8"/>
  <c r="U750" i="8"/>
  <c r="P750" i="8"/>
  <c r="M750" i="8"/>
  <c r="J750" i="8"/>
  <c r="H750" i="8"/>
  <c r="B750" i="8"/>
  <c r="A750" i="8"/>
  <c r="AA749" i="8"/>
  <c r="W749" i="8"/>
  <c r="U749" i="8"/>
  <c r="P749" i="8"/>
  <c r="M749" i="8"/>
  <c r="J749" i="8"/>
  <c r="H749" i="8"/>
  <c r="B749" i="8"/>
  <c r="A749" i="8"/>
  <c r="AA748" i="8"/>
  <c r="W748" i="8"/>
  <c r="U748" i="8"/>
  <c r="P748" i="8"/>
  <c r="M748" i="8"/>
  <c r="J748" i="8"/>
  <c r="H748" i="8"/>
  <c r="B748" i="8"/>
  <c r="A748" i="8"/>
  <c r="AA747" i="8"/>
  <c r="W747" i="8"/>
  <c r="U747" i="8"/>
  <c r="P747" i="8"/>
  <c r="M747" i="8"/>
  <c r="J747" i="8"/>
  <c r="H747" i="8"/>
  <c r="B747" i="8"/>
  <c r="A747" i="8"/>
  <c r="AA746" i="8"/>
  <c r="W746" i="8"/>
  <c r="U746" i="8"/>
  <c r="R746" i="8"/>
  <c r="Q746" i="8"/>
  <c r="P746" i="8"/>
  <c r="M746" i="8"/>
  <c r="J746" i="8"/>
  <c r="H746" i="8"/>
  <c r="B746" i="8"/>
  <c r="A746" i="8"/>
  <c r="AA745" i="8"/>
  <c r="W745" i="8"/>
  <c r="U745" i="8"/>
  <c r="P745" i="8"/>
  <c r="M745" i="8"/>
  <c r="J745" i="8"/>
  <c r="H745" i="8"/>
  <c r="B745" i="8"/>
  <c r="A745" i="8"/>
  <c r="AA744" i="8"/>
  <c r="W744" i="8"/>
  <c r="U744" i="8"/>
  <c r="P744" i="8"/>
  <c r="M744" i="8"/>
  <c r="J744" i="8"/>
  <c r="H744" i="8"/>
  <c r="B744" i="8"/>
  <c r="A744" i="8"/>
  <c r="AA743" i="8"/>
  <c r="W743" i="8"/>
  <c r="U743" i="8"/>
  <c r="P743" i="8"/>
  <c r="M743" i="8"/>
  <c r="J743" i="8"/>
  <c r="H743" i="8"/>
  <c r="B743" i="8"/>
  <c r="A743" i="8"/>
  <c r="AA742" i="8"/>
  <c r="W742" i="8"/>
  <c r="U742" i="8"/>
  <c r="P742" i="8"/>
  <c r="M742" i="8"/>
  <c r="J742" i="8"/>
  <c r="H742" i="8"/>
  <c r="B742" i="8"/>
  <c r="A742" i="8"/>
  <c r="AA741" i="8"/>
  <c r="W741" i="8"/>
  <c r="U741" i="8"/>
  <c r="P741" i="8"/>
  <c r="M741" i="8"/>
  <c r="J741" i="8"/>
  <c r="H741" i="8"/>
  <c r="B741" i="8"/>
  <c r="A741" i="8"/>
  <c r="AA740" i="8"/>
  <c r="W740" i="8"/>
  <c r="U740" i="8"/>
  <c r="P740" i="8"/>
  <c r="M740" i="8"/>
  <c r="J740" i="8"/>
  <c r="H740" i="8"/>
  <c r="B740" i="8"/>
  <c r="A740" i="8"/>
  <c r="AA739" i="8"/>
  <c r="W739" i="8"/>
  <c r="U739" i="8"/>
  <c r="P739" i="8"/>
  <c r="M739" i="8"/>
  <c r="J739" i="8"/>
  <c r="H739" i="8"/>
  <c r="B739" i="8"/>
  <c r="A739" i="8"/>
  <c r="AA738" i="8"/>
  <c r="W738" i="8"/>
  <c r="U738" i="8"/>
  <c r="P738" i="8"/>
  <c r="M738" i="8"/>
  <c r="J738" i="8"/>
  <c r="H738" i="8"/>
  <c r="B738" i="8"/>
  <c r="A738" i="8"/>
  <c r="AA737" i="8"/>
  <c r="W737" i="8"/>
  <c r="U737" i="8"/>
  <c r="P737" i="8"/>
  <c r="M737" i="8"/>
  <c r="J737" i="8"/>
  <c r="H737" i="8"/>
  <c r="B737" i="8"/>
  <c r="A737" i="8"/>
  <c r="AA736" i="8"/>
  <c r="W736" i="8"/>
  <c r="U736" i="8"/>
  <c r="P736" i="8"/>
  <c r="M736" i="8"/>
  <c r="J736" i="8"/>
  <c r="H736" i="8"/>
  <c r="B736" i="8"/>
  <c r="A736" i="8"/>
  <c r="AA735" i="8"/>
  <c r="W735" i="8"/>
  <c r="U735" i="8"/>
  <c r="P735" i="8"/>
  <c r="M735" i="8"/>
  <c r="J735" i="8"/>
  <c r="H735" i="8"/>
  <c r="B735" i="8"/>
  <c r="A735" i="8"/>
  <c r="AA734" i="8"/>
  <c r="W734" i="8"/>
  <c r="U734" i="8"/>
  <c r="P734" i="8"/>
  <c r="M734" i="8"/>
  <c r="J734" i="8"/>
  <c r="H734" i="8"/>
  <c r="B734" i="8"/>
  <c r="A734" i="8"/>
  <c r="AA733" i="8"/>
  <c r="W733" i="8"/>
  <c r="U733" i="8"/>
  <c r="P733" i="8"/>
  <c r="M733" i="8"/>
  <c r="J733" i="8"/>
  <c r="H733" i="8"/>
  <c r="B733" i="8"/>
  <c r="A733" i="8"/>
  <c r="AA732" i="8"/>
  <c r="W732" i="8"/>
  <c r="U732" i="8"/>
  <c r="P732" i="8"/>
  <c r="M732" i="8"/>
  <c r="J732" i="8"/>
  <c r="H732" i="8"/>
  <c r="B732" i="8"/>
  <c r="A732" i="8"/>
  <c r="AA731" i="8"/>
  <c r="W731" i="8"/>
  <c r="U731" i="8"/>
  <c r="P731" i="8"/>
  <c r="M731" i="8"/>
  <c r="J731" i="8"/>
  <c r="H731" i="8"/>
  <c r="B731" i="8"/>
  <c r="A731" i="8"/>
  <c r="AA730" i="8"/>
  <c r="W730" i="8"/>
  <c r="U730" i="8"/>
  <c r="P730" i="8"/>
  <c r="M730" i="8"/>
  <c r="J730" i="8"/>
  <c r="H730" i="8"/>
  <c r="B730" i="8"/>
  <c r="A730" i="8"/>
  <c r="AA729" i="8"/>
  <c r="W729" i="8"/>
  <c r="U729" i="8"/>
  <c r="P729" i="8"/>
  <c r="M729" i="8"/>
  <c r="J729" i="8"/>
  <c r="H729" i="8"/>
  <c r="B729" i="8"/>
  <c r="A729" i="8"/>
  <c r="AA728" i="8"/>
  <c r="W728" i="8"/>
  <c r="U728" i="8"/>
  <c r="P728" i="8"/>
  <c r="M728" i="8"/>
  <c r="J728" i="8"/>
  <c r="H728" i="8"/>
  <c r="B728" i="8"/>
  <c r="A728" i="8"/>
  <c r="AA727" i="8"/>
  <c r="W727" i="8"/>
  <c r="U727" i="8"/>
  <c r="P727" i="8"/>
  <c r="M727" i="8"/>
  <c r="J727" i="8"/>
  <c r="H727" i="8"/>
  <c r="B727" i="8"/>
  <c r="A727" i="8"/>
  <c r="AA726" i="8"/>
  <c r="W726" i="8"/>
  <c r="U726" i="8"/>
  <c r="P726" i="8"/>
  <c r="M726" i="8"/>
  <c r="J726" i="8"/>
  <c r="H726" i="8"/>
  <c r="B726" i="8"/>
  <c r="A726" i="8"/>
  <c r="AA725" i="8"/>
  <c r="W725" i="8"/>
  <c r="U725" i="8"/>
  <c r="P725" i="8"/>
  <c r="M725" i="8"/>
  <c r="J725" i="8"/>
  <c r="H725" i="8"/>
  <c r="B725" i="8"/>
  <c r="A725" i="8"/>
  <c r="AA724" i="8"/>
  <c r="W724" i="8"/>
  <c r="U724" i="8"/>
  <c r="P724" i="8"/>
  <c r="M724" i="8"/>
  <c r="J724" i="8"/>
  <c r="H724" i="8"/>
  <c r="B724" i="8"/>
  <c r="A724" i="8"/>
  <c r="AA723" i="8"/>
  <c r="W723" i="8"/>
  <c r="U723" i="8"/>
  <c r="P723" i="8"/>
  <c r="M723" i="8"/>
  <c r="J723" i="8"/>
  <c r="H723" i="8"/>
  <c r="B723" i="8"/>
  <c r="A723" i="8"/>
  <c r="AA722" i="8"/>
  <c r="W722" i="8"/>
  <c r="U722" i="8"/>
  <c r="R722" i="8"/>
  <c r="Q722" i="8"/>
  <c r="P722" i="8"/>
  <c r="M722" i="8"/>
  <c r="J722" i="8"/>
  <c r="H722" i="8"/>
  <c r="B722" i="8"/>
  <c r="A722" i="8"/>
  <c r="AA721" i="8"/>
  <c r="W721" i="8"/>
  <c r="U721" i="8"/>
  <c r="P721" i="8"/>
  <c r="M721" i="8"/>
  <c r="J721" i="8"/>
  <c r="H721" i="8"/>
  <c r="B721" i="8"/>
  <c r="A721" i="8"/>
  <c r="AA720" i="8"/>
  <c r="W720" i="8"/>
  <c r="U720" i="8"/>
  <c r="P720" i="8"/>
  <c r="M720" i="8"/>
  <c r="J720" i="8"/>
  <c r="H720" i="8"/>
  <c r="B720" i="8"/>
  <c r="A720" i="8"/>
  <c r="AA719" i="8"/>
  <c r="W719" i="8"/>
  <c r="U719" i="8"/>
  <c r="P719" i="8"/>
  <c r="M719" i="8"/>
  <c r="J719" i="8"/>
  <c r="H719" i="8"/>
  <c r="B719" i="8"/>
  <c r="A719" i="8"/>
  <c r="AA718" i="8"/>
  <c r="W718" i="8"/>
  <c r="U718" i="8"/>
  <c r="P718" i="8"/>
  <c r="M718" i="8"/>
  <c r="J718" i="8"/>
  <c r="H718" i="8"/>
  <c r="B718" i="8"/>
  <c r="A718" i="8"/>
  <c r="AA717" i="8"/>
  <c r="W717" i="8"/>
  <c r="U717" i="8"/>
  <c r="P717" i="8"/>
  <c r="M717" i="8"/>
  <c r="J717" i="8"/>
  <c r="H717" i="8"/>
  <c r="B717" i="8"/>
  <c r="A717" i="8"/>
  <c r="AA716" i="8"/>
  <c r="W716" i="8"/>
  <c r="U716" i="8"/>
  <c r="R716" i="8"/>
  <c r="Q716" i="8"/>
  <c r="P716" i="8"/>
  <c r="M716" i="8"/>
  <c r="J716" i="8"/>
  <c r="H716" i="8"/>
  <c r="B716" i="8"/>
  <c r="A716" i="8"/>
  <c r="AA715" i="8"/>
  <c r="W715" i="8"/>
  <c r="U715" i="8"/>
  <c r="P715" i="8"/>
  <c r="M715" i="8"/>
  <c r="J715" i="8"/>
  <c r="H715" i="8"/>
  <c r="B715" i="8"/>
  <c r="A715" i="8"/>
  <c r="AA714" i="8"/>
  <c r="W714" i="8"/>
  <c r="U714" i="8"/>
  <c r="P714" i="8"/>
  <c r="M714" i="8"/>
  <c r="J714" i="8"/>
  <c r="H714" i="8"/>
  <c r="B714" i="8"/>
  <c r="A714" i="8"/>
  <c r="AA713" i="8"/>
  <c r="W713" i="8"/>
  <c r="U713" i="8"/>
  <c r="P713" i="8"/>
  <c r="M713" i="8"/>
  <c r="J713" i="8"/>
  <c r="H713" i="8"/>
  <c r="B713" i="8"/>
  <c r="A713" i="8"/>
  <c r="AA712" i="8"/>
  <c r="W712" i="8"/>
  <c r="U712" i="8"/>
  <c r="R712" i="8"/>
  <c r="Q712" i="8"/>
  <c r="P712" i="8"/>
  <c r="M712" i="8"/>
  <c r="J712" i="8"/>
  <c r="H712" i="8"/>
  <c r="B712" i="8"/>
  <c r="A712" i="8"/>
  <c r="AA711" i="8"/>
  <c r="W711" i="8"/>
  <c r="U711" i="8"/>
  <c r="P711" i="8"/>
  <c r="M711" i="8"/>
  <c r="J711" i="8"/>
  <c r="H711" i="8"/>
  <c r="B711" i="8"/>
  <c r="A711" i="8"/>
  <c r="AA710" i="8"/>
  <c r="W710" i="8"/>
  <c r="U710" i="8"/>
  <c r="P710" i="8"/>
  <c r="M710" i="8"/>
  <c r="J710" i="8"/>
  <c r="H710" i="8"/>
  <c r="B710" i="8"/>
  <c r="A710" i="8"/>
  <c r="AA709" i="8"/>
  <c r="W709" i="8"/>
  <c r="U709" i="8"/>
  <c r="P709" i="8"/>
  <c r="M709" i="8"/>
  <c r="J709" i="8"/>
  <c r="H709" i="8"/>
  <c r="B709" i="8"/>
  <c r="A709" i="8"/>
  <c r="AA708" i="8"/>
  <c r="W708" i="8"/>
  <c r="U708" i="8"/>
  <c r="P708" i="8"/>
  <c r="M708" i="8"/>
  <c r="J708" i="8"/>
  <c r="H708" i="8"/>
  <c r="B708" i="8"/>
  <c r="A708" i="8"/>
  <c r="AA707" i="8"/>
  <c r="W707" i="8"/>
  <c r="U707" i="8"/>
  <c r="P707" i="8"/>
  <c r="M707" i="8"/>
  <c r="J707" i="8"/>
  <c r="H707" i="8"/>
  <c r="B707" i="8"/>
  <c r="A707" i="8"/>
  <c r="AA706" i="8"/>
  <c r="W706" i="8"/>
  <c r="U706" i="8"/>
  <c r="P706" i="8"/>
  <c r="M706" i="8"/>
  <c r="J706" i="8"/>
  <c r="H706" i="8"/>
  <c r="B706" i="8"/>
  <c r="A706" i="8"/>
  <c r="AA705" i="8"/>
  <c r="W705" i="8"/>
  <c r="U705" i="8"/>
  <c r="P705" i="8"/>
  <c r="M705" i="8"/>
  <c r="J705" i="8"/>
  <c r="H705" i="8"/>
  <c r="B705" i="8"/>
  <c r="A705" i="8"/>
  <c r="AA704" i="8"/>
  <c r="W704" i="8"/>
  <c r="U704" i="8"/>
  <c r="P704" i="8"/>
  <c r="M704" i="8"/>
  <c r="J704" i="8"/>
  <c r="H704" i="8"/>
  <c r="B704" i="8"/>
  <c r="A704" i="8"/>
  <c r="AA703" i="8"/>
  <c r="W703" i="8"/>
  <c r="U703" i="8"/>
  <c r="R703" i="8"/>
  <c r="Q703" i="8"/>
  <c r="P703" i="8"/>
  <c r="M703" i="8"/>
  <c r="J703" i="8"/>
  <c r="H703" i="8"/>
  <c r="B703" i="8"/>
  <c r="A703" i="8"/>
  <c r="AA702" i="8"/>
  <c r="W702" i="8"/>
  <c r="U702" i="8"/>
  <c r="R702" i="8"/>
  <c r="Q702" i="8"/>
  <c r="P702" i="8"/>
  <c r="M702" i="8"/>
  <c r="J702" i="8"/>
  <c r="H702" i="8"/>
  <c r="B702" i="8"/>
  <c r="A702" i="8"/>
  <c r="AA701" i="8"/>
  <c r="W701" i="8"/>
  <c r="U701" i="8"/>
  <c r="P701" i="8"/>
  <c r="M701" i="8"/>
  <c r="J701" i="8"/>
  <c r="H701" i="8"/>
  <c r="B701" i="8"/>
  <c r="A701" i="8"/>
  <c r="AA700" i="8"/>
  <c r="W700" i="8"/>
  <c r="U700" i="8"/>
  <c r="P700" i="8"/>
  <c r="M700" i="8"/>
  <c r="J700" i="8"/>
  <c r="H700" i="8"/>
  <c r="B700" i="8"/>
  <c r="A700" i="8"/>
  <c r="AA699" i="8"/>
  <c r="W699" i="8"/>
  <c r="U699" i="8"/>
  <c r="P699" i="8"/>
  <c r="M699" i="8"/>
  <c r="J699" i="8"/>
  <c r="H699" i="8"/>
  <c r="B699" i="8"/>
  <c r="A699" i="8"/>
  <c r="AA698" i="8"/>
  <c r="W698" i="8"/>
  <c r="U698" i="8"/>
  <c r="P698" i="8"/>
  <c r="M698" i="8"/>
  <c r="J698" i="8"/>
  <c r="H698" i="8"/>
  <c r="B698" i="8"/>
  <c r="A698" i="8"/>
  <c r="AA697" i="8"/>
  <c r="W697" i="8"/>
  <c r="U697" i="8"/>
  <c r="P697" i="8"/>
  <c r="M697" i="8"/>
  <c r="J697" i="8"/>
  <c r="H697" i="8"/>
  <c r="B697" i="8"/>
  <c r="A697" i="8"/>
  <c r="AA696" i="8"/>
  <c r="W696" i="8"/>
  <c r="U696" i="8"/>
  <c r="R696" i="8"/>
  <c r="Q696" i="8"/>
  <c r="P696" i="8"/>
  <c r="M696" i="8"/>
  <c r="J696" i="8"/>
  <c r="H696" i="8"/>
  <c r="B696" i="8"/>
  <c r="A696" i="8"/>
  <c r="AA695" i="8"/>
  <c r="W695" i="8"/>
  <c r="U695" i="8"/>
  <c r="P695" i="8"/>
  <c r="M695" i="8"/>
  <c r="J695" i="8"/>
  <c r="H695" i="8"/>
  <c r="B695" i="8"/>
  <c r="A695" i="8"/>
  <c r="AA694" i="8"/>
  <c r="W694" i="8"/>
  <c r="U694" i="8"/>
  <c r="P694" i="8"/>
  <c r="M694" i="8"/>
  <c r="J694" i="8"/>
  <c r="H694" i="8"/>
  <c r="B694" i="8"/>
  <c r="A694" i="8"/>
  <c r="AA693" i="8"/>
  <c r="W693" i="8"/>
  <c r="U693" i="8"/>
  <c r="P693" i="8"/>
  <c r="M693" i="8"/>
  <c r="J693" i="8"/>
  <c r="H693" i="8"/>
  <c r="B693" i="8"/>
  <c r="A693" i="8"/>
  <c r="AA692" i="8"/>
  <c r="W692" i="8"/>
  <c r="U692" i="8"/>
  <c r="P692" i="8"/>
  <c r="M692" i="8"/>
  <c r="J692" i="8"/>
  <c r="H692" i="8"/>
  <c r="B692" i="8"/>
  <c r="A692" i="8"/>
  <c r="AA691" i="8"/>
  <c r="W691" i="8"/>
  <c r="U691" i="8"/>
  <c r="P691" i="8"/>
  <c r="M691" i="8"/>
  <c r="J691" i="8"/>
  <c r="H691" i="8"/>
  <c r="B691" i="8"/>
  <c r="A691" i="8"/>
  <c r="AA690" i="8"/>
  <c r="W690" i="8"/>
  <c r="U690" i="8"/>
  <c r="R690" i="8"/>
  <c r="Q690" i="8"/>
  <c r="P690" i="8"/>
  <c r="M690" i="8"/>
  <c r="J690" i="8"/>
  <c r="H690" i="8"/>
  <c r="B690" i="8"/>
  <c r="A690" i="8"/>
  <c r="AA689" i="8"/>
  <c r="W689" i="8"/>
  <c r="U689" i="8"/>
  <c r="P689" i="8"/>
  <c r="M689" i="8"/>
  <c r="J689" i="8"/>
  <c r="H689" i="8"/>
  <c r="B689" i="8"/>
  <c r="A689" i="8"/>
  <c r="AA688" i="8"/>
  <c r="W688" i="8"/>
  <c r="U688" i="8"/>
  <c r="R688" i="8"/>
  <c r="Q688" i="8"/>
  <c r="P688" i="8"/>
  <c r="M688" i="8"/>
  <c r="J688" i="8"/>
  <c r="H688" i="8"/>
  <c r="B688" i="8"/>
  <c r="A688" i="8"/>
  <c r="AA687" i="8"/>
  <c r="W687" i="8"/>
  <c r="U687" i="8"/>
  <c r="R687" i="8"/>
  <c r="Q687" i="8"/>
  <c r="P687" i="8"/>
  <c r="M687" i="8"/>
  <c r="J687" i="8"/>
  <c r="H687" i="8"/>
  <c r="B687" i="8"/>
  <c r="A687" i="8"/>
  <c r="AA686" i="8"/>
  <c r="W686" i="8"/>
  <c r="U686" i="8"/>
  <c r="R686" i="8"/>
  <c r="Q686" i="8"/>
  <c r="P686" i="8"/>
  <c r="M686" i="8"/>
  <c r="J686" i="8"/>
  <c r="H686" i="8"/>
  <c r="B686" i="8"/>
  <c r="A686" i="8"/>
  <c r="AA685" i="8"/>
  <c r="W685" i="8"/>
  <c r="U685" i="8"/>
  <c r="P685" i="8"/>
  <c r="M685" i="8"/>
  <c r="J685" i="8"/>
  <c r="H685" i="8"/>
  <c r="B685" i="8"/>
  <c r="A685" i="8"/>
  <c r="AA684" i="8"/>
  <c r="W684" i="8"/>
  <c r="U684" i="8"/>
  <c r="P684" i="8"/>
  <c r="M684" i="8"/>
  <c r="J684" i="8"/>
  <c r="H684" i="8"/>
  <c r="B684" i="8"/>
  <c r="A684" i="8"/>
  <c r="AA683" i="8"/>
  <c r="W683" i="8"/>
  <c r="U683" i="8"/>
  <c r="P683" i="8"/>
  <c r="M683" i="8"/>
  <c r="J683" i="8"/>
  <c r="H683" i="8"/>
  <c r="B683" i="8"/>
  <c r="A683" i="8"/>
  <c r="AA682" i="8"/>
  <c r="W682" i="8"/>
  <c r="U682" i="8"/>
  <c r="P682" i="8"/>
  <c r="M682" i="8"/>
  <c r="J682" i="8"/>
  <c r="H682" i="8"/>
  <c r="B682" i="8"/>
  <c r="A682" i="8"/>
  <c r="AA681" i="8"/>
  <c r="W681" i="8"/>
  <c r="U681" i="8"/>
  <c r="P681" i="8"/>
  <c r="M681" i="8"/>
  <c r="J681" i="8"/>
  <c r="H681" i="8"/>
  <c r="B681" i="8"/>
  <c r="A681" i="8"/>
  <c r="AA680" i="8"/>
  <c r="W680" i="8"/>
  <c r="U680" i="8"/>
  <c r="P680" i="8"/>
  <c r="M680" i="8"/>
  <c r="J680" i="8"/>
  <c r="H680" i="8"/>
  <c r="B680" i="8"/>
  <c r="A680" i="8"/>
  <c r="AA679" i="8"/>
  <c r="W679" i="8"/>
  <c r="U679" i="8"/>
  <c r="P679" i="8"/>
  <c r="M679" i="8"/>
  <c r="J679" i="8"/>
  <c r="H679" i="8"/>
  <c r="B679" i="8"/>
  <c r="A679" i="8"/>
  <c r="AA678" i="8"/>
  <c r="W678" i="8"/>
  <c r="U678" i="8"/>
  <c r="P678" i="8"/>
  <c r="M678" i="8"/>
  <c r="J678" i="8"/>
  <c r="H678" i="8"/>
  <c r="B678" i="8"/>
  <c r="A678" i="8"/>
  <c r="AA677" i="8"/>
  <c r="W677" i="8"/>
  <c r="U677" i="8"/>
  <c r="R677" i="8"/>
  <c r="Q677" i="8"/>
  <c r="P677" i="8"/>
  <c r="M677" i="8"/>
  <c r="J677" i="8"/>
  <c r="H677" i="8"/>
  <c r="B677" i="8"/>
  <c r="A677" i="8"/>
  <c r="AA676" i="8"/>
  <c r="W676" i="8"/>
  <c r="U676" i="8"/>
  <c r="R676" i="8"/>
  <c r="Q676" i="8"/>
  <c r="P676" i="8"/>
  <c r="M676" i="8"/>
  <c r="J676" i="8"/>
  <c r="H676" i="8"/>
  <c r="B676" i="8"/>
  <c r="A676" i="8"/>
  <c r="AA675" i="8"/>
  <c r="W675" i="8"/>
  <c r="U675" i="8"/>
  <c r="P675" i="8"/>
  <c r="M675" i="8"/>
  <c r="J675" i="8"/>
  <c r="H675" i="8"/>
  <c r="B675" i="8"/>
  <c r="A675" i="8"/>
  <c r="AA674" i="8"/>
  <c r="W674" i="8"/>
  <c r="U674" i="8"/>
  <c r="P674" i="8"/>
  <c r="M674" i="8"/>
  <c r="J674" i="8"/>
  <c r="H674" i="8"/>
  <c r="B674" i="8"/>
  <c r="A674" i="8"/>
  <c r="AA673" i="8"/>
  <c r="W673" i="8"/>
  <c r="U673" i="8"/>
  <c r="P673" i="8"/>
  <c r="M673" i="8"/>
  <c r="J673" i="8"/>
  <c r="H673" i="8"/>
  <c r="B673" i="8"/>
  <c r="A673" i="8"/>
  <c r="AA672" i="8"/>
  <c r="W672" i="8"/>
  <c r="U672" i="8"/>
  <c r="P672" i="8"/>
  <c r="M672" i="8"/>
  <c r="J672" i="8"/>
  <c r="H672" i="8"/>
  <c r="B672" i="8"/>
  <c r="A672" i="8"/>
  <c r="AA671" i="8"/>
  <c r="W671" i="8"/>
  <c r="U671" i="8"/>
  <c r="P671" i="8"/>
  <c r="M671" i="8"/>
  <c r="J671" i="8"/>
  <c r="H671" i="8"/>
  <c r="B671" i="8"/>
  <c r="A671" i="8"/>
  <c r="AA670" i="8"/>
  <c r="W670" i="8"/>
  <c r="U670" i="8"/>
  <c r="R670" i="8"/>
  <c r="Q670" i="8"/>
  <c r="P670" i="8"/>
  <c r="M670" i="8"/>
  <c r="J670" i="8"/>
  <c r="H670" i="8"/>
  <c r="B670" i="8"/>
  <c r="A670" i="8"/>
  <c r="AA669" i="8"/>
  <c r="W669" i="8"/>
  <c r="U669" i="8"/>
  <c r="P669" i="8"/>
  <c r="M669" i="8"/>
  <c r="J669" i="8"/>
  <c r="H669" i="8"/>
  <c r="B669" i="8"/>
  <c r="A669" i="8"/>
  <c r="AA668" i="8"/>
  <c r="W668" i="8"/>
  <c r="U668" i="8"/>
  <c r="P668" i="8"/>
  <c r="M668" i="8"/>
  <c r="J668" i="8"/>
  <c r="H668" i="8"/>
  <c r="B668" i="8"/>
  <c r="A668" i="8"/>
  <c r="AA667" i="8"/>
  <c r="W667" i="8"/>
  <c r="U667" i="8"/>
  <c r="P667" i="8"/>
  <c r="M667" i="8"/>
  <c r="J667" i="8"/>
  <c r="H667" i="8"/>
  <c r="B667" i="8"/>
  <c r="A667" i="8"/>
  <c r="AA666" i="8"/>
  <c r="W666" i="8"/>
  <c r="U666" i="8"/>
  <c r="P666" i="8"/>
  <c r="M666" i="8"/>
  <c r="J666" i="8"/>
  <c r="H666" i="8"/>
  <c r="B666" i="8"/>
  <c r="A666" i="8"/>
  <c r="AA665" i="8"/>
  <c r="W665" i="8"/>
  <c r="U665" i="8"/>
  <c r="R665" i="8"/>
  <c r="Q665" i="8"/>
  <c r="P665" i="8"/>
  <c r="M665" i="8"/>
  <c r="J665" i="8"/>
  <c r="H665" i="8"/>
  <c r="B665" i="8"/>
  <c r="A665" i="8"/>
  <c r="AA664" i="8"/>
  <c r="W664" i="8"/>
  <c r="U664" i="8"/>
  <c r="P664" i="8"/>
  <c r="M664" i="8"/>
  <c r="J664" i="8"/>
  <c r="H664" i="8"/>
  <c r="B664" i="8"/>
  <c r="A664" i="8"/>
  <c r="AA663" i="8"/>
  <c r="W663" i="8"/>
  <c r="U663" i="8"/>
  <c r="P663" i="8"/>
  <c r="M663" i="8"/>
  <c r="J663" i="8"/>
  <c r="H663" i="8"/>
  <c r="B663" i="8"/>
  <c r="A663" i="8"/>
  <c r="AA662" i="8"/>
  <c r="W662" i="8"/>
  <c r="U662" i="8"/>
  <c r="P662" i="8"/>
  <c r="M662" i="8"/>
  <c r="J662" i="8"/>
  <c r="H662" i="8"/>
  <c r="B662" i="8"/>
  <c r="A662" i="8"/>
  <c r="AA661" i="8"/>
  <c r="W661" i="8"/>
  <c r="U661" i="8"/>
  <c r="P661" i="8"/>
  <c r="M661" i="8"/>
  <c r="J661" i="8"/>
  <c r="H661" i="8"/>
  <c r="B661" i="8"/>
  <c r="A661" i="8"/>
  <c r="AA660" i="8"/>
  <c r="W660" i="8"/>
  <c r="U660" i="8"/>
  <c r="P660" i="8"/>
  <c r="M660" i="8"/>
  <c r="J660" i="8"/>
  <c r="H660" i="8"/>
  <c r="B660" i="8"/>
  <c r="A660" i="8"/>
  <c r="AA659" i="8"/>
  <c r="W659" i="8"/>
  <c r="U659" i="8"/>
  <c r="R659" i="8"/>
  <c r="Q659" i="8"/>
  <c r="P659" i="8"/>
  <c r="M659" i="8"/>
  <c r="J659" i="8"/>
  <c r="H659" i="8"/>
  <c r="B659" i="8"/>
  <c r="A659" i="8"/>
  <c r="AA658" i="8"/>
  <c r="W658" i="8"/>
  <c r="U658" i="8"/>
  <c r="P658" i="8"/>
  <c r="M658" i="8"/>
  <c r="J658" i="8"/>
  <c r="H658" i="8"/>
  <c r="B658" i="8"/>
  <c r="A658" i="8"/>
  <c r="AA657" i="8"/>
  <c r="W657" i="8"/>
  <c r="U657" i="8"/>
  <c r="P657" i="8"/>
  <c r="M657" i="8"/>
  <c r="J657" i="8"/>
  <c r="H657" i="8"/>
  <c r="B657" i="8"/>
  <c r="A657" i="8"/>
  <c r="AA656" i="8"/>
  <c r="W656" i="8"/>
  <c r="U656" i="8"/>
  <c r="R656" i="8"/>
  <c r="Q656" i="8"/>
  <c r="P656" i="8"/>
  <c r="M656" i="8"/>
  <c r="J656" i="8"/>
  <c r="H656" i="8"/>
  <c r="B656" i="8"/>
  <c r="A656" i="8"/>
  <c r="AA655" i="8"/>
  <c r="W655" i="8"/>
  <c r="U655" i="8"/>
  <c r="P655" i="8"/>
  <c r="M655" i="8"/>
  <c r="J655" i="8"/>
  <c r="H655" i="8"/>
  <c r="B655" i="8"/>
  <c r="A655" i="8"/>
  <c r="AA654" i="8"/>
  <c r="W654" i="8"/>
  <c r="U654" i="8"/>
  <c r="P654" i="8"/>
  <c r="M654" i="8"/>
  <c r="J654" i="8"/>
  <c r="H654" i="8"/>
  <c r="B654" i="8"/>
  <c r="A654" i="8"/>
  <c r="AA653" i="8"/>
  <c r="W653" i="8"/>
  <c r="U653" i="8"/>
  <c r="R653" i="8"/>
  <c r="Q653" i="8"/>
  <c r="P653" i="8"/>
  <c r="M653" i="8"/>
  <c r="J653" i="8"/>
  <c r="H653" i="8"/>
  <c r="B653" i="8"/>
  <c r="A653" i="8"/>
  <c r="AA652" i="8"/>
  <c r="W652" i="8"/>
  <c r="U652" i="8"/>
  <c r="P652" i="8"/>
  <c r="M652" i="8"/>
  <c r="J652" i="8"/>
  <c r="H652" i="8"/>
  <c r="B652" i="8"/>
  <c r="A652" i="8"/>
  <c r="AA651" i="8"/>
  <c r="W651" i="8"/>
  <c r="U651" i="8"/>
  <c r="P651" i="8"/>
  <c r="M651" i="8"/>
  <c r="J651" i="8"/>
  <c r="H651" i="8"/>
  <c r="B651" i="8"/>
  <c r="A651" i="8"/>
  <c r="AA650" i="8"/>
  <c r="W650" i="8"/>
  <c r="U650" i="8"/>
  <c r="P650" i="8"/>
  <c r="M650" i="8"/>
  <c r="J650" i="8"/>
  <c r="H650" i="8"/>
  <c r="B650" i="8"/>
  <c r="A650" i="8"/>
  <c r="AA649" i="8"/>
  <c r="W649" i="8"/>
  <c r="U649" i="8"/>
  <c r="R649" i="8"/>
  <c r="Q649" i="8"/>
  <c r="P649" i="8"/>
  <c r="M649" i="8"/>
  <c r="J649" i="8"/>
  <c r="H649" i="8"/>
  <c r="B649" i="8"/>
  <c r="A649" i="8"/>
  <c r="AA648" i="8"/>
  <c r="W648" i="8"/>
  <c r="U648" i="8"/>
  <c r="R648" i="8"/>
  <c r="Q648" i="8"/>
  <c r="P648" i="8"/>
  <c r="M648" i="8"/>
  <c r="J648" i="8"/>
  <c r="H648" i="8"/>
  <c r="B648" i="8"/>
  <c r="A648" i="8"/>
  <c r="AA647" i="8"/>
  <c r="W647" i="8"/>
  <c r="U647" i="8"/>
  <c r="P647" i="8"/>
  <c r="M647" i="8"/>
  <c r="J647" i="8"/>
  <c r="H647" i="8"/>
  <c r="B647" i="8"/>
  <c r="A647" i="8"/>
  <c r="AA646" i="8"/>
  <c r="W646" i="8"/>
  <c r="U646" i="8"/>
  <c r="P646" i="8"/>
  <c r="M646" i="8"/>
  <c r="J646" i="8"/>
  <c r="H646" i="8"/>
  <c r="B646" i="8"/>
  <c r="A646" i="8"/>
  <c r="AA645" i="8"/>
  <c r="W645" i="8"/>
  <c r="U645" i="8"/>
  <c r="P645" i="8"/>
  <c r="M645" i="8"/>
  <c r="J645" i="8"/>
  <c r="H645" i="8"/>
  <c r="B645" i="8"/>
  <c r="A645" i="8"/>
  <c r="AA644" i="8"/>
  <c r="W644" i="8"/>
  <c r="U644" i="8"/>
  <c r="P644" i="8"/>
  <c r="M644" i="8"/>
  <c r="J644" i="8"/>
  <c r="H644" i="8"/>
  <c r="B644" i="8"/>
  <c r="A644" i="8"/>
  <c r="AA643" i="8"/>
  <c r="W643" i="8"/>
  <c r="U643" i="8"/>
  <c r="P643" i="8"/>
  <c r="M643" i="8"/>
  <c r="J643" i="8"/>
  <c r="H643" i="8"/>
  <c r="B643" i="8"/>
  <c r="A643" i="8"/>
  <c r="AA642" i="8"/>
  <c r="W642" i="8"/>
  <c r="U642" i="8"/>
  <c r="P642" i="8"/>
  <c r="M642" i="8"/>
  <c r="J642" i="8"/>
  <c r="H642" i="8"/>
  <c r="B642" i="8"/>
  <c r="A642" i="8"/>
  <c r="AA641" i="8"/>
  <c r="W641" i="8"/>
  <c r="U641" i="8"/>
  <c r="P641" i="8"/>
  <c r="M641" i="8"/>
  <c r="J641" i="8"/>
  <c r="H641" i="8"/>
  <c r="B641" i="8"/>
  <c r="A641" i="8"/>
  <c r="AA640" i="8"/>
  <c r="W640" i="8"/>
  <c r="U640" i="8"/>
  <c r="P640" i="8"/>
  <c r="M640" i="8"/>
  <c r="J640" i="8"/>
  <c r="H640" i="8"/>
  <c r="B640" i="8"/>
  <c r="A640" i="8"/>
  <c r="AA639" i="8"/>
  <c r="W639" i="8"/>
  <c r="U639" i="8"/>
  <c r="R639" i="8"/>
  <c r="Q639" i="8"/>
  <c r="P639" i="8"/>
  <c r="M639" i="8"/>
  <c r="J639" i="8"/>
  <c r="H639" i="8"/>
  <c r="B639" i="8"/>
  <c r="A639" i="8"/>
  <c r="AA638" i="8"/>
  <c r="W638" i="8"/>
  <c r="U638" i="8"/>
  <c r="P638" i="8"/>
  <c r="M638" i="8"/>
  <c r="J638" i="8"/>
  <c r="H638" i="8"/>
  <c r="B638" i="8"/>
  <c r="A638" i="8"/>
  <c r="AA637" i="8"/>
  <c r="W637" i="8"/>
  <c r="U637" i="8"/>
  <c r="R637" i="8"/>
  <c r="Q637" i="8"/>
  <c r="P637" i="8"/>
  <c r="M637" i="8"/>
  <c r="J637" i="8"/>
  <c r="H637" i="8"/>
  <c r="B637" i="8"/>
  <c r="A637" i="8"/>
  <c r="AA636" i="8"/>
  <c r="W636" i="8"/>
  <c r="U636" i="8"/>
  <c r="P636" i="8"/>
  <c r="M636" i="8"/>
  <c r="J636" i="8"/>
  <c r="H636" i="8"/>
  <c r="B636" i="8"/>
  <c r="A636" i="8"/>
  <c r="AA635" i="8"/>
  <c r="W635" i="8"/>
  <c r="U635" i="8"/>
  <c r="P635" i="8"/>
  <c r="M635" i="8"/>
  <c r="J635" i="8"/>
  <c r="H635" i="8"/>
  <c r="B635" i="8"/>
  <c r="A635" i="8"/>
  <c r="AA634" i="8"/>
  <c r="W634" i="8"/>
  <c r="U634" i="8"/>
  <c r="P634" i="8"/>
  <c r="M634" i="8"/>
  <c r="J634" i="8"/>
  <c r="H634" i="8"/>
  <c r="B634" i="8"/>
  <c r="A634" i="8"/>
  <c r="AA633" i="8"/>
  <c r="W633" i="8"/>
  <c r="U633" i="8"/>
  <c r="P633" i="8"/>
  <c r="M633" i="8"/>
  <c r="J633" i="8"/>
  <c r="H633" i="8"/>
  <c r="B633" i="8"/>
  <c r="A633" i="8"/>
  <c r="AA632" i="8"/>
  <c r="W632" i="8"/>
  <c r="U632" i="8"/>
  <c r="P632" i="8"/>
  <c r="M632" i="8"/>
  <c r="J632" i="8"/>
  <c r="H632" i="8"/>
  <c r="B632" i="8"/>
  <c r="A632" i="8"/>
  <c r="AA631" i="8"/>
  <c r="W631" i="8"/>
  <c r="U631" i="8"/>
  <c r="R631" i="8"/>
  <c r="Q631" i="8"/>
  <c r="P631" i="8"/>
  <c r="M631" i="8"/>
  <c r="J631" i="8"/>
  <c r="H631" i="8"/>
  <c r="B631" i="8"/>
  <c r="A631" i="8"/>
  <c r="AA630" i="8"/>
  <c r="W630" i="8"/>
  <c r="U630" i="8"/>
  <c r="R630" i="8"/>
  <c r="Q630" i="8"/>
  <c r="P630" i="8"/>
  <c r="M630" i="8"/>
  <c r="J630" i="8"/>
  <c r="H630" i="8"/>
  <c r="B630" i="8"/>
  <c r="A630" i="8"/>
  <c r="AA629" i="8"/>
  <c r="W629" i="8"/>
  <c r="U629" i="8"/>
  <c r="P629" i="8"/>
  <c r="M629" i="8"/>
  <c r="J629" i="8"/>
  <c r="H629" i="8"/>
  <c r="B629" i="8"/>
  <c r="A629" i="8"/>
  <c r="AA628" i="8"/>
  <c r="W628" i="8"/>
  <c r="U628" i="8"/>
  <c r="P628" i="8"/>
  <c r="M628" i="8"/>
  <c r="J628" i="8"/>
  <c r="H628" i="8"/>
  <c r="B628" i="8"/>
  <c r="A628" i="8"/>
  <c r="AA627" i="8"/>
  <c r="W627" i="8"/>
  <c r="U627" i="8"/>
  <c r="P627" i="8"/>
  <c r="M627" i="8"/>
  <c r="J627" i="8"/>
  <c r="H627" i="8"/>
  <c r="B627" i="8"/>
  <c r="A627" i="8"/>
  <c r="AA626" i="8"/>
  <c r="W626" i="8"/>
  <c r="U626" i="8"/>
  <c r="P626" i="8"/>
  <c r="M626" i="8"/>
  <c r="J626" i="8"/>
  <c r="H626" i="8"/>
  <c r="B626" i="8"/>
  <c r="A626" i="8"/>
  <c r="AA625" i="8"/>
  <c r="W625" i="8"/>
  <c r="U625" i="8"/>
  <c r="P625" i="8"/>
  <c r="M625" i="8"/>
  <c r="J625" i="8"/>
  <c r="H625" i="8"/>
  <c r="B625" i="8"/>
  <c r="A625" i="8"/>
  <c r="AA624" i="8"/>
  <c r="W624" i="8"/>
  <c r="U624" i="8"/>
  <c r="R624" i="8"/>
  <c r="Q624" i="8"/>
  <c r="P624" i="8"/>
  <c r="M624" i="8"/>
  <c r="J624" i="8"/>
  <c r="H624" i="8"/>
  <c r="B624" i="8"/>
  <c r="A624" i="8"/>
  <c r="AA623" i="8"/>
  <c r="W623" i="8"/>
  <c r="U623" i="8"/>
  <c r="R623" i="8"/>
  <c r="Q623" i="8"/>
  <c r="P623" i="8"/>
  <c r="M623" i="8"/>
  <c r="J623" i="8"/>
  <c r="H623" i="8"/>
  <c r="B623" i="8"/>
  <c r="A623" i="8"/>
  <c r="AA622" i="8"/>
  <c r="W622" i="8"/>
  <c r="U622" i="8"/>
  <c r="R622" i="8"/>
  <c r="Q622" i="8"/>
  <c r="P622" i="8"/>
  <c r="M622" i="8"/>
  <c r="J622" i="8"/>
  <c r="H622" i="8"/>
  <c r="B622" i="8"/>
  <c r="A622" i="8"/>
  <c r="AA621" i="8"/>
  <c r="W621" i="8"/>
  <c r="U621" i="8"/>
  <c r="P621" i="8"/>
  <c r="M621" i="8"/>
  <c r="J621" i="8"/>
  <c r="H621" i="8"/>
  <c r="B621" i="8"/>
  <c r="A621" i="8"/>
  <c r="AA620" i="8"/>
  <c r="W620" i="8"/>
  <c r="U620" i="8"/>
  <c r="P620" i="8"/>
  <c r="M620" i="8"/>
  <c r="J620" i="8"/>
  <c r="H620" i="8"/>
  <c r="B620" i="8"/>
  <c r="A620" i="8"/>
  <c r="AA619" i="8"/>
  <c r="W619" i="8"/>
  <c r="U619" i="8"/>
  <c r="P619" i="8"/>
  <c r="M619" i="8"/>
  <c r="J619" i="8"/>
  <c r="H619" i="8"/>
  <c r="B619" i="8"/>
  <c r="A619" i="8"/>
  <c r="AA618" i="8"/>
  <c r="W618" i="8"/>
  <c r="U618" i="8"/>
  <c r="P618" i="8"/>
  <c r="M618" i="8"/>
  <c r="J618" i="8"/>
  <c r="H618" i="8"/>
  <c r="B618" i="8"/>
  <c r="A618" i="8"/>
  <c r="AA617" i="8"/>
  <c r="W617" i="8"/>
  <c r="U617" i="8"/>
  <c r="P617" i="8"/>
  <c r="M617" i="8"/>
  <c r="J617" i="8"/>
  <c r="H617" i="8"/>
  <c r="B617" i="8"/>
  <c r="A617" i="8"/>
  <c r="AA616" i="8"/>
  <c r="W616" i="8"/>
  <c r="U616" i="8"/>
  <c r="P616" i="8"/>
  <c r="M616" i="8"/>
  <c r="J616" i="8"/>
  <c r="H616" i="8"/>
  <c r="B616" i="8"/>
  <c r="A616" i="8"/>
  <c r="AA615" i="8"/>
  <c r="W615" i="8"/>
  <c r="U615" i="8"/>
  <c r="P615" i="8"/>
  <c r="M615" i="8"/>
  <c r="J615" i="8"/>
  <c r="H615" i="8"/>
  <c r="B615" i="8"/>
  <c r="A615" i="8"/>
  <c r="AA614" i="8"/>
  <c r="W614" i="8"/>
  <c r="U614" i="8"/>
  <c r="P614" i="8"/>
  <c r="M614" i="8"/>
  <c r="J614" i="8"/>
  <c r="H614" i="8"/>
  <c r="B614" i="8"/>
  <c r="A614" i="8"/>
  <c r="AA613" i="8"/>
  <c r="W613" i="8"/>
  <c r="U613" i="8"/>
  <c r="P613" i="8"/>
  <c r="M613" i="8"/>
  <c r="J613" i="8"/>
  <c r="H613" i="8"/>
  <c r="B613" i="8"/>
  <c r="A613" i="8"/>
  <c r="AA612" i="8"/>
  <c r="W612" i="8"/>
  <c r="U612" i="8"/>
  <c r="M612" i="8"/>
  <c r="J612" i="8"/>
  <c r="H612" i="8"/>
  <c r="B612" i="8"/>
  <c r="A612" i="8"/>
  <c r="AA611" i="8"/>
  <c r="W611" i="8"/>
  <c r="U611" i="8"/>
  <c r="P611" i="8"/>
  <c r="M611" i="8"/>
  <c r="J611" i="8"/>
  <c r="H611" i="8"/>
  <c r="B611" i="8"/>
  <c r="A611" i="8"/>
  <c r="AA610" i="8"/>
  <c r="W610" i="8"/>
  <c r="U610" i="8"/>
  <c r="P610" i="8"/>
  <c r="M610" i="8"/>
  <c r="J610" i="8"/>
  <c r="H610" i="8"/>
  <c r="B610" i="8"/>
  <c r="A610" i="8"/>
  <c r="AA609" i="8"/>
  <c r="W609" i="8"/>
  <c r="U609" i="8"/>
  <c r="R609" i="8"/>
  <c r="Q609" i="8"/>
  <c r="M609" i="8"/>
  <c r="J609" i="8"/>
  <c r="H609" i="8"/>
  <c r="B609" i="8"/>
  <c r="A609" i="8"/>
  <c r="AA608" i="8"/>
  <c r="W608" i="8"/>
  <c r="U608" i="8"/>
  <c r="P608" i="8"/>
  <c r="M608" i="8"/>
  <c r="J608" i="8"/>
  <c r="H608" i="8"/>
  <c r="B608" i="8"/>
  <c r="A608" i="8"/>
  <c r="AA607" i="8"/>
  <c r="W607" i="8"/>
  <c r="U607" i="8"/>
  <c r="P607" i="8"/>
  <c r="M607" i="8"/>
  <c r="J607" i="8"/>
  <c r="H607" i="8"/>
  <c r="B607" i="8"/>
  <c r="A607" i="8"/>
  <c r="AA606" i="8"/>
  <c r="W606" i="8"/>
  <c r="U606" i="8"/>
  <c r="P606" i="8"/>
  <c r="M606" i="8"/>
  <c r="J606" i="8"/>
  <c r="H606" i="8"/>
  <c r="B606" i="8"/>
  <c r="A606" i="8"/>
  <c r="AA605" i="8"/>
  <c r="W605" i="8"/>
  <c r="U605" i="8"/>
  <c r="P605" i="8"/>
  <c r="M605" i="8"/>
  <c r="J605" i="8"/>
  <c r="H605" i="8"/>
  <c r="B605" i="8"/>
  <c r="A605" i="8"/>
  <c r="AA604" i="8"/>
  <c r="W604" i="8"/>
  <c r="U604" i="8"/>
  <c r="P604" i="8"/>
  <c r="M604" i="8"/>
  <c r="J604" i="8"/>
  <c r="H604" i="8"/>
  <c r="B604" i="8"/>
  <c r="A604" i="8"/>
  <c r="AA603" i="8"/>
  <c r="W603" i="8"/>
  <c r="U603" i="8"/>
  <c r="M603" i="8"/>
  <c r="J603" i="8"/>
  <c r="H603" i="8"/>
  <c r="B603" i="8"/>
  <c r="A603" i="8"/>
  <c r="AA602" i="8"/>
  <c r="W602" i="8"/>
  <c r="U602" i="8"/>
  <c r="P602" i="8"/>
  <c r="M602" i="8"/>
  <c r="J602" i="8"/>
  <c r="H602" i="8"/>
  <c r="B602" i="8"/>
  <c r="A602" i="8"/>
  <c r="AA601" i="8"/>
  <c r="W601" i="8"/>
  <c r="U601" i="8"/>
  <c r="R601" i="8"/>
  <c r="Q601" i="8"/>
  <c r="P601" i="8"/>
  <c r="M601" i="8"/>
  <c r="J601" i="8"/>
  <c r="H601" i="8"/>
  <c r="B601" i="8"/>
  <c r="A601" i="8"/>
  <c r="AA600" i="8"/>
  <c r="W600" i="8"/>
  <c r="U600" i="8"/>
  <c r="P600" i="8"/>
  <c r="M600" i="8"/>
  <c r="J600" i="8"/>
  <c r="H600" i="8"/>
  <c r="B600" i="8"/>
  <c r="A600" i="8"/>
  <c r="AA599" i="8"/>
  <c r="W599" i="8"/>
  <c r="U599" i="8"/>
  <c r="P599" i="8"/>
  <c r="M599" i="8"/>
  <c r="J599" i="8"/>
  <c r="H599" i="8"/>
  <c r="B599" i="8"/>
  <c r="A599" i="8"/>
  <c r="AA598" i="8"/>
  <c r="W598" i="8"/>
  <c r="U598" i="8"/>
  <c r="P598" i="8"/>
  <c r="M598" i="8"/>
  <c r="J598" i="8"/>
  <c r="H598" i="8"/>
  <c r="B598" i="8"/>
  <c r="A598" i="8"/>
  <c r="AA597" i="8"/>
  <c r="W597" i="8"/>
  <c r="U597" i="8"/>
  <c r="P597" i="8"/>
  <c r="M597" i="8"/>
  <c r="J597" i="8"/>
  <c r="H597" i="8"/>
  <c r="B597" i="8"/>
  <c r="A597" i="8"/>
  <c r="AA596" i="8"/>
  <c r="W596" i="8"/>
  <c r="U596" i="8"/>
  <c r="P596" i="8"/>
  <c r="M596" i="8"/>
  <c r="J596" i="8"/>
  <c r="H596" i="8"/>
  <c r="B596" i="8"/>
  <c r="A596" i="8"/>
  <c r="AA595" i="8"/>
  <c r="W595" i="8"/>
  <c r="U595" i="8"/>
  <c r="P595" i="8"/>
  <c r="M595" i="8"/>
  <c r="J595" i="8"/>
  <c r="H595" i="8"/>
  <c r="B595" i="8"/>
  <c r="A595" i="8"/>
  <c r="AA594" i="8"/>
  <c r="W594" i="8"/>
  <c r="U594" i="8"/>
  <c r="P594" i="8"/>
  <c r="M594" i="8"/>
  <c r="J594" i="8"/>
  <c r="H594" i="8"/>
  <c r="B594" i="8"/>
  <c r="A594" i="8"/>
  <c r="AA593" i="8"/>
  <c r="W593" i="8"/>
  <c r="U593" i="8"/>
  <c r="P593" i="8"/>
  <c r="M593" i="8"/>
  <c r="J593" i="8"/>
  <c r="H593" i="8"/>
  <c r="B593" i="8"/>
  <c r="A593" i="8"/>
  <c r="AA592" i="8"/>
  <c r="W592" i="8"/>
  <c r="U592" i="8"/>
  <c r="R592" i="8"/>
  <c r="Q592" i="8"/>
  <c r="M592" i="8"/>
  <c r="J592" i="8"/>
  <c r="H592" i="8"/>
  <c r="B592" i="8"/>
  <c r="A592" i="8"/>
  <c r="AA591" i="8"/>
  <c r="W591" i="8"/>
  <c r="U591" i="8"/>
  <c r="M591" i="8"/>
  <c r="J591" i="8"/>
  <c r="H591" i="8"/>
  <c r="B591" i="8"/>
  <c r="A591" i="8"/>
  <c r="AA590" i="8"/>
  <c r="W590" i="8"/>
  <c r="U590" i="8"/>
  <c r="M590" i="8"/>
  <c r="J590" i="8"/>
  <c r="H590" i="8"/>
  <c r="B590" i="8"/>
  <c r="A590" i="8"/>
  <c r="AA589" i="8"/>
  <c r="W589" i="8"/>
  <c r="U589" i="8"/>
  <c r="M589" i="8"/>
  <c r="J589" i="8"/>
  <c r="H589" i="8"/>
  <c r="B589" i="8"/>
  <c r="A589" i="8"/>
  <c r="AA588" i="8"/>
  <c r="W588" i="8"/>
  <c r="U588" i="8"/>
  <c r="R588" i="8"/>
  <c r="Q588" i="8"/>
  <c r="P588" i="8"/>
  <c r="M588" i="8"/>
  <c r="J588" i="8"/>
  <c r="H588" i="8"/>
  <c r="B588" i="8"/>
  <c r="A588" i="8"/>
  <c r="AA587" i="8"/>
  <c r="W587" i="8"/>
  <c r="U587" i="8"/>
  <c r="P587" i="8"/>
  <c r="M587" i="8"/>
  <c r="J587" i="8"/>
  <c r="H587" i="8"/>
  <c r="B587" i="8"/>
  <c r="A587" i="8"/>
  <c r="AA586" i="8"/>
  <c r="W586" i="8"/>
  <c r="U586" i="8"/>
  <c r="P586" i="8"/>
  <c r="M586" i="8"/>
  <c r="J586" i="8"/>
  <c r="H586" i="8"/>
  <c r="B586" i="8"/>
  <c r="A586" i="8"/>
  <c r="AA585" i="8"/>
  <c r="W585" i="8"/>
  <c r="U585" i="8"/>
  <c r="P585" i="8"/>
  <c r="M585" i="8"/>
  <c r="J585" i="8"/>
  <c r="H585" i="8"/>
  <c r="B585" i="8"/>
  <c r="A585" i="8"/>
  <c r="AA584" i="8"/>
  <c r="W584" i="8"/>
  <c r="U584" i="8"/>
  <c r="P584" i="8"/>
  <c r="M584" i="8"/>
  <c r="J584" i="8"/>
  <c r="H584" i="8"/>
  <c r="B584" i="8"/>
  <c r="A584" i="8"/>
  <c r="AA583" i="8"/>
  <c r="W583" i="8"/>
  <c r="U583" i="8"/>
  <c r="P583" i="8"/>
  <c r="M583" i="8"/>
  <c r="J583" i="8"/>
  <c r="H583" i="8"/>
  <c r="B583" i="8"/>
  <c r="A583" i="8"/>
  <c r="AA582" i="8"/>
  <c r="W582" i="8"/>
  <c r="U582" i="8"/>
  <c r="P582" i="8"/>
  <c r="M582" i="8"/>
  <c r="J582" i="8"/>
  <c r="H582" i="8"/>
  <c r="B582" i="8"/>
  <c r="A582" i="8"/>
  <c r="AA581" i="8"/>
  <c r="W581" i="8"/>
  <c r="U581" i="8"/>
  <c r="P581" i="8"/>
  <c r="M581" i="8"/>
  <c r="J581" i="8"/>
  <c r="H581" i="8"/>
  <c r="B581" i="8"/>
  <c r="A581" i="8"/>
  <c r="AA580" i="8"/>
  <c r="W580" i="8"/>
  <c r="U580" i="8"/>
  <c r="M580" i="8"/>
  <c r="J580" i="8"/>
  <c r="H580" i="8"/>
  <c r="B580" i="8"/>
  <c r="A580" i="8"/>
  <c r="AA579" i="8"/>
  <c r="W579" i="8"/>
  <c r="U579" i="8"/>
  <c r="P579" i="8"/>
  <c r="M579" i="8"/>
  <c r="J579" i="8"/>
  <c r="H579" i="8"/>
  <c r="B579" i="8"/>
  <c r="A579" i="8"/>
  <c r="AA578" i="8"/>
  <c r="W578" i="8"/>
  <c r="U578" i="8"/>
  <c r="P578" i="8"/>
  <c r="M578" i="8"/>
  <c r="J578" i="8"/>
  <c r="H578" i="8"/>
  <c r="B578" i="8"/>
  <c r="A578" i="8"/>
  <c r="AA577" i="8"/>
  <c r="W577" i="8"/>
  <c r="U577" i="8"/>
  <c r="P577" i="8"/>
  <c r="M577" i="8"/>
  <c r="J577" i="8"/>
  <c r="H577" i="8"/>
  <c r="B577" i="8"/>
  <c r="A577" i="8"/>
  <c r="AA576" i="8"/>
  <c r="W576" i="8"/>
  <c r="U576" i="8"/>
  <c r="P576" i="8"/>
  <c r="M576" i="8"/>
  <c r="J576" i="8"/>
  <c r="H576" i="8"/>
  <c r="B576" i="8"/>
  <c r="A576" i="8"/>
  <c r="AA575" i="8"/>
  <c r="W575" i="8"/>
  <c r="U575" i="8"/>
  <c r="P575" i="8"/>
  <c r="M575" i="8"/>
  <c r="J575" i="8"/>
  <c r="H575" i="8"/>
  <c r="B575" i="8"/>
  <c r="A575" i="8"/>
  <c r="AA574" i="8"/>
  <c r="W574" i="8"/>
  <c r="U574" i="8"/>
  <c r="M574" i="8"/>
  <c r="J574" i="8"/>
  <c r="H574" i="8"/>
  <c r="B574" i="8"/>
  <c r="A574" i="8"/>
  <c r="AA573" i="8"/>
  <c r="W573" i="8"/>
  <c r="U573" i="8"/>
  <c r="P573" i="8"/>
  <c r="M573" i="8"/>
  <c r="J573" i="8"/>
  <c r="H573" i="8"/>
  <c r="B573" i="8"/>
  <c r="A573" i="8"/>
  <c r="AA572" i="8"/>
  <c r="W572" i="8"/>
  <c r="U572" i="8"/>
  <c r="P572" i="8"/>
  <c r="M572" i="8"/>
  <c r="J572" i="8"/>
  <c r="H572" i="8"/>
  <c r="B572" i="8"/>
  <c r="A572" i="8"/>
  <c r="AA571" i="8"/>
  <c r="W571" i="8"/>
  <c r="U571" i="8"/>
  <c r="P571" i="8"/>
  <c r="M571" i="8"/>
  <c r="J571" i="8"/>
  <c r="H571" i="8"/>
  <c r="B571" i="8"/>
  <c r="A571" i="8"/>
  <c r="AA570" i="8"/>
  <c r="W570" i="8"/>
  <c r="U570" i="8"/>
  <c r="P570" i="8"/>
  <c r="M570" i="8"/>
  <c r="J570" i="8"/>
  <c r="H570" i="8"/>
  <c r="B570" i="8"/>
  <c r="A570" i="8"/>
  <c r="AA569" i="8"/>
  <c r="W569" i="8"/>
  <c r="U569" i="8"/>
  <c r="P569" i="8"/>
  <c r="M569" i="8"/>
  <c r="J569" i="8"/>
  <c r="H569" i="8"/>
  <c r="B569" i="8"/>
  <c r="A569" i="8"/>
  <c r="AA568" i="8"/>
  <c r="W568" i="8"/>
  <c r="U568" i="8"/>
  <c r="P568" i="8"/>
  <c r="M568" i="8"/>
  <c r="J568" i="8"/>
  <c r="H568" i="8"/>
  <c r="B568" i="8"/>
  <c r="A568" i="8"/>
  <c r="AA567" i="8"/>
  <c r="W567" i="8"/>
  <c r="U567" i="8"/>
  <c r="P567" i="8"/>
  <c r="M567" i="8"/>
  <c r="J567" i="8"/>
  <c r="H567" i="8"/>
  <c r="B567" i="8"/>
  <c r="A567" i="8"/>
  <c r="AA566" i="8"/>
  <c r="W566" i="8"/>
  <c r="U566" i="8"/>
  <c r="P566" i="8"/>
  <c r="M566" i="8"/>
  <c r="J566" i="8"/>
  <c r="H566" i="8"/>
  <c r="B566" i="8"/>
  <c r="A566" i="8"/>
  <c r="AA565" i="8"/>
  <c r="W565" i="8"/>
  <c r="U565" i="8"/>
  <c r="P565" i="8"/>
  <c r="M565" i="8"/>
  <c r="J565" i="8"/>
  <c r="H565" i="8"/>
  <c r="B565" i="8"/>
  <c r="A565" i="8"/>
  <c r="AA564" i="8"/>
  <c r="W564" i="8"/>
  <c r="U564" i="8"/>
  <c r="P564" i="8"/>
  <c r="M564" i="8"/>
  <c r="J564" i="8"/>
  <c r="H564" i="8"/>
  <c r="B564" i="8"/>
  <c r="A564" i="8"/>
  <c r="AA563" i="8"/>
  <c r="W563" i="8"/>
  <c r="U563" i="8"/>
  <c r="M563" i="8"/>
  <c r="J563" i="8"/>
  <c r="H563" i="8"/>
  <c r="B563" i="8"/>
  <c r="A563" i="8"/>
  <c r="AA562" i="8"/>
  <c r="W562" i="8"/>
  <c r="U562" i="8"/>
  <c r="P562" i="8"/>
  <c r="M562" i="8"/>
  <c r="J562" i="8"/>
  <c r="H562" i="8"/>
  <c r="B562" i="8"/>
  <c r="A562" i="8"/>
  <c r="AA561" i="8"/>
  <c r="W561" i="8"/>
  <c r="U561" i="8"/>
  <c r="P561" i="8"/>
  <c r="M561" i="8"/>
  <c r="J561" i="8"/>
  <c r="H561" i="8"/>
  <c r="B561" i="8"/>
  <c r="A561" i="8"/>
  <c r="AA560" i="8"/>
  <c r="W560" i="8"/>
  <c r="U560" i="8"/>
  <c r="M560" i="8"/>
  <c r="J560" i="8"/>
  <c r="H560" i="8"/>
  <c r="B560" i="8"/>
  <c r="A560" i="8"/>
  <c r="AA559" i="8"/>
  <c r="W559" i="8"/>
  <c r="U559" i="8"/>
  <c r="P559" i="8"/>
  <c r="M559" i="8"/>
  <c r="J559" i="8"/>
  <c r="H559" i="8"/>
  <c r="B559" i="8"/>
  <c r="A559" i="8"/>
  <c r="AA558" i="8"/>
  <c r="W558" i="8"/>
  <c r="U558" i="8"/>
  <c r="M558" i="8"/>
  <c r="J558" i="8"/>
  <c r="H558" i="8"/>
  <c r="B558" i="8"/>
  <c r="A558" i="8"/>
  <c r="AA557" i="8"/>
  <c r="W557" i="8"/>
  <c r="U557" i="8"/>
  <c r="P557" i="8"/>
  <c r="M557" i="8"/>
  <c r="J557" i="8"/>
  <c r="H557" i="8"/>
  <c r="B557" i="8"/>
  <c r="A557" i="8"/>
  <c r="AA556" i="8"/>
  <c r="W556" i="8"/>
  <c r="U556" i="8"/>
  <c r="P556" i="8"/>
  <c r="M556" i="8"/>
  <c r="J556" i="8"/>
  <c r="H556" i="8"/>
  <c r="B556" i="8"/>
  <c r="A556" i="8"/>
  <c r="AA555" i="8"/>
  <c r="W555" i="8"/>
  <c r="U555" i="8"/>
  <c r="M555" i="8"/>
  <c r="J555" i="8"/>
  <c r="H555" i="8"/>
  <c r="B555" i="8"/>
  <c r="A555" i="8"/>
  <c r="AA554" i="8"/>
  <c r="W554" i="8"/>
  <c r="U554" i="8"/>
  <c r="P554" i="8"/>
  <c r="M554" i="8"/>
  <c r="J554" i="8"/>
  <c r="H554" i="8"/>
  <c r="B554" i="8"/>
  <c r="A554" i="8"/>
  <c r="AA553" i="8"/>
  <c r="W553" i="8"/>
  <c r="U553" i="8"/>
  <c r="P553" i="8"/>
  <c r="M553" i="8"/>
  <c r="J553" i="8"/>
  <c r="H553" i="8"/>
  <c r="B553" i="8"/>
  <c r="A553" i="8"/>
  <c r="AA552" i="8"/>
  <c r="W552" i="8"/>
  <c r="U552" i="8"/>
  <c r="P552" i="8"/>
  <c r="M552" i="8"/>
  <c r="J552" i="8"/>
  <c r="H552" i="8"/>
  <c r="B552" i="8"/>
  <c r="A552" i="8"/>
  <c r="AA551" i="8"/>
  <c r="W551" i="8"/>
  <c r="U551" i="8"/>
  <c r="M551" i="8"/>
  <c r="J551" i="8"/>
  <c r="H551" i="8"/>
  <c r="B551" i="8"/>
  <c r="A551" i="8"/>
  <c r="AA550" i="8"/>
  <c r="W550" i="8"/>
  <c r="U550" i="8"/>
  <c r="P550" i="8"/>
  <c r="M550" i="8"/>
  <c r="J550" i="8"/>
  <c r="H550" i="8"/>
  <c r="B550" i="8"/>
  <c r="A550" i="8"/>
  <c r="AA549" i="8"/>
  <c r="W549" i="8"/>
  <c r="U549" i="8"/>
  <c r="R549" i="8"/>
  <c r="Q549" i="8"/>
  <c r="P549" i="8"/>
  <c r="M549" i="8"/>
  <c r="J549" i="8"/>
  <c r="H549" i="8"/>
  <c r="B549" i="8"/>
  <c r="A549" i="8"/>
  <c r="AA548" i="8"/>
  <c r="W548" i="8"/>
  <c r="U548" i="8"/>
  <c r="P548" i="8"/>
  <c r="M548" i="8"/>
  <c r="J548" i="8"/>
  <c r="H548" i="8"/>
  <c r="B548" i="8"/>
  <c r="A548" i="8"/>
  <c r="AA547" i="8"/>
  <c r="W547" i="8"/>
  <c r="U547" i="8"/>
  <c r="P547" i="8"/>
  <c r="M547" i="8"/>
  <c r="J547" i="8"/>
  <c r="H547" i="8"/>
  <c r="B547" i="8"/>
  <c r="A547" i="8"/>
  <c r="AA546" i="8"/>
  <c r="W546" i="8"/>
  <c r="U546" i="8"/>
  <c r="P546" i="8"/>
  <c r="M546" i="8"/>
  <c r="J546" i="8"/>
  <c r="H546" i="8"/>
  <c r="B546" i="8"/>
  <c r="A546" i="8"/>
  <c r="AA545" i="8"/>
  <c r="W545" i="8"/>
  <c r="U545" i="8"/>
  <c r="P545" i="8"/>
  <c r="M545" i="8"/>
  <c r="J545" i="8"/>
  <c r="H545" i="8"/>
  <c r="B545" i="8"/>
  <c r="A545" i="8"/>
  <c r="AA544" i="8"/>
  <c r="W544" i="8"/>
  <c r="U544" i="8"/>
  <c r="P544" i="8"/>
  <c r="M544" i="8"/>
  <c r="J544" i="8"/>
  <c r="H544" i="8"/>
  <c r="B544" i="8"/>
  <c r="A544" i="8"/>
  <c r="AA543" i="8"/>
  <c r="W543" i="8"/>
  <c r="U543" i="8"/>
  <c r="P543" i="8"/>
  <c r="M543" i="8"/>
  <c r="J543" i="8"/>
  <c r="H543" i="8"/>
  <c r="B543" i="8"/>
  <c r="A543" i="8"/>
  <c r="AA542" i="8"/>
  <c r="W542" i="8"/>
  <c r="U542" i="8"/>
  <c r="P542" i="8"/>
  <c r="M542" i="8"/>
  <c r="J542" i="8"/>
  <c r="H542" i="8"/>
  <c r="B542" i="8"/>
  <c r="A542" i="8"/>
  <c r="AA541" i="8"/>
  <c r="W541" i="8"/>
  <c r="U541" i="8"/>
  <c r="P541" i="8"/>
  <c r="M541" i="8"/>
  <c r="J541" i="8"/>
  <c r="H541" i="8"/>
  <c r="B541" i="8"/>
  <c r="A541" i="8"/>
  <c r="AA540" i="8"/>
  <c r="W540" i="8"/>
  <c r="U540" i="8"/>
  <c r="R540" i="8"/>
  <c r="Q540" i="8"/>
  <c r="P540" i="8"/>
  <c r="M540" i="8"/>
  <c r="J540" i="8"/>
  <c r="H540" i="8"/>
  <c r="B540" i="8"/>
  <c r="A540" i="8"/>
  <c r="AA539" i="8"/>
  <c r="W539" i="8"/>
  <c r="U539" i="8"/>
  <c r="P539" i="8"/>
  <c r="M539" i="8"/>
  <c r="J539" i="8"/>
  <c r="H539" i="8"/>
  <c r="B539" i="8"/>
  <c r="A539" i="8"/>
  <c r="AA538" i="8"/>
  <c r="W538" i="8"/>
  <c r="U538" i="8"/>
  <c r="P538" i="8"/>
  <c r="M538" i="8"/>
  <c r="J538" i="8"/>
  <c r="H538" i="8"/>
  <c r="B538" i="8"/>
  <c r="A538" i="8"/>
  <c r="AA537" i="8"/>
  <c r="W537" i="8"/>
  <c r="U537" i="8"/>
  <c r="P537" i="8"/>
  <c r="M537" i="8"/>
  <c r="J537" i="8"/>
  <c r="H537" i="8"/>
  <c r="B537" i="8"/>
  <c r="A537" i="8"/>
  <c r="AA536" i="8"/>
  <c r="W536" i="8"/>
  <c r="U536" i="8"/>
  <c r="P536" i="8"/>
  <c r="M536" i="8"/>
  <c r="J536" i="8"/>
  <c r="H536" i="8"/>
  <c r="B536" i="8"/>
  <c r="A536" i="8"/>
  <c r="AA535" i="8"/>
  <c r="W535" i="8"/>
  <c r="U535" i="8"/>
  <c r="P535" i="8"/>
  <c r="M535" i="8"/>
  <c r="J535" i="8"/>
  <c r="H535" i="8"/>
  <c r="B535" i="8"/>
  <c r="A535" i="8"/>
  <c r="AA534" i="8"/>
  <c r="W534" i="8"/>
  <c r="U534" i="8"/>
  <c r="R534" i="8"/>
  <c r="Q534" i="8"/>
  <c r="P534" i="8"/>
  <c r="M534" i="8"/>
  <c r="J534" i="8"/>
  <c r="H534" i="8"/>
  <c r="B534" i="8"/>
  <c r="A534" i="8"/>
  <c r="AA533" i="8"/>
  <c r="W533" i="8"/>
  <c r="U533" i="8"/>
  <c r="M533" i="8"/>
  <c r="J533" i="8"/>
  <c r="H533" i="8"/>
  <c r="B533" i="8"/>
  <c r="A533" i="8"/>
  <c r="AA532" i="8"/>
  <c r="W532" i="8"/>
  <c r="U532" i="8"/>
  <c r="M532" i="8"/>
  <c r="J532" i="8"/>
  <c r="H532" i="8"/>
  <c r="B532" i="8"/>
  <c r="A532" i="8"/>
  <c r="AA531" i="8"/>
  <c r="W531" i="8"/>
  <c r="U531" i="8"/>
  <c r="P531" i="8"/>
  <c r="M531" i="8"/>
  <c r="J531" i="8"/>
  <c r="H531" i="8"/>
  <c r="B531" i="8"/>
  <c r="A531" i="8"/>
  <c r="AA530" i="8"/>
  <c r="W530" i="8"/>
  <c r="U530" i="8"/>
  <c r="M530" i="8"/>
  <c r="J530" i="8"/>
  <c r="H530" i="8"/>
  <c r="B530" i="8"/>
  <c r="A530" i="8"/>
  <c r="AA529" i="8"/>
  <c r="W529" i="8"/>
  <c r="U529" i="8"/>
  <c r="P529" i="8"/>
  <c r="M529" i="8"/>
  <c r="J529" i="8"/>
  <c r="H529" i="8"/>
  <c r="B529" i="8"/>
  <c r="A529" i="8"/>
  <c r="AA528" i="8"/>
  <c r="W528" i="8"/>
  <c r="U528" i="8"/>
  <c r="P528" i="8"/>
  <c r="M528" i="8"/>
  <c r="J528" i="8"/>
  <c r="H528" i="8"/>
  <c r="B528" i="8"/>
  <c r="A528" i="8"/>
  <c r="AA527" i="8"/>
  <c r="W527" i="8"/>
  <c r="U527" i="8"/>
  <c r="P527" i="8"/>
  <c r="M527" i="8"/>
  <c r="J527" i="8"/>
  <c r="H527" i="8"/>
  <c r="B527" i="8"/>
  <c r="A527" i="8"/>
  <c r="AA526" i="8"/>
  <c r="W526" i="8"/>
  <c r="U526" i="8"/>
  <c r="M526" i="8"/>
  <c r="J526" i="8"/>
  <c r="H526" i="8"/>
  <c r="B526" i="8"/>
  <c r="A526" i="8"/>
  <c r="AA525" i="8"/>
  <c r="W525" i="8"/>
  <c r="U525" i="8"/>
  <c r="P525" i="8"/>
  <c r="M525" i="8"/>
  <c r="J525" i="8"/>
  <c r="H525" i="8"/>
  <c r="B525" i="8"/>
  <c r="A525" i="8"/>
  <c r="AA524" i="8"/>
  <c r="W524" i="8"/>
  <c r="U524" i="8"/>
  <c r="P524" i="8"/>
  <c r="M524" i="8"/>
  <c r="J524" i="8"/>
  <c r="H524" i="8"/>
  <c r="B524" i="8"/>
  <c r="A524" i="8"/>
  <c r="AA523" i="8"/>
  <c r="W523" i="8"/>
  <c r="U523" i="8"/>
  <c r="P523" i="8"/>
  <c r="M523" i="8"/>
  <c r="J523" i="8"/>
  <c r="H523" i="8"/>
  <c r="B523" i="8"/>
  <c r="A523" i="8"/>
  <c r="AA522" i="8"/>
  <c r="W522" i="8"/>
  <c r="U522" i="8"/>
  <c r="R522" i="8"/>
  <c r="Q522" i="8"/>
  <c r="P522" i="8"/>
  <c r="M522" i="8"/>
  <c r="J522" i="8"/>
  <c r="H522" i="8"/>
  <c r="B522" i="8"/>
  <c r="A522" i="8"/>
  <c r="AA521" i="8"/>
  <c r="W521" i="8"/>
  <c r="U521" i="8"/>
  <c r="P521" i="8"/>
  <c r="M521" i="8"/>
  <c r="J521" i="8"/>
  <c r="H521" i="8"/>
  <c r="B521" i="8"/>
  <c r="A521" i="8"/>
  <c r="AA520" i="8"/>
  <c r="W520" i="8"/>
  <c r="U520" i="8"/>
  <c r="M520" i="8"/>
  <c r="J520" i="8"/>
  <c r="H520" i="8"/>
  <c r="B520" i="8"/>
  <c r="A520" i="8"/>
  <c r="AA519" i="8"/>
  <c r="W519" i="8"/>
  <c r="U519" i="8"/>
  <c r="P519" i="8"/>
  <c r="M519" i="8"/>
  <c r="J519" i="8"/>
  <c r="H519" i="8"/>
  <c r="B519" i="8"/>
  <c r="A519" i="8"/>
  <c r="AA518" i="8"/>
  <c r="W518" i="8"/>
  <c r="U518" i="8"/>
  <c r="P518" i="8"/>
  <c r="M518" i="8"/>
  <c r="J518" i="8"/>
  <c r="H518" i="8"/>
  <c r="B518" i="8"/>
  <c r="A518" i="8"/>
  <c r="AA517" i="8"/>
  <c r="W517" i="8"/>
  <c r="U517" i="8"/>
  <c r="P517" i="8"/>
  <c r="M517" i="8"/>
  <c r="J517" i="8"/>
  <c r="H517" i="8"/>
  <c r="B517" i="8"/>
  <c r="A517" i="8"/>
  <c r="AA516" i="8"/>
  <c r="W516" i="8"/>
  <c r="U516" i="8"/>
  <c r="M516" i="8"/>
  <c r="J516" i="8"/>
  <c r="H516" i="8"/>
  <c r="B516" i="8"/>
  <c r="A516" i="8"/>
  <c r="AA515" i="8"/>
  <c r="W515" i="8"/>
  <c r="U515" i="8"/>
  <c r="M515" i="8"/>
  <c r="J515" i="8"/>
  <c r="H515" i="8"/>
  <c r="B515" i="8"/>
  <c r="A515" i="8"/>
  <c r="AA514" i="8"/>
  <c r="W514" i="8"/>
  <c r="U514" i="8"/>
  <c r="P514" i="8"/>
  <c r="M514" i="8"/>
  <c r="J514" i="8"/>
  <c r="H514" i="8"/>
  <c r="B514" i="8"/>
  <c r="A514" i="8"/>
  <c r="AA513" i="8"/>
  <c r="W513" i="8"/>
  <c r="U513" i="8"/>
  <c r="P513" i="8"/>
  <c r="M513" i="8"/>
  <c r="J513" i="8"/>
  <c r="H513" i="8"/>
  <c r="B513" i="8"/>
  <c r="A513" i="8"/>
  <c r="AA512" i="8"/>
  <c r="W512" i="8"/>
  <c r="U512" i="8"/>
  <c r="P512" i="8"/>
  <c r="M512" i="8"/>
  <c r="J512" i="8"/>
  <c r="H512" i="8"/>
  <c r="B512" i="8"/>
  <c r="A512" i="8"/>
  <c r="AA511" i="8"/>
  <c r="W511" i="8"/>
  <c r="U511" i="8"/>
  <c r="P511" i="8"/>
  <c r="M511" i="8"/>
  <c r="J511" i="8"/>
  <c r="H511" i="8"/>
  <c r="B511" i="8"/>
  <c r="A511" i="8"/>
  <c r="AA510" i="8"/>
  <c r="W510" i="8"/>
  <c r="U510" i="8"/>
  <c r="R510" i="8"/>
  <c r="Q510" i="8"/>
  <c r="M510" i="8"/>
  <c r="J510" i="8"/>
  <c r="H510" i="8"/>
  <c r="B510" i="8"/>
  <c r="A510" i="8"/>
  <c r="AA509" i="8"/>
  <c r="W509" i="8"/>
  <c r="U509" i="8"/>
  <c r="P509" i="8"/>
  <c r="M509" i="8"/>
  <c r="J509" i="8"/>
  <c r="H509" i="8"/>
  <c r="B509" i="8"/>
  <c r="A509" i="8"/>
  <c r="AA508" i="8"/>
  <c r="W508" i="8"/>
  <c r="U508" i="8"/>
  <c r="R508" i="8"/>
  <c r="Q508" i="8"/>
  <c r="P508" i="8"/>
  <c r="M508" i="8"/>
  <c r="J508" i="8"/>
  <c r="H508" i="8"/>
  <c r="B508" i="8"/>
  <c r="A508" i="8"/>
  <c r="AA507" i="8"/>
  <c r="W507" i="8"/>
  <c r="U507" i="8"/>
  <c r="P507" i="8"/>
  <c r="M507" i="8"/>
  <c r="J507" i="8"/>
  <c r="H507" i="8"/>
  <c r="B507" i="8"/>
  <c r="A507" i="8"/>
  <c r="AA506" i="8"/>
  <c r="W506" i="8"/>
  <c r="U506" i="8"/>
  <c r="P506" i="8"/>
  <c r="M506" i="8"/>
  <c r="J506" i="8"/>
  <c r="H506" i="8"/>
  <c r="B506" i="8"/>
  <c r="A506" i="8"/>
  <c r="AA505" i="8"/>
  <c r="W505" i="8"/>
  <c r="U505" i="8"/>
  <c r="P505" i="8"/>
  <c r="M505" i="8"/>
  <c r="J505" i="8"/>
  <c r="H505" i="8"/>
  <c r="B505" i="8"/>
  <c r="A505" i="8"/>
  <c r="AA504" i="8"/>
  <c r="W504" i="8"/>
  <c r="U504" i="8"/>
  <c r="P504" i="8"/>
  <c r="M504" i="8"/>
  <c r="J504" i="8"/>
  <c r="H504" i="8"/>
  <c r="B504" i="8"/>
  <c r="A504" i="8"/>
  <c r="AA503" i="8"/>
  <c r="W503" i="8"/>
  <c r="U503" i="8"/>
  <c r="M503" i="8"/>
  <c r="J503" i="8"/>
  <c r="H503" i="8"/>
  <c r="B503" i="8"/>
  <c r="A503" i="8"/>
  <c r="AA502" i="8"/>
  <c r="W502" i="8"/>
  <c r="U502" i="8"/>
  <c r="P502" i="8"/>
  <c r="M502" i="8"/>
  <c r="J502" i="8"/>
  <c r="H502" i="8"/>
  <c r="B502" i="8"/>
  <c r="A502" i="8"/>
  <c r="AA501" i="8"/>
  <c r="W501" i="8"/>
  <c r="U501" i="8"/>
  <c r="P501" i="8"/>
  <c r="M501" i="8"/>
  <c r="J501" i="8"/>
  <c r="H501" i="8"/>
  <c r="B501" i="8"/>
  <c r="A501" i="8"/>
  <c r="AA500" i="8"/>
  <c r="W500" i="8"/>
  <c r="U500" i="8"/>
  <c r="P500" i="8"/>
  <c r="M500" i="8"/>
  <c r="J500" i="8"/>
  <c r="H500" i="8"/>
  <c r="B500" i="8"/>
  <c r="A500" i="8"/>
  <c r="AA499" i="8"/>
  <c r="W499" i="8"/>
  <c r="U499" i="8"/>
  <c r="M499" i="8"/>
  <c r="J499" i="8"/>
  <c r="H499" i="8"/>
  <c r="B499" i="8"/>
  <c r="A499" i="8"/>
  <c r="AA498" i="8"/>
  <c r="W498" i="8"/>
  <c r="U498" i="8"/>
  <c r="P498" i="8"/>
  <c r="M498" i="8"/>
  <c r="J498" i="8"/>
  <c r="H498" i="8"/>
  <c r="B498" i="8"/>
  <c r="A498" i="8"/>
  <c r="AA497" i="8"/>
  <c r="W497" i="8"/>
  <c r="U497" i="8"/>
  <c r="P497" i="8"/>
  <c r="M497" i="8"/>
  <c r="J497" i="8"/>
  <c r="H497" i="8"/>
  <c r="B497" i="8"/>
  <c r="A497" i="8"/>
  <c r="AA496" i="8"/>
  <c r="W496" i="8"/>
  <c r="U496" i="8"/>
  <c r="P496" i="8"/>
  <c r="M496" i="8"/>
  <c r="J496" i="8"/>
  <c r="H496" i="8"/>
  <c r="B496" i="8"/>
  <c r="A496" i="8"/>
  <c r="AA495" i="8"/>
  <c r="W495" i="8"/>
  <c r="U495" i="8"/>
  <c r="P495" i="8"/>
  <c r="M495" i="8"/>
  <c r="J495" i="8"/>
  <c r="H495" i="8"/>
  <c r="B495" i="8"/>
  <c r="A495" i="8"/>
  <c r="AA494" i="8"/>
  <c r="W494" i="8"/>
  <c r="U494" i="8"/>
  <c r="P494" i="8"/>
  <c r="M494" i="8"/>
  <c r="J494" i="8"/>
  <c r="H494" i="8"/>
  <c r="B494" i="8"/>
  <c r="A494" i="8"/>
  <c r="AA493" i="8"/>
  <c r="W493" i="8"/>
  <c r="U493" i="8"/>
  <c r="P493" i="8"/>
  <c r="M493" i="8"/>
  <c r="J493" i="8"/>
  <c r="H493" i="8"/>
  <c r="B493" i="8"/>
  <c r="A493" i="8"/>
  <c r="AA492" i="8"/>
  <c r="W492" i="8"/>
  <c r="U492" i="8"/>
  <c r="M492" i="8"/>
  <c r="J492" i="8"/>
  <c r="H492" i="8"/>
  <c r="B492" i="8"/>
  <c r="A492" i="8"/>
  <c r="AA491" i="8"/>
  <c r="W491" i="8"/>
  <c r="U491" i="8"/>
  <c r="R491" i="8"/>
  <c r="Q491" i="8"/>
  <c r="P491" i="8"/>
  <c r="M491" i="8"/>
  <c r="J491" i="8"/>
  <c r="H491" i="8"/>
  <c r="B491" i="8"/>
  <c r="A491" i="8"/>
  <c r="AA490" i="8"/>
  <c r="W490" i="8"/>
  <c r="U490" i="8"/>
  <c r="P490" i="8"/>
  <c r="M490" i="8"/>
  <c r="J490" i="8"/>
  <c r="H490" i="8"/>
  <c r="B490" i="8"/>
  <c r="A490" i="8"/>
  <c r="AA489" i="8"/>
  <c r="W489" i="8"/>
  <c r="U489" i="8"/>
  <c r="P489" i="8"/>
  <c r="M489" i="8"/>
  <c r="J489" i="8"/>
  <c r="H489" i="8"/>
  <c r="B489" i="8"/>
  <c r="A489" i="8"/>
  <c r="AA488" i="8"/>
  <c r="W488" i="8"/>
  <c r="U488" i="8"/>
  <c r="P488" i="8"/>
  <c r="M488" i="8"/>
  <c r="J488" i="8"/>
  <c r="H488" i="8"/>
  <c r="B488" i="8"/>
  <c r="A488" i="8"/>
  <c r="AA487" i="8"/>
  <c r="W487" i="8"/>
  <c r="U487" i="8"/>
  <c r="P487" i="8"/>
  <c r="M487" i="8"/>
  <c r="J487" i="8"/>
  <c r="H487" i="8"/>
  <c r="B487" i="8"/>
  <c r="A487" i="8"/>
  <c r="AA486" i="8"/>
  <c r="W486" i="8"/>
  <c r="U486" i="8"/>
  <c r="P486" i="8"/>
  <c r="M486" i="8"/>
  <c r="J486" i="8"/>
  <c r="H486" i="8"/>
  <c r="B486" i="8"/>
  <c r="A486" i="8"/>
  <c r="AA485" i="8"/>
  <c r="W485" i="8"/>
  <c r="U485" i="8"/>
  <c r="P485" i="8"/>
  <c r="M485" i="8"/>
  <c r="J485" i="8"/>
  <c r="H485" i="8"/>
  <c r="B485" i="8"/>
  <c r="A485" i="8"/>
  <c r="AA484" i="8"/>
  <c r="W484" i="8"/>
  <c r="U484" i="8"/>
  <c r="P484" i="8"/>
  <c r="M484" i="8"/>
  <c r="J484" i="8"/>
  <c r="H484" i="8"/>
  <c r="B484" i="8"/>
  <c r="A484" i="8"/>
  <c r="AA483" i="8"/>
  <c r="W483" i="8"/>
  <c r="U483" i="8"/>
  <c r="P483" i="8"/>
  <c r="M483" i="8"/>
  <c r="J483" i="8"/>
  <c r="H483" i="8"/>
  <c r="B483" i="8"/>
  <c r="A483" i="8"/>
  <c r="AA482" i="8"/>
  <c r="W482" i="8"/>
  <c r="U482" i="8"/>
  <c r="R482" i="8"/>
  <c r="Q482" i="8"/>
  <c r="M482" i="8"/>
  <c r="J482" i="8"/>
  <c r="H482" i="8"/>
  <c r="B482" i="8"/>
  <c r="A482" i="8"/>
  <c r="AA481" i="8"/>
  <c r="W481" i="8"/>
  <c r="U481" i="8"/>
  <c r="P481" i="8"/>
  <c r="M481" i="8"/>
  <c r="J481" i="8"/>
  <c r="H481" i="8"/>
  <c r="B481" i="8"/>
  <c r="A481" i="8"/>
  <c r="AA480" i="8"/>
  <c r="W480" i="8"/>
  <c r="U480" i="8"/>
  <c r="P480" i="8"/>
  <c r="M480" i="8"/>
  <c r="J480" i="8"/>
  <c r="H480" i="8"/>
  <c r="B480" i="8"/>
  <c r="A480" i="8"/>
  <c r="AA479" i="8"/>
  <c r="W479" i="8"/>
  <c r="U479" i="8"/>
  <c r="P479" i="8"/>
  <c r="M479" i="8"/>
  <c r="J479" i="8"/>
  <c r="H479" i="8"/>
  <c r="B479" i="8"/>
  <c r="A479" i="8"/>
  <c r="AA478" i="8"/>
  <c r="W478" i="8"/>
  <c r="U478" i="8"/>
  <c r="P478" i="8"/>
  <c r="M478" i="8"/>
  <c r="J478" i="8"/>
  <c r="H478" i="8"/>
  <c r="B478" i="8"/>
  <c r="A478" i="8"/>
  <c r="AA477" i="8"/>
  <c r="W477" i="8"/>
  <c r="U477" i="8"/>
  <c r="P477" i="8"/>
  <c r="M477" i="8"/>
  <c r="J477" i="8"/>
  <c r="H477" i="8"/>
  <c r="B477" i="8"/>
  <c r="A477" i="8"/>
  <c r="AA476" i="8"/>
  <c r="W476" i="8"/>
  <c r="U476" i="8"/>
  <c r="M476" i="8"/>
  <c r="J476" i="8"/>
  <c r="H476" i="8"/>
  <c r="B476" i="8"/>
  <c r="A476" i="8"/>
  <c r="AA475" i="8"/>
  <c r="W475" i="8"/>
  <c r="U475" i="8"/>
  <c r="P475" i="8"/>
  <c r="M475" i="8"/>
  <c r="J475" i="8"/>
  <c r="H475" i="8"/>
  <c r="B475" i="8"/>
  <c r="A475" i="8"/>
  <c r="AA474" i="8"/>
  <c r="W474" i="8"/>
  <c r="U474" i="8"/>
  <c r="P474" i="8"/>
  <c r="M474" i="8"/>
  <c r="J474" i="8"/>
  <c r="H474" i="8"/>
  <c r="B474" i="8"/>
  <c r="A474" i="8"/>
  <c r="AA473" i="8"/>
  <c r="W473" i="8"/>
  <c r="U473" i="8"/>
  <c r="R473" i="8"/>
  <c r="Q473" i="8"/>
  <c r="P473" i="8"/>
  <c r="M473" i="8"/>
  <c r="J473" i="8"/>
  <c r="H473" i="8"/>
  <c r="B473" i="8"/>
  <c r="A473" i="8"/>
  <c r="AA472" i="8"/>
  <c r="W472" i="8"/>
  <c r="U472" i="8"/>
  <c r="P472" i="8"/>
  <c r="M472" i="8"/>
  <c r="J472" i="8"/>
  <c r="H472" i="8"/>
  <c r="B472" i="8"/>
  <c r="A472" i="8"/>
  <c r="AA471" i="8"/>
  <c r="W471" i="8"/>
  <c r="U471" i="8"/>
  <c r="P471" i="8"/>
  <c r="M471" i="8"/>
  <c r="J471" i="8"/>
  <c r="H471" i="8"/>
  <c r="B471" i="8"/>
  <c r="A471" i="8"/>
  <c r="AA470" i="8"/>
  <c r="W470" i="8"/>
  <c r="U470" i="8"/>
  <c r="P470" i="8"/>
  <c r="M470" i="8"/>
  <c r="J470" i="8"/>
  <c r="H470" i="8"/>
  <c r="B470" i="8"/>
  <c r="A470" i="8"/>
  <c r="AA469" i="8"/>
  <c r="W469" i="8"/>
  <c r="U469" i="8"/>
  <c r="P469" i="8"/>
  <c r="M469" i="8"/>
  <c r="J469" i="8"/>
  <c r="H469" i="8"/>
  <c r="B469" i="8"/>
  <c r="A469" i="8"/>
  <c r="AA468" i="8"/>
  <c r="W468" i="8"/>
  <c r="U468" i="8"/>
  <c r="P468" i="8"/>
  <c r="M468" i="8"/>
  <c r="J468" i="8"/>
  <c r="H468" i="8"/>
  <c r="B468" i="8"/>
  <c r="A468" i="8"/>
  <c r="AA467" i="8"/>
  <c r="W467" i="8"/>
  <c r="U467" i="8"/>
  <c r="M467" i="8"/>
  <c r="J467" i="8"/>
  <c r="H467" i="8"/>
  <c r="B467" i="8"/>
  <c r="A467" i="8"/>
  <c r="AA466" i="8"/>
  <c r="W466" i="8"/>
  <c r="U466" i="8"/>
  <c r="P466" i="8"/>
  <c r="M466" i="8"/>
  <c r="J466" i="8"/>
  <c r="H466" i="8"/>
  <c r="B466" i="8"/>
  <c r="A466" i="8"/>
  <c r="AA465" i="8"/>
  <c r="W465" i="8"/>
  <c r="U465" i="8"/>
  <c r="P465" i="8"/>
  <c r="M465" i="8"/>
  <c r="J465" i="8"/>
  <c r="H465" i="8"/>
  <c r="B465" i="8"/>
  <c r="A465" i="8"/>
  <c r="AA464" i="8"/>
  <c r="W464" i="8"/>
  <c r="U464" i="8"/>
  <c r="P464" i="8"/>
  <c r="M464" i="8"/>
  <c r="J464" i="8"/>
  <c r="H464" i="8"/>
  <c r="B464" i="8"/>
  <c r="A464" i="8"/>
  <c r="AA463" i="8"/>
  <c r="W463" i="8"/>
  <c r="U463" i="8"/>
  <c r="P463" i="8"/>
  <c r="M463" i="8"/>
  <c r="J463" i="8"/>
  <c r="H463" i="8"/>
  <c r="B463" i="8"/>
  <c r="A463" i="8"/>
  <c r="AA462" i="8"/>
  <c r="W462" i="8"/>
  <c r="U462" i="8"/>
  <c r="P462" i="8"/>
  <c r="M462" i="8"/>
  <c r="J462" i="8"/>
  <c r="H462" i="8"/>
  <c r="B462" i="8"/>
  <c r="A462" i="8"/>
  <c r="AA461" i="8"/>
  <c r="W461" i="8"/>
  <c r="U461" i="8"/>
  <c r="R461" i="8"/>
  <c r="Q461" i="8"/>
  <c r="M461" i="8"/>
  <c r="J461" i="8"/>
  <c r="H461" i="8"/>
  <c r="B461" i="8"/>
  <c r="A461" i="8"/>
  <c r="AA460" i="8"/>
  <c r="W460" i="8"/>
  <c r="U460" i="8"/>
  <c r="P460" i="8"/>
  <c r="M460" i="8"/>
  <c r="J460" i="8"/>
  <c r="H460" i="8"/>
  <c r="B460" i="8"/>
  <c r="A460" i="8"/>
  <c r="AA459" i="8"/>
  <c r="W459" i="8"/>
  <c r="U459" i="8"/>
  <c r="P459" i="8"/>
  <c r="M459" i="8"/>
  <c r="J459" i="8"/>
  <c r="H459" i="8"/>
  <c r="B459" i="8"/>
  <c r="A459" i="8"/>
  <c r="AA458" i="8"/>
  <c r="W458" i="8"/>
  <c r="U458" i="8"/>
  <c r="R458" i="8"/>
  <c r="Q458" i="8"/>
  <c r="P458" i="8"/>
  <c r="M458" i="8"/>
  <c r="J458" i="8"/>
  <c r="H458" i="8"/>
  <c r="B458" i="8"/>
  <c r="A458" i="8"/>
  <c r="AA457" i="8"/>
  <c r="W457" i="8"/>
  <c r="U457" i="8"/>
  <c r="R457" i="8"/>
  <c r="Q457" i="8"/>
  <c r="P457" i="8"/>
  <c r="M457" i="8"/>
  <c r="J457" i="8"/>
  <c r="H457" i="8"/>
  <c r="B457" i="8"/>
  <c r="A457" i="8"/>
  <c r="AA456" i="8"/>
  <c r="W456" i="8"/>
  <c r="U456" i="8"/>
  <c r="P456" i="8"/>
  <c r="M456" i="8"/>
  <c r="J456" i="8"/>
  <c r="H456" i="8"/>
  <c r="B456" i="8"/>
  <c r="A456" i="8"/>
  <c r="AA455" i="8"/>
  <c r="W455" i="8"/>
  <c r="U455" i="8"/>
  <c r="R455" i="8"/>
  <c r="Q455" i="8"/>
  <c r="M455" i="8"/>
  <c r="J455" i="8"/>
  <c r="H455" i="8"/>
  <c r="B455" i="8"/>
  <c r="A455" i="8"/>
  <c r="AA454" i="8"/>
  <c r="W454" i="8"/>
  <c r="U454" i="8"/>
  <c r="M454" i="8"/>
  <c r="J454" i="8"/>
  <c r="H454" i="8"/>
  <c r="B454" i="8"/>
  <c r="A454" i="8"/>
  <c r="AA453" i="8"/>
  <c r="W453" i="8"/>
  <c r="U453" i="8"/>
  <c r="P453" i="8"/>
  <c r="M453" i="8"/>
  <c r="J453" i="8"/>
  <c r="H453" i="8"/>
  <c r="B453" i="8"/>
  <c r="A453" i="8"/>
  <c r="AA452" i="8"/>
  <c r="W452" i="8"/>
  <c r="U452" i="8"/>
  <c r="P452" i="8"/>
  <c r="M452" i="8"/>
  <c r="J452" i="8"/>
  <c r="H452" i="8"/>
  <c r="B452" i="8"/>
  <c r="A452" i="8"/>
  <c r="AA451" i="8"/>
  <c r="W451" i="8"/>
  <c r="U451" i="8"/>
  <c r="P451" i="8"/>
  <c r="M451" i="8"/>
  <c r="J451" i="8"/>
  <c r="H451" i="8"/>
  <c r="B451" i="8"/>
  <c r="A451" i="8"/>
  <c r="AA450" i="8"/>
  <c r="W450" i="8"/>
  <c r="U450" i="8"/>
  <c r="P450" i="8"/>
  <c r="M450" i="8"/>
  <c r="J450" i="8"/>
  <c r="H450" i="8"/>
  <c r="B450" i="8"/>
  <c r="A450" i="8"/>
  <c r="AA449" i="8"/>
  <c r="W449" i="8"/>
  <c r="U449" i="8"/>
  <c r="M449" i="8"/>
  <c r="J449" i="8"/>
  <c r="H449" i="8"/>
  <c r="B449" i="8"/>
  <c r="A449" i="8"/>
  <c r="AA448" i="8"/>
  <c r="W448" i="8"/>
  <c r="U448" i="8"/>
  <c r="P448" i="8"/>
  <c r="M448" i="8"/>
  <c r="J448" i="8"/>
  <c r="H448" i="8"/>
  <c r="B448" i="8"/>
  <c r="A448" i="8"/>
  <c r="AA447" i="8"/>
  <c r="W447" i="8"/>
  <c r="U447" i="8"/>
  <c r="P447" i="8"/>
  <c r="M447" i="8"/>
  <c r="J447" i="8"/>
  <c r="H447" i="8"/>
  <c r="B447" i="8"/>
  <c r="A447" i="8"/>
  <c r="AA446" i="8"/>
  <c r="W446" i="8"/>
  <c r="U446" i="8"/>
  <c r="P446" i="8"/>
  <c r="M446" i="8"/>
  <c r="J446" i="8"/>
  <c r="H446" i="8"/>
  <c r="B446" i="8"/>
  <c r="A446" i="8"/>
  <c r="AA445" i="8"/>
  <c r="W445" i="8"/>
  <c r="U445" i="8"/>
  <c r="M445" i="8"/>
  <c r="J445" i="8"/>
  <c r="H445" i="8"/>
  <c r="B445" i="8"/>
  <c r="A445" i="8"/>
  <c r="AA444" i="8"/>
  <c r="W444" i="8"/>
  <c r="U444" i="8"/>
  <c r="P444" i="8"/>
  <c r="M444" i="8"/>
  <c r="J444" i="8"/>
  <c r="H444" i="8"/>
  <c r="B444" i="8"/>
  <c r="A444" i="8"/>
  <c r="AA443" i="8"/>
  <c r="W443" i="8"/>
  <c r="U443" i="8"/>
  <c r="P443" i="8"/>
  <c r="M443" i="8"/>
  <c r="J443" i="8"/>
  <c r="H443" i="8"/>
  <c r="B443" i="8"/>
  <c r="A443" i="8"/>
  <c r="AA442" i="8"/>
  <c r="W442" i="8"/>
  <c r="U442" i="8"/>
  <c r="P442" i="8"/>
  <c r="M442" i="8"/>
  <c r="J442" i="8"/>
  <c r="H442" i="8"/>
  <c r="B442" i="8"/>
  <c r="A442" i="8"/>
  <c r="AA441" i="8"/>
  <c r="W441" i="8"/>
  <c r="U441" i="8"/>
  <c r="P441" i="8"/>
  <c r="M441" i="8"/>
  <c r="J441" i="8"/>
  <c r="H441" i="8"/>
  <c r="B441" i="8"/>
  <c r="A441" i="8"/>
  <c r="AA440" i="8"/>
  <c r="W440" i="8"/>
  <c r="U440" i="8"/>
  <c r="P440" i="8"/>
  <c r="M440" i="8"/>
  <c r="J440" i="8"/>
  <c r="H440" i="8"/>
  <c r="B440" i="8"/>
  <c r="A440" i="8"/>
  <c r="AA439" i="8"/>
  <c r="W439" i="8"/>
  <c r="U439" i="8"/>
  <c r="P439" i="8"/>
  <c r="M439" i="8"/>
  <c r="J439" i="8"/>
  <c r="H439" i="8"/>
  <c r="B439" i="8"/>
  <c r="A439" i="8"/>
  <c r="AA438" i="8"/>
  <c r="W438" i="8"/>
  <c r="U438" i="8"/>
  <c r="M438" i="8"/>
  <c r="J438" i="8"/>
  <c r="H438" i="8"/>
  <c r="B438" i="8"/>
  <c r="A438" i="8"/>
  <c r="AA437" i="8"/>
  <c r="W437" i="8"/>
  <c r="U437" i="8"/>
  <c r="P437" i="8"/>
  <c r="M437" i="8"/>
  <c r="J437" i="8"/>
  <c r="H437" i="8"/>
  <c r="B437" i="8"/>
  <c r="A437" i="8"/>
  <c r="AA436" i="8"/>
  <c r="W436" i="8"/>
  <c r="U436" i="8"/>
  <c r="P436" i="8"/>
  <c r="M436" i="8"/>
  <c r="J436" i="8"/>
  <c r="H436" i="8"/>
  <c r="B436" i="8"/>
  <c r="A436" i="8"/>
  <c r="AA435" i="8"/>
  <c r="W435" i="8"/>
  <c r="U435" i="8"/>
  <c r="P435" i="8"/>
  <c r="M435" i="8"/>
  <c r="J435" i="8"/>
  <c r="H435" i="8"/>
  <c r="B435" i="8"/>
  <c r="A435" i="8"/>
  <c r="AA434" i="8"/>
  <c r="W434" i="8"/>
  <c r="U434" i="8"/>
  <c r="P434" i="8"/>
  <c r="M434" i="8"/>
  <c r="J434" i="8"/>
  <c r="H434" i="8"/>
  <c r="B434" i="8"/>
  <c r="A434" i="8"/>
  <c r="AA433" i="8"/>
  <c r="W433" i="8"/>
  <c r="U433" i="8"/>
  <c r="P433" i="8"/>
  <c r="M433" i="8"/>
  <c r="J433" i="8"/>
  <c r="H433" i="8"/>
  <c r="B433" i="8"/>
  <c r="A433" i="8"/>
  <c r="AA432" i="8"/>
  <c r="W432" i="8"/>
  <c r="U432" i="8"/>
  <c r="P432" i="8"/>
  <c r="M432" i="8"/>
  <c r="J432" i="8"/>
  <c r="H432" i="8"/>
  <c r="B432" i="8"/>
  <c r="A432" i="8"/>
  <c r="AA431" i="8"/>
  <c r="W431" i="8"/>
  <c r="U431" i="8"/>
  <c r="M431" i="8"/>
  <c r="J431" i="8"/>
  <c r="H431" i="8"/>
  <c r="B431" i="8"/>
  <c r="A431" i="8"/>
  <c r="AA430" i="8"/>
  <c r="W430" i="8"/>
  <c r="U430" i="8"/>
  <c r="P430" i="8"/>
  <c r="M430" i="8"/>
  <c r="J430" i="8"/>
  <c r="H430" i="8"/>
  <c r="B430" i="8"/>
  <c r="A430" i="8"/>
  <c r="AA429" i="8"/>
  <c r="W429" i="8"/>
  <c r="U429" i="8"/>
  <c r="P429" i="8"/>
  <c r="M429" i="8"/>
  <c r="J429" i="8"/>
  <c r="H429" i="8"/>
  <c r="B429" i="8"/>
  <c r="A429" i="8"/>
  <c r="AA428" i="8"/>
  <c r="W428" i="8"/>
  <c r="U428" i="8"/>
  <c r="R428" i="8"/>
  <c r="Q428" i="8"/>
  <c r="P428" i="8"/>
  <c r="M428" i="8"/>
  <c r="J428" i="8"/>
  <c r="H428" i="8"/>
  <c r="B428" i="8"/>
  <c r="A428" i="8"/>
  <c r="AA427" i="8"/>
  <c r="W427" i="8"/>
  <c r="U427" i="8"/>
  <c r="P427" i="8"/>
  <c r="M427" i="8"/>
  <c r="J427" i="8"/>
  <c r="H427" i="8"/>
  <c r="B427" i="8"/>
  <c r="A427" i="8"/>
  <c r="AA426" i="8"/>
  <c r="W426" i="8"/>
  <c r="U426" i="8"/>
  <c r="P426" i="8"/>
  <c r="M426" i="8"/>
  <c r="J426" i="8"/>
  <c r="H426" i="8"/>
  <c r="B426" i="8"/>
  <c r="A426" i="8"/>
  <c r="AA425" i="8"/>
  <c r="W425" i="8"/>
  <c r="U425" i="8"/>
  <c r="P425" i="8"/>
  <c r="M425" i="8"/>
  <c r="J425" i="8"/>
  <c r="H425" i="8"/>
  <c r="B425" i="8"/>
  <c r="A425" i="8"/>
  <c r="AA424" i="8"/>
  <c r="W424" i="8"/>
  <c r="U424" i="8"/>
  <c r="R424" i="8"/>
  <c r="Q424" i="8"/>
  <c r="P424" i="8"/>
  <c r="M424" i="8"/>
  <c r="J424" i="8"/>
  <c r="H424" i="8"/>
  <c r="B424" i="8"/>
  <c r="A424" i="8"/>
  <c r="AA423" i="8"/>
  <c r="W423" i="8"/>
  <c r="U423" i="8"/>
  <c r="P423" i="8"/>
  <c r="M423" i="8"/>
  <c r="J423" i="8"/>
  <c r="H423" i="8"/>
  <c r="B423" i="8"/>
  <c r="A423" i="8"/>
  <c r="AA422" i="8"/>
  <c r="W422" i="8"/>
  <c r="U422" i="8"/>
  <c r="P422" i="8"/>
  <c r="M422" i="8"/>
  <c r="J422" i="8"/>
  <c r="H422" i="8"/>
  <c r="B422" i="8"/>
  <c r="A422" i="8"/>
  <c r="AA421" i="8"/>
  <c r="W421" i="8"/>
  <c r="U421" i="8"/>
  <c r="M421" i="8"/>
  <c r="J421" i="8"/>
  <c r="H421" i="8"/>
  <c r="B421" i="8"/>
  <c r="A421" i="8"/>
  <c r="AA420" i="8"/>
  <c r="W420" i="8"/>
  <c r="U420" i="8"/>
  <c r="P420" i="8"/>
  <c r="M420" i="8"/>
  <c r="J420" i="8"/>
  <c r="H420" i="8"/>
  <c r="B420" i="8"/>
  <c r="A420" i="8"/>
  <c r="AA419" i="8"/>
  <c r="W419" i="8"/>
  <c r="U419" i="8"/>
  <c r="M419" i="8"/>
  <c r="J419" i="8"/>
  <c r="H419" i="8"/>
  <c r="B419" i="8"/>
  <c r="A419" i="8"/>
  <c r="AA418" i="8"/>
  <c r="W418" i="8"/>
  <c r="U418" i="8"/>
  <c r="P418" i="8"/>
  <c r="M418" i="8"/>
  <c r="J418" i="8"/>
  <c r="H418" i="8"/>
  <c r="B418" i="8"/>
  <c r="A418" i="8"/>
  <c r="AA417" i="8"/>
  <c r="W417" i="8"/>
  <c r="U417" i="8"/>
  <c r="M417" i="8"/>
  <c r="J417" i="8"/>
  <c r="H417" i="8"/>
  <c r="B417" i="8"/>
  <c r="A417" i="8"/>
  <c r="AA416" i="8"/>
  <c r="W416" i="8"/>
  <c r="U416" i="8"/>
  <c r="M416" i="8"/>
  <c r="J416" i="8"/>
  <c r="H416" i="8"/>
  <c r="B416" i="8"/>
  <c r="A416" i="8"/>
  <c r="AA415" i="8"/>
  <c r="W415" i="8"/>
  <c r="U415" i="8"/>
  <c r="P415" i="8"/>
  <c r="M415" i="8"/>
  <c r="J415" i="8"/>
  <c r="H415" i="8"/>
  <c r="B415" i="8"/>
  <c r="A415" i="8"/>
  <c r="AA414" i="8"/>
  <c r="W414" i="8"/>
  <c r="U414" i="8"/>
  <c r="P414" i="8"/>
  <c r="M414" i="8"/>
  <c r="J414" i="8"/>
  <c r="H414" i="8"/>
  <c r="B414" i="8"/>
  <c r="A414" i="8"/>
  <c r="AA413" i="8"/>
  <c r="W413" i="8"/>
  <c r="U413" i="8"/>
  <c r="P413" i="8"/>
  <c r="M413" i="8"/>
  <c r="J413" i="8"/>
  <c r="H413" i="8"/>
  <c r="B413" i="8"/>
  <c r="A413" i="8"/>
  <c r="AA412" i="8"/>
  <c r="W412" i="8"/>
  <c r="U412" i="8"/>
  <c r="R412" i="8"/>
  <c r="Q412" i="8"/>
  <c r="P412" i="8"/>
  <c r="M412" i="8"/>
  <c r="J412" i="8"/>
  <c r="H412" i="8"/>
  <c r="B412" i="8"/>
  <c r="A412" i="8"/>
  <c r="AA411" i="8"/>
  <c r="W411" i="8"/>
  <c r="U411" i="8"/>
  <c r="P411" i="8"/>
  <c r="M411" i="8"/>
  <c r="J411" i="8"/>
  <c r="H411" i="8"/>
  <c r="B411" i="8"/>
  <c r="A411" i="8"/>
  <c r="AA410" i="8"/>
  <c r="W410" i="8"/>
  <c r="U410" i="8"/>
  <c r="P410" i="8"/>
  <c r="M410" i="8"/>
  <c r="J410" i="8"/>
  <c r="H410" i="8"/>
  <c r="B410" i="8"/>
  <c r="A410" i="8"/>
  <c r="AA409" i="8"/>
  <c r="W409" i="8"/>
  <c r="U409" i="8"/>
  <c r="P409" i="8"/>
  <c r="M409" i="8"/>
  <c r="J409" i="8"/>
  <c r="H409" i="8"/>
  <c r="B409" i="8"/>
  <c r="A409" i="8"/>
  <c r="AA408" i="8"/>
  <c r="W408" i="8"/>
  <c r="U408" i="8"/>
  <c r="P408" i="8"/>
  <c r="M408" i="8"/>
  <c r="J408" i="8"/>
  <c r="H408" i="8"/>
  <c r="B408" i="8"/>
  <c r="A408" i="8"/>
  <c r="AA407" i="8"/>
  <c r="W407" i="8"/>
  <c r="U407" i="8"/>
  <c r="P407" i="8"/>
  <c r="M407" i="8"/>
  <c r="J407" i="8"/>
  <c r="H407" i="8"/>
  <c r="B407" i="8"/>
  <c r="A407" i="8"/>
  <c r="AA406" i="8"/>
  <c r="W406" i="8"/>
  <c r="U406" i="8"/>
  <c r="P406" i="8"/>
  <c r="M406" i="8"/>
  <c r="J406" i="8"/>
  <c r="H406" i="8"/>
  <c r="B406" i="8"/>
  <c r="A406" i="8"/>
  <c r="AA405" i="8"/>
  <c r="W405" i="8"/>
  <c r="U405" i="8"/>
  <c r="P405" i="8"/>
  <c r="M405" i="8"/>
  <c r="J405" i="8"/>
  <c r="H405" i="8"/>
  <c r="B405" i="8"/>
  <c r="A405" i="8"/>
  <c r="AA404" i="8"/>
  <c r="W404" i="8"/>
  <c r="U404" i="8"/>
  <c r="P404" i="8"/>
  <c r="M404" i="8"/>
  <c r="J404" i="8"/>
  <c r="H404" i="8"/>
  <c r="B404" i="8"/>
  <c r="A404" i="8"/>
  <c r="AA403" i="8"/>
  <c r="W403" i="8"/>
  <c r="U403" i="8"/>
  <c r="R403" i="8"/>
  <c r="Q403" i="8"/>
  <c r="M403" i="8"/>
  <c r="J403" i="8"/>
  <c r="H403" i="8"/>
  <c r="B403" i="8"/>
  <c r="A403" i="8"/>
  <c r="AA402" i="8"/>
  <c r="W402" i="8"/>
  <c r="U402" i="8"/>
  <c r="R402" i="8"/>
  <c r="Q402" i="8"/>
  <c r="M402" i="8"/>
  <c r="J402" i="8"/>
  <c r="H402" i="8"/>
  <c r="B402" i="8"/>
  <c r="A402" i="8"/>
  <c r="AA401" i="8"/>
  <c r="W401" i="8"/>
  <c r="U401" i="8"/>
  <c r="P401" i="8"/>
  <c r="M401" i="8"/>
  <c r="J401" i="8"/>
  <c r="H401" i="8"/>
  <c r="B401" i="8"/>
  <c r="A401" i="8"/>
  <c r="AA400" i="8"/>
  <c r="W400" i="8"/>
  <c r="U400" i="8"/>
  <c r="P400" i="8"/>
  <c r="M400" i="8"/>
  <c r="J400" i="8"/>
  <c r="H400" i="8"/>
  <c r="B400" i="8"/>
  <c r="A400" i="8"/>
  <c r="AA399" i="8"/>
  <c r="W399" i="8"/>
  <c r="U399" i="8"/>
  <c r="M399" i="8"/>
  <c r="J399" i="8"/>
  <c r="H399" i="8"/>
  <c r="B399" i="8"/>
  <c r="A399" i="8"/>
  <c r="AA398" i="8"/>
  <c r="W398" i="8"/>
  <c r="U398" i="8"/>
  <c r="P398" i="8"/>
  <c r="M398" i="8"/>
  <c r="J398" i="8"/>
  <c r="H398" i="8"/>
  <c r="B398" i="8"/>
  <c r="A398" i="8"/>
  <c r="AA397" i="8"/>
  <c r="W397" i="8"/>
  <c r="U397" i="8"/>
  <c r="P397" i="8"/>
  <c r="M397" i="8"/>
  <c r="J397" i="8"/>
  <c r="H397" i="8"/>
  <c r="B397" i="8"/>
  <c r="A397" i="8"/>
  <c r="AA396" i="8"/>
  <c r="W396" i="8"/>
  <c r="U396" i="8"/>
  <c r="P396" i="8"/>
  <c r="M396" i="8"/>
  <c r="J396" i="8"/>
  <c r="H396" i="8"/>
  <c r="B396" i="8"/>
  <c r="A396" i="8"/>
  <c r="AA395" i="8"/>
  <c r="W395" i="8"/>
  <c r="U395" i="8"/>
  <c r="P395" i="8"/>
  <c r="M395" i="8"/>
  <c r="J395" i="8"/>
  <c r="H395" i="8"/>
  <c r="B395" i="8"/>
  <c r="A395" i="8"/>
  <c r="AA394" i="8"/>
  <c r="W394" i="8"/>
  <c r="U394" i="8"/>
  <c r="R394" i="8"/>
  <c r="Q394" i="8"/>
  <c r="P394" i="8"/>
  <c r="M394" i="8"/>
  <c r="J394" i="8"/>
  <c r="H394" i="8"/>
  <c r="B394" i="8"/>
  <c r="A394" i="8"/>
  <c r="AA393" i="8"/>
  <c r="W393" i="8"/>
  <c r="U393" i="8"/>
  <c r="P393" i="8"/>
  <c r="M393" i="8"/>
  <c r="J393" i="8"/>
  <c r="H393" i="8"/>
  <c r="B393" i="8"/>
  <c r="A393" i="8"/>
  <c r="AA392" i="8"/>
  <c r="W392" i="8"/>
  <c r="U392" i="8"/>
  <c r="P392" i="8"/>
  <c r="M392" i="8"/>
  <c r="J392" i="8"/>
  <c r="H392" i="8"/>
  <c r="B392" i="8"/>
  <c r="A392" i="8"/>
  <c r="AA391" i="8"/>
  <c r="W391" i="8"/>
  <c r="U391" i="8"/>
  <c r="P391" i="8"/>
  <c r="M391" i="8"/>
  <c r="J391" i="8"/>
  <c r="H391" i="8"/>
  <c r="B391" i="8"/>
  <c r="A391" i="8"/>
  <c r="AA390" i="8"/>
  <c r="W390" i="8"/>
  <c r="U390" i="8"/>
  <c r="P390" i="8"/>
  <c r="M390" i="8"/>
  <c r="J390" i="8"/>
  <c r="H390" i="8"/>
  <c r="B390" i="8"/>
  <c r="A390" i="8"/>
  <c r="AA389" i="8"/>
  <c r="W389" i="8"/>
  <c r="U389" i="8"/>
  <c r="M389" i="8"/>
  <c r="J389" i="8"/>
  <c r="H389" i="8"/>
  <c r="B389" i="8"/>
  <c r="A389" i="8"/>
  <c r="AA388" i="8"/>
  <c r="W388" i="8"/>
  <c r="U388" i="8"/>
  <c r="M388" i="8"/>
  <c r="J388" i="8"/>
  <c r="H388" i="8"/>
  <c r="B388" i="8"/>
  <c r="A388" i="8"/>
  <c r="AA387" i="8"/>
  <c r="W387" i="8"/>
  <c r="U387" i="8"/>
  <c r="P387" i="8"/>
  <c r="M387" i="8"/>
  <c r="J387" i="8"/>
  <c r="H387" i="8"/>
  <c r="B387" i="8"/>
  <c r="A387" i="8"/>
  <c r="AA386" i="8"/>
  <c r="W386" i="8"/>
  <c r="U386" i="8"/>
  <c r="P386" i="8"/>
  <c r="M386" i="8"/>
  <c r="J386" i="8"/>
  <c r="H386" i="8"/>
  <c r="B386" i="8"/>
  <c r="A386" i="8"/>
  <c r="AA385" i="8"/>
  <c r="W385" i="8"/>
  <c r="U385" i="8"/>
  <c r="R385" i="8"/>
  <c r="Q385" i="8"/>
  <c r="P385" i="8"/>
  <c r="M385" i="8"/>
  <c r="J385" i="8"/>
  <c r="H385" i="8"/>
  <c r="B385" i="8"/>
  <c r="A385" i="8"/>
  <c r="AA384" i="8"/>
  <c r="W384" i="8"/>
  <c r="U384" i="8"/>
  <c r="P384" i="8"/>
  <c r="M384" i="8"/>
  <c r="J384" i="8"/>
  <c r="H384" i="8"/>
  <c r="B384" i="8"/>
  <c r="A384" i="8"/>
  <c r="AA383" i="8"/>
  <c r="W383" i="8"/>
  <c r="U383" i="8"/>
  <c r="P383" i="8"/>
  <c r="M383" i="8"/>
  <c r="J383" i="8"/>
  <c r="H383" i="8"/>
  <c r="B383" i="8"/>
  <c r="A383" i="8"/>
  <c r="AA382" i="8"/>
  <c r="W382" i="8"/>
  <c r="U382" i="8"/>
  <c r="P382" i="8"/>
  <c r="M382" i="8"/>
  <c r="J382" i="8"/>
  <c r="H382" i="8"/>
  <c r="B382" i="8"/>
  <c r="A382" i="8"/>
  <c r="AA381" i="8"/>
  <c r="W381" i="8"/>
  <c r="U381" i="8"/>
  <c r="M381" i="8"/>
  <c r="J381" i="8"/>
  <c r="H381" i="8"/>
  <c r="B381" i="8"/>
  <c r="A381" i="8"/>
  <c r="AA380" i="8"/>
  <c r="W380" i="8"/>
  <c r="U380" i="8"/>
  <c r="P380" i="8"/>
  <c r="M380" i="8"/>
  <c r="J380" i="8"/>
  <c r="H380" i="8"/>
  <c r="B380" i="8"/>
  <c r="A380" i="8"/>
  <c r="AA379" i="8"/>
  <c r="W379" i="8"/>
  <c r="U379" i="8"/>
  <c r="P379" i="8"/>
  <c r="M379" i="8"/>
  <c r="J379" i="8"/>
  <c r="H379" i="8"/>
  <c r="B379" i="8"/>
  <c r="A379" i="8"/>
  <c r="AA378" i="8"/>
  <c r="W378" i="8"/>
  <c r="U378" i="8"/>
  <c r="P378" i="8"/>
  <c r="M378" i="8"/>
  <c r="J378" i="8"/>
  <c r="H378" i="8"/>
  <c r="B378" i="8"/>
  <c r="A378" i="8"/>
  <c r="AA377" i="8"/>
  <c r="W377" i="8"/>
  <c r="U377" i="8"/>
  <c r="R377" i="8"/>
  <c r="Q377" i="8"/>
  <c r="P377" i="8"/>
  <c r="M377" i="8"/>
  <c r="J377" i="8"/>
  <c r="H377" i="8"/>
  <c r="B377" i="8"/>
  <c r="A377" i="8"/>
  <c r="AA376" i="8"/>
  <c r="W376" i="8"/>
  <c r="U376" i="8"/>
  <c r="M376" i="8"/>
  <c r="J376" i="8"/>
  <c r="H376" i="8"/>
  <c r="B376" i="8"/>
  <c r="A376" i="8"/>
  <c r="AA375" i="8"/>
  <c r="W375" i="8"/>
  <c r="U375" i="8"/>
  <c r="P375" i="8"/>
  <c r="M375" i="8"/>
  <c r="J375" i="8"/>
  <c r="H375" i="8"/>
  <c r="B375" i="8"/>
  <c r="A375" i="8"/>
  <c r="AA374" i="8"/>
  <c r="W374" i="8"/>
  <c r="U374" i="8"/>
  <c r="P374" i="8"/>
  <c r="M374" i="8"/>
  <c r="J374" i="8"/>
  <c r="H374" i="8"/>
  <c r="B374" i="8"/>
  <c r="A374" i="8"/>
  <c r="AA373" i="8"/>
  <c r="W373" i="8"/>
  <c r="U373" i="8"/>
  <c r="R373" i="8"/>
  <c r="Q373" i="8"/>
  <c r="P373" i="8"/>
  <c r="M373" i="8"/>
  <c r="J373" i="8"/>
  <c r="H373" i="8"/>
  <c r="B373" i="8"/>
  <c r="A373" i="8"/>
  <c r="AA372" i="8"/>
  <c r="W372" i="8"/>
  <c r="U372" i="8"/>
  <c r="R372" i="8"/>
  <c r="Q372" i="8"/>
  <c r="P372" i="8"/>
  <c r="M372" i="8"/>
  <c r="J372" i="8"/>
  <c r="H372" i="8"/>
  <c r="B372" i="8"/>
  <c r="A372" i="8"/>
  <c r="AA371" i="8"/>
  <c r="W371" i="8"/>
  <c r="U371" i="8"/>
  <c r="P371" i="8"/>
  <c r="M371" i="8"/>
  <c r="J371" i="8"/>
  <c r="H371" i="8"/>
  <c r="B371" i="8"/>
  <c r="A371" i="8"/>
  <c r="AA370" i="8"/>
  <c r="W370" i="8"/>
  <c r="U370" i="8"/>
  <c r="P370" i="8"/>
  <c r="M370" i="8"/>
  <c r="J370" i="8"/>
  <c r="H370" i="8"/>
  <c r="B370" i="8"/>
  <c r="A370" i="8"/>
  <c r="AA369" i="8"/>
  <c r="W369" i="8"/>
  <c r="U369" i="8"/>
  <c r="P369" i="8"/>
  <c r="M369" i="8"/>
  <c r="J369" i="8"/>
  <c r="H369" i="8"/>
  <c r="B369" i="8"/>
  <c r="A369" i="8"/>
  <c r="AA368" i="8"/>
  <c r="W368" i="8"/>
  <c r="U368" i="8"/>
  <c r="P368" i="8"/>
  <c r="M368" i="8"/>
  <c r="J368" i="8"/>
  <c r="H368" i="8"/>
  <c r="B368" i="8"/>
  <c r="A368" i="8"/>
  <c r="AA367" i="8"/>
  <c r="W367" i="8"/>
  <c r="U367" i="8"/>
  <c r="P367" i="8"/>
  <c r="M367" i="8"/>
  <c r="J367" i="8"/>
  <c r="H367" i="8"/>
  <c r="B367" i="8"/>
  <c r="A367" i="8"/>
  <c r="AA366" i="8"/>
  <c r="W366" i="8"/>
  <c r="U366" i="8"/>
  <c r="R366" i="8"/>
  <c r="Q366" i="8"/>
  <c r="P366" i="8"/>
  <c r="M366" i="8"/>
  <c r="J366" i="8"/>
  <c r="H366" i="8"/>
  <c r="B366" i="8"/>
  <c r="A366" i="8"/>
  <c r="AA365" i="8"/>
  <c r="W365" i="8"/>
  <c r="U365" i="8"/>
  <c r="P365" i="8"/>
  <c r="M365" i="8"/>
  <c r="J365" i="8"/>
  <c r="H365" i="8"/>
  <c r="B365" i="8"/>
  <c r="A365" i="8"/>
  <c r="AA364" i="8"/>
  <c r="W364" i="8"/>
  <c r="U364" i="8"/>
  <c r="P364" i="8"/>
  <c r="M364" i="8"/>
  <c r="J364" i="8"/>
  <c r="H364" i="8"/>
  <c r="B364" i="8"/>
  <c r="A364" i="8"/>
  <c r="AA363" i="8"/>
  <c r="W363" i="8"/>
  <c r="U363" i="8"/>
  <c r="P363" i="8"/>
  <c r="M363" i="8"/>
  <c r="J363" i="8"/>
  <c r="H363" i="8"/>
  <c r="B363" i="8"/>
  <c r="A363" i="8"/>
  <c r="AA362" i="8"/>
  <c r="W362" i="8"/>
  <c r="U362" i="8"/>
  <c r="M362" i="8"/>
  <c r="J362" i="8"/>
  <c r="H362" i="8"/>
  <c r="B362" i="8"/>
  <c r="A362" i="8"/>
  <c r="AA361" i="8"/>
  <c r="W361" i="8"/>
  <c r="U361" i="8"/>
  <c r="R361" i="8"/>
  <c r="Q361" i="8"/>
  <c r="M361" i="8"/>
  <c r="J361" i="8"/>
  <c r="H361" i="8"/>
  <c r="B361" i="8"/>
  <c r="A361" i="8"/>
  <c r="AA360" i="8"/>
  <c r="W360" i="8"/>
  <c r="U360" i="8"/>
  <c r="M360" i="8"/>
  <c r="J360" i="8"/>
  <c r="H360" i="8"/>
  <c r="B360" i="8"/>
  <c r="A360" i="8"/>
  <c r="AA359" i="8"/>
  <c r="W359" i="8"/>
  <c r="U359" i="8"/>
  <c r="R359" i="8"/>
  <c r="Q359" i="8"/>
  <c r="P359" i="8"/>
  <c r="M359" i="8"/>
  <c r="J359" i="8"/>
  <c r="H359" i="8"/>
  <c r="B359" i="8"/>
  <c r="A359" i="8"/>
  <c r="AA358" i="8"/>
  <c r="W358" i="8"/>
  <c r="U358" i="8"/>
  <c r="R358" i="8"/>
  <c r="Q358" i="8"/>
  <c r="P358" i="8"/>
  <c r="M358" i="8"/>
  <c r="J358" i="8"/>
  <c r="H358" i="8"/>
  <c r="B358" i="8"/>
  <c r="A358" i="8"/>
  <c r="AA357" i="8"/>
  <c r="W357" i="8"/>
  <c r="U357" i="8"/>
  <c r="R357" i="8"/>
  <c r="Q357" i="8"/>
  <c r="P357" i="8"/>
  <c r="M357" i="8"/>
  <c r="J357" i="8"/>
  <c r="H357" i="8"/>
  <c r="B357" i="8"/>
  <c r="A357" i="8"/>
  <c r="AA356" i="8"/>
  <c r="W356" i="8"/>
  <c r="U356" i="8"/>
  <c r="P356" i="8"/>
  <c r="M356" i="8"/>
  <c r="J356" i="8"/>
  <c r="H356" i="8"/>
  <c r="B356" i="8"/>
  <c r="A356" i="8"/>
  <c r="AA355" i="8"/>
  <c r="W355" i="8"/>
  <c r="U355" i="8"/>
  <c r="P355" i="8"/>
  <c r="M355" i="8"/>
  <c r="J355" i="8"/>
  <c r="H355" i="8"/>
  <c r="B355" i="8"/>
  <c r="A355" i="8"/>
  <c r="AA354" i="8"/>
  <c r="W354" i="8"/>
  <c r="U354" i="8"/>
  <c r="P354" i="8"/>
  <c r="M354" i="8"/>
  <c r="J354" i="8"/>
  <c r="H354" i="8"/>
  <c r="B354" i="8"/>
  <c r="A354" i="8"/>
  <c r="AA353" i="8"/>
  <c r="W353" i="8"/>
  <c r="U353" i="8"/>
  <c r="P353" i="8"/>
  <c r="M353" i="8"/>
  <c r="J353" i="8"/>
  <c r="H353" i="8"/>
  <c r="B353" i="8"/>
  <c r="A353" i="8"/>
  <c r="AA352" i="8"/>
  <c r="W352" i="8"/>
  <c r="U352" i="8"/>
  <c r="P352" i="8"/>
  <c r="M352" i="8"/>
  <c r="J352" i="8"/>
  <c r="H352" i="8"/>
  <c r="B352" i="8"/>
  <c r="A352" i="8"/>
  <c r="AA351" i="8"/>
  <c r="W351" i="8"/>
  <c r="U351" i="8"/>
  <c r="P351" i="8"/>
  <c r="M351" i="8"/>
  <c r="J351" i="8"/>
  <c r="H351" i="8"/>
  <c r="B351" i="8"/>
  <c r="A351" i="8"/>
  <c r="AA350" i="8"/>
  <c r="W350" i="8"/>
  <c r="U350" i="8"/>
  <c r="P350" i="8"/>
  <c r="M350" i="8"/>
  <c r="J350" i="8"/>
  <c r="H350" i="8"/>
  <c r="B350" i="8"/>
  <c r="A350" i="8"/>
  <c r="AA349" i="8"/>
  <c r="W349" i="8"/>
  <c r="U349" i="8"/>
  <c r="M349" i="8"/>
  <c r="J349" i="8"/>
  <c r="H349" i="8"/>
  <c r="B349" i="8"/>
  <c r="A349" i="8"/>
  <c r="AA348" i="8"/>
  <c r="W348" i="8"/>
  <c r="U348" i="8"/>
  <c r="P348" i="8"/>
  <c r="M348" i="8"/>
  <c r="J348" i="8"/>
  <c r="H348" i="8"/>
  <c r="B348" i="8"/>
  <c r="A348" i="8"/>
  <c r="AA347" i="8"/>
  <c r="W347" i="8"/>
  <c r="U347" i="8"/>
  <c r="P347" i="8"/>
  <c r="M347" i="8"/>
  <c r="J347" i="8"/>
  <c r="H347" i="8"/>
  <c r="B347" i="8"/>
  <c r="A347" i="8"/>
  <c r="AA346" i="8"/>
  <c r="W346" i="8"/>
  <c r="U346" i="8"/>
  <c r="P346" i="8"/>
  <c r="M346" i="8"/>
  <c r="J346" i="8"/>
  <c r="H346" i="8"/>
  <c r="B346" i="8"/>
  <c r="A346" i="8"/>
  <c r="AA345" i="8"/>
  <c r="W345" i="8"/>
  <c r="U345" i="8"/>
  <c r="P345" i="8"/>
  <c r="M345" i="8"/>
  <c r="J345" i="8"/>
  <c r="H345" i="8"/>
  <c r="B345" i="8"/>
  <c r="A345" i="8"/>
  <c r="AA344" i="8"/>
  <c r="W344" i="8"/>
  <c r="U344" i="8"/>
  <c r="P344" i="8"/>
  <c r="M344" i="8"/>
  <c r="J344" i="8"/>
  <c r="H344" i="8"/>
  <c r="B344" i="8"/>
  <c r="A344" i="8"/>
  <c r="AA343" i="8"/>
  <c r="W343" i="8"/>
  <c r="U343" i="8"/>
  <c r="P343" i="8"/>
  <c r="M343" i="8"/>
  <c r="J343" i="8"/>
  <c r="H343" i="8"/>
  <c r="B343" i="8"/>
  <c r="A343" i="8"/>
  <c r="AA342" i="8"/>
  <c r="W342" i="8"/>
  <c r="U342" i="8"/>
  <c r="R342" i="8"/>
  <c r="Q342" i="8"/>
  <c r="P342" i="8"/>
  <c r="M342" i="8"/>
  <c r="J342" i="8"/>
  <c r="H342" i="8"/>
  <c r="B342" i="8"/>
  <c r="A342" i="8"/>
  <c r="AA341" i="8"/>
  <c r="W341" i="8"/>
  <c r="U341" i="8"/>
  <c r="P341" i="8"/>
  <c r="M341" i="8"/>
  <c r="J341" i="8"/>
  <c r="H341" i="8"/>
  <c r="B341" i="8"/>
  <c r="A341" i="8"/>
  <c r="AA340" i="8"/>
  <c r="W340" i="8"/>
  <c r="U340" i="8"/>
  <c r="P340" i="8"/>
  <c r="M340" i="8"/>
  <c r="J340" i="8"/>
  <c r="H340" i="8"/>
  <c r="B340" i="8"/>
  <c r="A340" i="8"/>
  <c r="AA339" i="8"/>
  <c r="W339" i="8"/>
  <c r="U339" i="8"/>
  <c r="P339" i="8"/>
  <c r="M339" i="8"/>
  <c r="J339" i="8"/>
  <c r="H339" i="8"/>
  <c r="B339" i="8"/>
  <c r="A339" i="8"/>
  <c r="AA338" i="8"/>
  <c r="W338" i="8"/>
  <c r="U338" i="8"/>
  <c r="P338" i="8"/>
  <c r="M338" i="8"/>
  <c r="J338" i="8"/>
  <c r="H338" i="8"/>
  <c r="B338" i="8"/>
  <c r="A338" i="8"/>
  <c r="AA337" i="8"/>
  <c r="W337" i="8"/>
  <c r="U337" i="8"/>
  <c r="P337" i="8"/>
  <c r="M337" i="8"/>
  <c r="J337" i="8"/>
  <c r="H337" i="8"/>
  <c r="B337" i="8"/>
  <c r="A337" i="8"/>
  <c r="AA336" i="8"/>
  <c r="W336" i="8"/>
  <c r="U336" i="8"/>
  <c r="P336" i="8"/>
  <c r="M336" i="8"/>
  <c r="J336" i="8"/>
  <c r="H336" i="8"/>
  <c r="B336" i="8"/>
  <c r="A336" i="8"/>
  <c r="AA335" i="8"/>
  <c r="W335" i="8"/>
  <c r="U335" i="8"/>
  <c r="P335" i="8"/>
  <c r="M335" i="8"/>
  <c r="J335" i="8"/>
  <c r="H335" i="8"/>
  <c r="B335" i="8"/>
  <c r="A335" i="8"/>
  <c r="AA334" i="8"/>
  <c r="W334" i="8"/>
  <c r="U334" i="8"/>
  <c r="P334" i="8"/>
  <c r="M334" i="8"/>
  <c r="J334" i="8"/>
  <c r="H334" i="8"/>
  <c r="B334" i="8"/>
  <c r="A334" i="8"/>
  <c r="AA333" i="8"/>
  <c r="W333" i="8"/>
  <c r="U333" i="8"/>
  <c r="P333" i="8"/>
  <c r="M333" i="8"/>
  <c r="J333" i="8"/>
  <c r="H333" i="8"/>
  <c r="B333" i="8"/>
  <c r="A333" i="8"/>
  <c r="AA332" i="8"/>
  <c r="W332" i="8"/>
  <c r="U332" i="8"/>
  <c r="P332" i="8"/>
  <c r="M332" i="8"/>
  <c r="J332" i="8"/>
  <c r="H332" i="8"/>
  <c r="B332" i="8"/>
  <c r="A332" i="8"/>
  <c r="AA331" i="8"/>
  <c r="W331" i="8"/>
  <c r="U331" i="8"/>
  <c r="P331" i="8"/>
  <c r="M331" i="8"/>
  <c r="J331" i="8"/>
  <c r="H331" i="8"/>
  <c r="B331" i="8"/>
  <c r="A331" i="8"/>
  <c r="AA330" i="8"/>
  <c r="W330" i="8"/>
  <c r="U330" i="8"/>
  <c r="P330" i="8"/>
  <c r="M330" i="8"/>
  <c r="J330" i="8"/>
  <c r="H330" i="8"/>
  <c r="B330" i="8"/>
  <c r="A330" i="8"/>
  <c r="AA329" i="8"/>
  <c r="W329" i="8"/>
  <c r="U329" i="8"/>
  <c r="P329" i="8"/>
  <c r="M329" i="8"/>
  <c r="J329" i="8"/>
  <c r="H329" i="8"/>
  <c r="B329" i="8"/>
  <c r="A329" i="8"/>
  <c r="AA328" i="8"/>
  <c r="W328" i="8"/>
  <c r="U328" i="8"/>
  <c r="P328" i="8"/>
  <c r="M328" i="8"/>
  <c r="J328" i="8"/>
  <c r="H328" i="8"/>
  <c r="B328" i="8"/>
  <c r="A328" i="8"/>
  <c r="AA327" i="8"/>
  <c r="W327" i="8"/>
  <c r="U327" i="8"/>
  <c r="P327" i="8"/>
  <c r="M327" i="8"/>
  <c r="J327" i="8"/>
  <c r="H327" i="8"/>
  <c r="B327" i="8"/>
  <c r="A327" i="8"/>
  <c r="AA326" i="8"/>
  <c r="W326" i="8"/>
  <c r="U326" i="8"/>
  <c r="P326" i="8"/>
  <c r="M326" i="8"/>
  <c r="J326" i="8"/>
  <c r="H326" i="8"/>
  <c r="B326" i="8"/>
  <c r="A326" i="8"/>
  <c r="AA325" i="8"/>
  <c r="W325" i="8"/>
  <c r="U325" i="8"/>
  <c r="P325" i="8"/>
  <c r="M325" i="8"/>
  <c r="J325" i="8"/>
  <c r="H325" i="8"/>
  <c r="B325" i="8"/>
  <c r="A325" i="8"/>
  <c r="AA324" i="8"/>
  <c r="W324" i="8"/>
  <c r="U324" i="8"/>
  <c r="R324" i="8"/>
  <c r="Q324" i="8"/>
  <c r="P324" i="8"/>
  <c r="M324" i="8"/>
  <c r="J324" i="8"/>
  <c r="H324" i="8"/>
  <c r="B324" i="8"/>
  <c r="A324" i="8"/>
  <c r="AA323" i="8"/>
  <c r="W323" i="8"/>
  <c r="U323" i="8"/>
  <c r="P323" i="8"/>
  <c r="M323" i="8"/>
  <c r="J323" i="8"/>
  <c r="H323" i="8"/>
  <c r="B323" i="8"/>
  <c r="A323" i="8"/>
  <c r="AA322" i="8"/>
  <c r="W322" i="8"/>
  <c r="U322" i="8"/>
  <c r="P322" i="8"/>
  <c r="M322" i="8"/>
  <c r="J322" i="8"/>
  <c r="H322" i="8"/>
  <c r="B322" i="8"/>
  <c r="A322" i="8"/>
  <c r="AA321" i="8"/>
  <c r="W321" i="8"/>
  <c r="U321" i="8"/>
  <c r="P321" i="8"/>
  <c r="M321" i="8"/>
  <c r="J321" i="8"/>
  <c r="H321" i="8"/>
  <c r="B321" i="8"/>
  <c r="A321" i="8"/>
  <c r="AA320" i="8"/>
  <c r="W320" i="8"/>
  <c r="U320" i="8"/>
  <c r="P320" i="8"/>
  <c r="M320" i="8"/>
  <c r="J320" i="8"/>
  <c r="H320" i="8"/>
  <c r="B320" i="8"/>
  <c r="A320" i="8"/>
  <c r="AA319" i="8"/>
  <c r="W319" i="8"/>
  <c r="U319" i="8"/>
  <c r="P319" i="8"/>
  <c r="M319" i="8"/>
  <c r="J319" i="8"/>
  <c r="H319" i="8"/>
  <c r="B319" i="8"/>
  <c r="A319" i="8"/>
  <c r="AA318" i="8"/>
  <c r="W318" i="8"/>
  <c r="U318" i="8"/>
  <c r="P318" i="8"/>
  <c r="M318" i="8"/>
  <c r="J318" i="8"/>
  <c r="H318" i="8"/>
  <c r="B318" i="8"/>
  <c r="A318" i="8"/>
  <c r="AA317" i="8"/>
  <c r="W317" i="8"/>
  <c r="U317" i="8"/>
  <c r="P317" i="8"/>
  <c r="M317" i="8"/>
  <c r="J317" i="8"/>
  <c r="H317" i="8"/>
  <c r="B317" i="8"/>
  <c r="A317" i="8"/>
  <c r="AA316" i="8"/>
  <c r="W316" i="8"/>
  <c r="U316" i="8"/>
  <c r="P316" i="8"/>
  <c r="M316" i="8"/>
  <c r="J316" i="8"/>
  <c r="H316" i="8"/>
  <c r="B316" i="8"/>
  <c r="A316" i="8"/>
  <c r="AA315" i="8"/>
  <c r="W315" i="8"/>
  <c r="U315" i="8"/>
  <c r="M315" i="8"/>
  <c r="J315" i="8"/>
  <c r="H315" i="8"/>
  <c r="B315" i="8"/>
  <c r="A315" i="8"/>
  <c r="AA314" i="8"/>
  <c r="W314" i="8"/>
  <c r="U314" i="8"/>
  <c r="P314" i="8"/>
  <c r="M314" i="8"/>
  <c r="J314" i="8"/>
  <c r="H314" i="8"/>
  <c r="B314" i="8"/>
  <c r="A314" i="8"/>
  <c r="AA313" i="8"/>
  <c r="W313" i="8"/>
  <c r="U313" i="8"/>
  <c r="R313" i="8"/>
  <c r="Q313" i="8"/>
  <c r="P313" i="8"/>
  <c r="M313" i="8"/>
  <c r="J313" i="8"/>
  <c r="H313" i="8"/>
  <c r="B313" i="8"/>
  <c r="A313" i="8"/>
  <c r="AA312" i="8"/>
  <c r="W312" i="8"/>
  <c r="U312" i="8"/>
  <c r="P312" i="8"/>
  <c r="M312" i="8"/>
  <c r="J312" i="8"/>
  <c r="H312" i="8"/>
  <c r="B312" i="8"/>
  <c r="A312" i="8"/>
  <c r="AA311" i="8"/>
  <c r="W311" i="8"/>
  <c r="U311" i="8"/>
  <c r="P311" i="8"/>
  <c r="M311" i="8"/>
  <c r="J311" i="8"/>
  <c r="H311" i="8"/>
  <c r="B311" i="8"/>
  <c r="A311" i="8"/>
  <c r="AA310" i="8"/>
  <c r="W310" i="8"/>
  <c r="U310" i="8"/>
  <c r="P310" i="8"/>
  <c r="M310" i="8"/>
  <c r="J310" i="8"/>
  <c r="H310" i="8"/>
  <c r="B310" i="8"/>
  <c r="A310" i="8"/>
  <c r="AA309" i="8"/>
  <c r="W309" i="8"/>
  <c r="U309" i="8"/>
  <c r="P309" i="8"/>
  <c r="M309" i="8"/>
  <c r="J309" i="8"/>
  <c r="H309" i="8"/>
  <c r="B309" i="8"/>
  <c r="A309" i="8"/>
  <c r="AA308" i="8"/>
  <c r="W308" i="8"/>
  <c r="U308" i="8"/>
  <c r="P308" i="8"/>
  <c r="M308" i="8"/>
  <c r="J308" i="8"/>
  <c r="H308" i="8"/>
  <c r="B308" i="8"/>
  <c r="A308" i="8"/>
  <c r="AA307" i="8"/>
  <c r="W307" i="8"/>
  <c r="U307" i="8"/>
  <c r="P307" i="8"/>
  <c r="M307" i="8"/>
  <c r="J307" i="8"/>
  <c r="H307" i="8"/>
  <c r="B307" i="8"/>
  <c r="A307" i="8"/>
  <c r="AA306" i="8"/>
  <c r="W306" i="8"/>
  <c r="U306" i="8"/>
  <c r="M306" i="8"/>
  <c r="J306" i="8"/>
  <c r="H306" i="8"/>
  <c r="B306" i="8"/>
  <c r="A306" i="8"/>
  <c r="AA305" i="8"/>
  <c r="W305" i="8"/>
  <c r="U305" i="8"/>
  <c r="P305" i="8"/>
  <c r="M305" i="8"/>
  <c r="J305" i="8"/>
  <c r="H305" i="8"/>
  <c r="B305" i="8"/>
  <c r="A305" i="8"/>
  <c r="AA304" i="8"/>
  <c r="W304" i="8"/>
  <c r="U304" i="8"/>
  <c r="P304" i="8"/>
  <c r="M304" i="8"/>
  <c r="J304" i="8"/>
  <c r="H304" i="8"/>
  <c r="B304" i="8"/>
  <c r="A304" i="8"/>
  <c r="AA303" i="8"/>
  <c r="W303" i="8"/>
  <c r="U303" i="8"/>
  <c r="M303" i="8"/>
  <c r="J303" i="8"/>
  <c r="H303" i="8"/>
  <c r="B303" i="8"/>
  <c r="A303" i="8"/>
  <c r="AA302" i="8"/>
  <c r="W302" i="8"/>
  <c r="U302" i="8"/>
  <c r="P302" i="8"/>
  <c r="M302" i="8"/>
  <c r="J302" i="8"/>
  <c r="H302" i="8"/>
  <c r="B302" i="8"/>
  <c r="A302" i="8"/>
  <c r="AA301" i="8"/>
  <c r="W301" i="8"/>
  <c r="U301" i="8"/>
  <c r="M301" i="8"/>
  <c r="J301" i="8"/>
  <c r="H301" i="8"/>
  <c r="B301" i="8"/>
  <c r="A301" i="8"/>
  <c r="AA300" i="8"/>
  <c r="W300" i="8"/>
  <c r="U300" i="8"/>
  <c r="P300" i="8"/>
  <c r="M300" i="8"/>
  <c r="J300" i="8"/>
  <c r="H300" i="8"/>
  <c r="B300" i="8"/>
  <c r="A300" i="8"/>
  <c r="AA299" i="8"/>
  <c r="W299" i="8"/>
  <c r="U299" i="8"/>
  <c r="P299" i="8"/>
  <c r="M299" i="8"/>
  <c r="J299" i="8"/>
  <c r="H299" i="8"/>
  <c r="B299" i="8"/>
  <c r="A299" i="8"/>
  <c r="AA298" i="8"/>
  <c r="W298" i="8"/>
  <c r="U298" i="8"/>
  <c r="P298" i="8"/>
  <c r="M298" i="8"/>
  <c r="J298" i="8"/>
  <c r="H298" i="8"/>
  <c r="B298" i="8"/>
  <c r="A298" i="8"/>
  <c r="AA297" i="8"/>
  <c r="W297" i="8"/>
  <c r="U297" i="8"/>
  <c r="P297" i="8"/>
  <c r="M297" i="8"/>
  <c r="J297" i="8"/>
  <c r="H297" i="8"/>
  <c r="B297" i="8"/>
  <c r="A297" i="8"/>
  <c r="AA296" i="8"/>
  <c r="W296" i="8"/>
  <c r="U296" i="8"/>
  <c r="P296" i="8"/>
  <c r="M296" i="8"/>
  <c r="J296" i="8"/>
  <c r="H296" i="8"/>
  <c r="B296" i="8"/>
  <c r="A296" i="8"/>
  <c r="AA295" i="8"/>
  <c r="W295" i="8"/>
  <c r="U295" i="8"/>
  <c r="P295" i="8"/>
  <c r="M295" i="8"/>
  <c r="J295" i="8"/>
  <c r="H295" i="8"/>
  <c r="B295" i="8"/>
  <c r="A295" i="8"/>
  <c r="AA294" i="8"/>
  <c r="W294" i="8"/>
  <c r="U294" i="8"/>
  <c r="R294" i="8"/>
  <c r="Q294" i="8"/>
  <c r="M294" i="8"/>
  <c r="J294" i="8"/>
  <c r="H294" i="8"/>
  <c r="B294" i="8"/>
  <c r="A294" i="8"/>
  <c r="AA293" i="8"/>
  <c r="W293" i="8"/>
  <c r="U293" i="8"/>
  <c r="P293" i="8"/>
  <c r="M293" i="8"/>
  <c r="J293" i="8"/>
  <c r="H293" i="8"/>
  <c r="B293" i="8"/>
  <c r="A293" i="8"/>
  <c r="AA292" i="8"/>
  <c r="W292" i="8"/>
  <c r="U292" i="8"/>
  <c r="P292" i="8"/>
  <c r="M292" i="8"/>
  <c r="J292" i="8"/>
  <c r="H292" i="8"/>
  <c r="B292" i="8"/>
  <c r="A292" i="8"/>
  <c r="AA291" i="8"/>
  <c r="W291" i="8"/>
  <c r="U291" i="8"/>
  <c r="P291" i="8"/>
  <c r="M291" i="8"/>
  <c r="J291" i="8"/>
  <c r="H291" i="8"/>
  <c r="B291" i="8"/>
  <c r="A291" i="8"/>
  <c r="AA290" i="8"/>
  <c r="W290" i="8"/>
  <c r="U290" i="8"/>
  <c r="P290" i="8"/>
  <c r="M290" i="8"/>
  <c r="J290" i="8"/>
  <c r="H290" i="8"/>
  <c r="B290" i="8"/>
  <c r="A290" i="8"/>
  <c r="AA289" i="8"/>
  <c r="W289" i="8"/>
  <c r="U289" i="8"/>
  <c r="M289" i="8"/>
  <c r="J289" i="8"/>
  <c r="H289" i="8"/>
  <c r="B289" i="8"/>
  <c r="A289" i="8"/>
  <c r="AA288" i="8"/>
  <c r="W288" i="8"/>
  <c r="U288" i="8"/>
  <c r="P288" i="8"/>
  <c r="M288" i="8"/>
  <c r="J288" i="8"/>
  <c r="H288" i="8"/>
  <c r="B288" i="8"/>
  <c r="A288" i="8"/>
  <c r="AA287" i="8"/>
  <c r="W287" i="8"/>
  <c r="U287" i="8"/>
  <c r="R287" i="8"/>
  <c r="Q287" i="8"/>
  <c r="M287" i="8"/>
  <c r="J287" i="8"/>
  <c r="H287" i="8"/>
  <c r="B287" i="8"/>
  <c r="A287" i="8"/>
  <c r="AA286" i="8"/>
  <c r="W286" i="8"/>
  <c r="U286" i="8"/>
  <c r="P286" i="8"/>
  <c r="M286" i="8"/>
  <c r="J286" i="8"/>
  <c r="H286" i="8"/>
  <c r="B286" i="8"/>
  <c r="A286" i="8"/>
  <c r="AA285" i="8"/>
  <c r="W285" i="8"/>
  <c r="U285" i="8"/>
  <c r="M285" i="8"/>
  <c r="J285" i="8"/>
  <c r="H285" i="8"/>
  <c r="B285" i="8"/>
  <c r="A285" i="8"/>
  <c r="AA284" i="8"/>
  <c r="W284" i="8"/>
  <c r="U284" i="8"/>
  <c r="P284" i="8"/>
  <c r="M284" i="8"/>
  <c r="J284" i="8"/>
  <c r="H284" i="8"/>
  <c r="B284" i="8"/>
  <c r="A284" i="8"/>
  <c r="AA283" i="8"/>
  <c r="W283" i="8"/>
  <c r="U283" i="8"/>
  <c r="P283" i="8"/>
  <c r="M283" i="8"/>
  <c r="J283" i="8"/>
  <c r="H283" i="8"/>
  <c r="B283" i="8"/>
  <c r="A283" i="8"/>
  <c r="AA282" i="8"/>
  <c r="W282" i="8"/>
  <c r="U282" i="8"/>
  <c r="P282" i="8"/>
  <c r="M282" i="8"/>
  <c r="J282" i="8"/>
  <c r="H282" i="8"/>
  <c r="B282" i="8"/>
  <c r="A282" i="8"/>
  <c r="AA281" i="8"/>
  <c r="W281" i="8"/>
  <c r="U281" i="8"/>
  <c r="P281" i="8"/>
  <c r="M281" i="8"/>
  <c r="J281" i="8"/>
  <c r="H281" i="8"/>
  <c r="B281" i="8"/>
  <c r="A281" i="8"/>
  <c r="AA280" i="8"/>
  <c r="W280" i="8"/>
  <c r="U280" i="8"/>
  <c r="P280" i="8"/>
  <c r="M280" i="8"/>
  <c r="J280" i="8"/>
  <c r="H280" i="8"/>
  <c r="B280" i="8"/>
  <c r="A280" i="8"/>
  <c r="AA279" i="8"/>
  <c r="W279" i="8"/>
  <c r="U279" i="8"/>
  <c r="P279" i="8"/>
  <c r="M279" i="8"/>
  <c r="J279" i="8"/>
  <c r="H279" i="8"/>
  <c r="B279" i="8"/>
  <c r="A279" i="8"/>
  <c r="AA278" i="8"/>
  <c r="W278" i="8"/>
  <c r="U278" i="8"/>
  <c r="R278" i="8"/>
  <c r="Q278" i="8"/>
  <c r="P278" i="8"/>
  <c r="M278" i="8"/>
  <c r="J278" i="8"/>
  <c r="H278" i="8"/>
  <c r="B278" i="8"/>
  <c r="A278" i="8"/>
  <c r="AA277" i="8"/>
  <c r="W277" i="8"/>
  <c r="U277" i="8"/>
  <c r="P277" i="8"/>
  <c r="M277" i="8"/>
  <c r="J277" i="8"/>
  <c r="H277" i="8"/>
  <c r="B277" i="8"/>
  <c r="A277" i="8"/>
  <c r="AA276" i="8"/>
  <c r="W276" i="8"/>
  <c r="U276" i="8"/>
  <c r="P276" i="8"/>
  <c r="M276" i="8"/>
  <c r="J276" i="8"/>
  <c r="H276" i="8"/>
  <c r="B276" i="8"/>
  <c r="A276" i="8"/>
  <c r="AA275" i="8"/>
  <c r="W275" i="8"/>
  <c r="U275" i="8"/>
  <c r="M275" i="8"/>
  <c r="J275" i="8"/>
  <c r="H275" i="8"/>
  <c r="B275" i="8"/>
  <c r="A275" i="8"/>
  <c r="AA274" i="8"/>
  <c r="W274" i="8"/>
  <c r="U274" i="8"/>
  <c r="P274" i="8"/>
  <c r="M274" i="8"/>
  <c r="J274" i="8"/>
  <c r="H274" i="8"/>
  <c r="B274" i="8"/>
  <c r="A274" i="8"/>
  <c r="AA273" i="8"/>
  <c r="W273" i="8"/>
  <c r="U273" i="8"/>
  <c r="P273" i="8"/>
  <c r="M273" i="8"/>
  <c r="J273" i="8"/>
  <c r="H273" i="8"/>
  <c r="B273" i="8"/>
  <c r="A273" i="8"/>
  <c r="AA272" i="8"/>
  <c r="W272" i="8"/>
  <c r="U272" i="8"/>
  <c r="P272" i="8"/>
  <c r="M272" i="8"/>
  <c r="J272" i="8"/>
  <c r="H272" i="8"/>
  <c r="B272" i="8"/>
  <c r="A272" i="8"/>
  <c r="AA271" i="8"/>
  <c r="W271" i="8"/>
  <c r="U271" i="8"/>
  <c r="P271" i="8"/>
  <c r="M271" i="8"/>
  <c r="J271" i="8"/>
  <c r="H271" i="8"/>
  <c r="B271" i="8"/>
  <c r="A271" i="8"/>
  <c r="AA270" i="8"/>
  <c r="W270" i="8"/>
  <c r="U270" i="8"/>
  <c r="M270" i="8"/>
  <c r="J270" i="8"/>
  <c r="H270" i="8"/>
  <c r="B270" i="8"/>
  <c r="A270" i="8"/>
  <c r="AA269" i="8"/>
  <c r="W269" i="8"/>
  <c r="U269" i="8"/>
  <c r="R269" i="8"/>
  <c r="Q269" i="8"/>
  <c r="M269" i="8"/>
  <c r="J269" i="8"/>
  <c r="H269" i="8"/>
  <c r="B269" i="8"/>
  <c r="A269" i="8"/>
  <c r="AA268" i="8"/>
  <c r="W268" i="8"/>
  <c r="U268" i="8"/>
  <c r="P268" i="8"/>
  <c r="M268" i="8"/>
  <c r="J268" i="8"/>
  <c r="H268" i="8"/>
  <c r="B268" i="8"/>
  <c r="A268" i="8"/>
  <c r="AA267" i="8"/>
  <c r="W267" i="8"/>
  <c r="U267" i="8"/>
  <c r="M267" i="8"/>
  <c r="J267" i="8"/>
  <c r="H267" i="8"/>
  <c r="B267" i="8"/>
  <c r="A267" i="8"/>
  <c r="AA266" i="8"/>
  <c r="W266" i="8"/>
  <c r="U266" i="8"/>
  <c r="M266" i="8"/>
  <c r="J266" i="8"/>
  <c r="H266" i="8"/>
  <c r="B266" i="8"/>
  <c r="A266" i="8"/>
  <c r="AA265" i="8"/>
  <c r="W265" i="8"/>
  <c r="U265" i="8"/>
  <c r="P265" i="8"/>
  <c r="M265" i="8"/>
  <c r="J265" i="8"/>
  <c r="H265" i="8"/>
  <c r="B265" i="8"/>
  <c r="A265" i="8"/>
  <c r="AA264" i="8"/>
  <c r="W264" i="8"/>
  <c r="U264" i="8"/>
  <c r="P264" i="8"/>
  <c r="M264" i="8"/>
  <c r="J264" i="8"/>
  <c r="H264" i="8"/>
  <c r="B264" i="8"/>
  <c r="A264" i="8"/>
  <c r="AA263" i="8"/>
  <c r="W263" i="8"/>
  <c r="U263" i="8"/>
  <c r="P263" i="8"/>
  <c r="M263" i="8"/>
  <c r="J263" i="8"/>
  <c r="H263" i="8"/>
  <c r="B263" i="8"/>
  <c r="A263" i="8"/>
  <c r="AA262" i="8"/>
  <c r="W262" i="8"/>
  <c r="U262" i="8"/>
  <c r="M262" i="8"/>
  <c r="J262" i="8"/>
  <c r="H262" i="8"/>
  <c r="B262" i="8"/>
  <c r="A262" i="8"/>
  <c r="AA261" i="8"/>
  <c r="W261" i="8"/>
  <c r="U261" i="8"/>
  <c r="R261" i="8"/>
  <c r="Q261" i="8"/>
  <c r="P261" i="8"/>
  <c r="M261" i="8"/>
  <c r="J261" i="8"/>
  <c r="H261" i="8"/>
  <c r="B261" i="8"/>
  <c r="A261" i="8"/>
  <c r="AA260" i="8"/>
  <c r="W260" i="8"/>
  <c r="U260" i="8"/>
  <c r="P260" i="8"/>
  <c r="M260" i="8"/>
  <c r="J260" i="8"/>
  <c r="H260" i="8"/>
  <c r="B260" i="8"/>
  <c r="A260" i="8"/>
  <c r="AA259" i="8"/>
  <c r="W259" i="8"/>
  <c r="U259" i="8"/>
  <c r="M259" i="8"/>
  <c r="J259" i="8"/>
  <c r="H259" i="8"/>
  <c r="B259" i="8"/>
  <c r="A259" i="8"/>
  <c r="AA258" i="8"/>
  <c r="W258" i="8"/>
  <c r="U258" i="8"/>
  <c r="M258" i="8"/>
  <c r="J258" i="8"/>
  <c r="H258" i="8"/>
  <c r="B258" i="8"/>
  <c r="A258" i="8"/>
  <c r="AA257" i="8"/>
  <c r="W257" i="8"/>
  <c r="U257" i="8"/>
  <c r="R257" i="8"/>
  <c r="Q257" i="8"/>
  <c r="P257" i="8"/>
  <c r="M257" i="8"/>
  <c r="J257" i="8"/>
  <c r="H257" i="8"/>
  <c r="B257" i="8"/>
  <c r="A257" i="8"/>
  <c r="AA256" i="8"/>
  <c r="W256" i="8"/>
  <c r="U256" i="8"/>
  <c r="P256" i="8"/>
  <c r="M256" i="8"/>
  <c r="J256" i="8"/>
  <c r="H256" i="8"/>
  <c r="B256" i="8"/>
  <c r="A256" i="8"/>
  <c r="AA255" i="8"/>
  <c r="W255" i="8"/>
  <c r="U255" i="8"/>
  <c r="P255" i="8"/>
  <c r="M255" i="8"/>
  <c r="J255" i="8"/>
  <c r="H255" i="8"/>
  <c r="B255" i="8"/>
  <c r="A255" i="8"/>
  <c r="AA254" i="8"/>
  <c r="W254" i="8"/>
  <c r="U254" i="8"/>
  <c r="P254" i="8"/>
  <c r="M254" i="8"/>
  <c r="J254" i="8"/>
  <c r="H254" i="8"/>
  <c r="B254" i="8"/>
  <c r="A254" i="8"/>
  <c r="AA253" i="8"/>
  <c r="W253" i="8"/>
  <c r="U253" i="8"/>
  <c r="R253" i="8"/>
  <c r="Q253" i="8"/>
  <c r="P253" i="8"/>
  <c r="M253" i="8"/>
  <c r="J253" i="8"/>
  <c r="H253" i="8"/>
  <c r="B253" i="8"/>
  <c r="A253" i="8"/>
  <c r="AA252" i="8"/>
  <c r="W252" i="8"/>
  <c r="U252" i="8"/>
  <c r="P252" i="8"/>
  <c r="M252" i="8"/>
  <c r="J252" i="8"/>
  <c r="H252" i="8"/>
  <c r="B252" i="8"/>
  <c r="A252" i="8"/>
  <c r="AA251" i="8"/>
  <c r="W251" i="8"/>
  <c r="U251" i="8"/>
  <c r="P251" i="8"/>
  <c r="M251" i="8"/>
  <c r="J251" i="8"/>
  <c r="H251" i="8"/>
  <c r="B251" i="8"/>
  <c r="A251" i="8"/>
  <c r="AA250" i="8"/>
  <c r="W250" i="8"/>
  <c r="U250" i="8"/>
  <c r="R250" i="8"/>
  <c r="Q250" i="8"/>
  <c r="P250" i="8"/>
  <c r="M250" i="8"/>
  <c r="J250" i="8"/>
  <c r="H250" i="8"/>
  <c r="B250" i="8"/>
  <c r="A250" i="8"/>
  <c r="AA249" i="8"/>
  <c r="W249" i="8"/>
  <c r="U249" i="8"/>
  <c r="P249" i="8"/>
  <c r="M249" i="8"/>
  <c r="J249" i="8"/>
  <c r="H249" i="8"/>
  <c r="B249" i="8"/>
  <c r="A249" i="8"/>
  <c r="AA248" i="8"/>
  <c r="W248" i="8"/>
  <c r="U248" i="8"/>
  <c r="P248" i="8"/>
  <c r="M248" i="8"/>
  <c r="J248" i="8"/>
  <c r="H248" i="8"/>
  <c r="B248" i="8"/>
  <c r="A248" i="8"/>
  <c r="AA247" i="8"/>
  <c r="W247" i="8"/>
  <c r="U247" i="8"/>
  <c r="P247" i="8"/>
  <c r="M247" i="8"/>
  <c r="J247" i="8"/>
  <c r="H247" i="8"/>
  <c r="B247" i="8"/>
  <c r="A247" i="8"/>
  <c r="AA246" i="8"/>
  <c r="W246" i="8"/>
  <c r="U246" i="8"/>
  <c r="P246" i="8"/>
  <c r="M246" i="8"/>
  <c r="J246" i="8"/>
  <c r="H246" i="8"/>
  <c r="B246" i="8"/>
  <c r="A246" i="8"/>
  <c r="AA245" i="8"/>
  <c r="W245" i="8"/>
  <c r="U245" i="8"/>
  <c r="P245" i="8"/>
  <c r="M245" i="8"/>
  <c r="J245" i="8"/>
  <c r="H245" i="8"/>
  <c r="B245" i="8"/>
  <c r="A245" i="8"/>
  <c r="AA244" i="8"/>
  <c r="W244" i="8"/>
  <c r="U244" i="8"/>
  <c r="P244" i="8"/>
  <c r="M244" i="8"/>
  <c r="J244" i="8"/>
  <c r="H244" i="8"/>
  <c r="B244" i="8"/>
  <c r="A244" i="8"/>
  <c r="AA243" i="8"/>
  <c r="W243" i="8"/>
  <c r="U243" i="8"/>
  <c r="P243" i="8"/>
  <c r="M243" i="8"/>
  <c r="J243" i="8"/>
  <c r="H243" i="8"/>
  <c r="B243" i="8"/>
  <c r="A243" i="8"/>
  <c r="AA242" i="8"/>
  <c r="W242" i="8"/>
  <c r="U242" i="8"/>
  <c r="P242" i="8"/>
  <c r="M242" i="8"/>
  <c r="J242" i="8"/>
  <c r="H242" i="8"/>
  <c r="B242" i="8"/>
  <c r="A242" i="8"/>
  <c r="AA241" i="8"/>
  <c r="W241" i="8"/>
  <c r="U241" i="8"/>
  <c r="P241" i="8"/>
  <c r="M241" i="8"/>
  <c r="J241" i="8"/>
  <c r="H241" i="8"/>
  <c r="B241" i="8"/>
  <c r="A241" i="8"/>
  <c r="AA240" i="8"/>
  <c r="W240" i="8"/>
  <c r="U240" i="8"/>
  <c r="M240" i="8"/>
  <c r="J240" i="8"/>
  <c r="H240" i="8"/>
  <c r="B240" i="8"/>
  <c r="A240" i="8"/>
  <c r="AA239" i="8"/>
  <c r="W239" i="8"/>
  <c r="U239" i="8"/>
  <c r="R239" i="8"/>
  <c r="Q239" i="8"/>
  <c r="P239" i="8"/>
  <c r="M239" i="8"/>
  <c r="J239" i="8"/>
  <c r="H239" i="8"/>
  <c r="B239" i="8"/>
  <c r="A239" i="8"/>
  <c r="AA238" i="8"/>
  <c r="W238" i="8"/>
  <c r="U238" i="8"/>
  <c r="P238" i="8"/>
  <c r="M238" i="8"/>
  <c r="J238" i="8"/>
  <c r="H238" i="8"/>
  <c r="B238" i="8"/>
  <c r="A238" i="8"/>
  <c r="AA237" i="8"/>
  <c r="W237" i="8"/>
  <c r="U237" i="8"/>
  <c r="P237" i="8"/>
  <c r="M237" i="8"/>
  <c r="J237" i="8"/>
  <c r="H237" i="8"/>
  <c r="B237" i="8"/>
  <c r="A237" i="8"/>
  <c r="AA236" i="8"/>
  <c r="W236" i="8"/>
  <c r="U236" i="8"/>
  <c r="P236" i="8"/>
  <c r="M236" i="8"/>
  <c r="J236" i="8"/>
  <c r="H236" i="8"/>
  <c r="B236" i="8"/>
  <c r="A236" i="8"/>
  <c r="AA235" i="8"/>
  <c r="W235" i="8"/>
  <c r="U235" i="8"/>
  <c r="P235" i="8"/>
  <c r="M235" i="8"/>
  <c r="J235" i="8"/>
  <c r="H235" i="8"/>
  <c r="B235" i="8"/>
  <c r="A235" i="8"/>
  <c r="AA234" i="8"/>
  <c r="W234" i="8"/>
  <c r="U234" i="8"/>
  <c r="P234" i="8"/>
  <c r="M234" i="8"/>
  <c r="J234" i="8"/>
  <c r="H234" i="8"/>
  <c r="B234" i="8"/>
  <c r="A234" i="8"/>
  <c r="AA233" i="8"/>
  <c r="W233" i="8"/>
  <c r="U233" i="8"/>
  <c r="P233" i="8"/>
  <c r="M233" i="8"/>
  <c r="J233" i="8"/>
  <c r="H233" i="8"/>
  <c r="B233" i="8"/>
  <c r="A233" i="8"/>
  <c r="AA232" i="8"/>
  <c r="W232" i="8"/>
  <c r="U232" i="8"/>
  <c r="P232" i="8"/>
  <c r="M232" i="8"/>
  <c r="J232" i="8"/>
  <c r="H232" i="8"/>
  <c r="B232" i="8"/>
  <c r="A232" i="8"/>
  <c r="AA231" i="8"/>
  <c r="W231" i="8"/>
  <c r="U231" i="8"/>
  <c r="P231" i="8"/>
  <c r="M231" i="8"/>
  <c r="J231" i="8"/>
  <c r="H231" i="8"/>
  <c r="B231" i="8"/>
  <c r="A231" i="8"/>
  <c r="AA230" i="8"/>
  <c r="W230" i="8"/>
  <c r="U230" i="8"/>
  <c r="P230" i="8"/>
  <c r="M230" i="8"/>
  <c r="J230" i="8"/>
  <c r="H230" i="8"/>
  <c r="B230" i="8"/>
  <c r="A230" i="8"/>
  <c r="AA229" i="8"/>
  <c r="W229" i="8"/>
  <c r="U229" i="8"/>
  <c r="P229" i="8"/>
  <c r="M229" i="8"/>
  <c r="J229" i="8"/>
  <c r="H229" i="8"/>
  <c r="B229" i="8"/>
  <c r="A229" i="8"/>
  <c r="AA228" i="8"/>
  <c r="W228" i="8"/>
  <c r="U228" i="8"/>
  <c r="P228" i="8"/>
  <c r="M228" i="8"/>
  <c r="J228" i="8"/>
  <c r="H228" i="8"/>
  <c r="B228" i="8"/>
  <c r="A228" i="8"/>
  <c r="AA227" i="8"/>
  <c r="W227" i="8"/>
  <c r="U227" i="8"/>
  <c r="P227" i="8"/>
  <c r="M227" i="8"/>
  <c r="J227" i="8"/>
  <c r="H227" i="8"/>
  <c r="B227" i="8"/>
  <c r="A227" i="8"/>
  <c r="AA226" i="8"/>
  <c r="W226" i="8"/>
  <c r="U226" i="8"/>
  <c r="P226" i="8"/>
  <c r="M226" i="8"/>
  <c r="J226" i="8"/>
  <c r="H226" i="8"/>
  <c r="B226" i="8"/>
  <c r="A226" i="8"/>
  <c r="AA225" i="8"/>
  <c r="W225" i="8"/>
  <c r="U225" i="8"/>
  <c r="P225" i="8"/>
  <c r="M225" i="8"/>
  <c r="J225" i="8"/>
  <c r="H225" i="8"/>
  <c r="B225" i="8"/>
  <c r="A225" i="8"/>
  <c r="AA224" i="8"/>
  <c r="W224" i="8"/>
  <c r="U224" i="8"/>
  <c r="P224" i="8"/>
  <c r="M224" i="8"/>
  <c r="J224" i="8"/>
  <c r="H224" i="8"/>
  <c r="B224" i="8"/>
  <c r="A224" i="8"/>
  <c r="AA223" i="8"/>
  <c r="W223" i="8"/>
  <c r="U223" i="8"/>
  <c r="P223" i="8"/>
  <c r="M223" i="8"/>
  <c r="J223" i="8"/>
  <c r="H223" i="8"/>
  <c r="B223" i="8"/>
  <c r="A223" i="8"/>
  <c r="AA222" i="8"/>
  <c r="W222" i="8"/>
  <c r="U222" i="8"/>
  <c r="R222" i="8"/>
  <c r="Q222" i="8"/>
  <c r="M222" i="8"/>
  <c r="J222" i="8"/>
  <c r="H222" i="8"/>
  <c r="B222" i="8"/>
  <c r="A222" i="8"/>
  <c r="AA221" i="8"/>
  <c r="W221" i="8"/>
  <c r="U221" i="8"/>
  <c r="P221" i="8"/>
  <c r="M221" i="8"/>
  <c r="J221" i="8"/>
  <c r="H221" i="8"/>
  <c r="B221" i="8"/>
  <c r="A221" i="8"/>
  <c r="AA220" i="8"/>
  <c r="W220" i="8"/>
  <c r="U220" i="8"/>
  <c r="P220" i="8"/>
  <c r="M220" i="8"/>
  <c r="J220" i="8"/>
  <c r="H220" i="8"/>
  <c r="B220" i="8"/>
  <c r="A220" i="8"/>
  <c r="AA219" i="8"/>
  <c r="W219" i="8"/>
  <c r="U219" i="8"/>
  <c r="M219" i="8"/>
  <c r="J219" i="8"/>
  <c r="H219" i="8"/>
  <c r="B219" i="8"/>
  <c r="A219" i="8"/>
  <c r="AA218" i="8"/>
  <c r="W218" i="8"/>
  <c r="U218" i="8"/>
  <c r="P218" i="8"/>
  <c r="M218" i="8"/>
  <c r="J218" i="8"/>
  <c r="H218" i="8"/>
  <c r="B218" i="8"/>
  <c r="A218" i="8"/>
  <c r="AA217" i="8"/>
  <c r="W217" i="8"/>
  <c r="U217" i="8"/>
  <c r="P217" i="8"/>
  <c r="M217" i="8"/>
  <c r="J217" i="8"/>
  <c r="H217" i="8"/>
  <c r="B217" i="8"/>
  <c r="A217" i="8"/>
  <c r="AA216" i="8"/>
  <c r="W216" i="8"/>
  <c r="U216" i="8"/>
  <c r="P216" i="8"/>
  <c r="M216" i="8"/>
  <c r="J216" i="8"/>
  <c r="H216" i="8"/>
  <c r="B216" i="8"/>
  <c r="A216" i="8"/>
  <c r="AA215" i="8"/>
  <c r="W215" i="8"/>
  <c r="U215" i="8"/>
  <c r="R215" i="8"/>
  <c r="Q215" i="8"/>
  <c r="P215" i="8"/>
  <c r="M215" i="8"/>
  <c r="J215" i="8"/>
  <c r="H215" i="8"/>
  <c r="B215" i="8"/>
  <c r="A215" i="8"/>
  <c r="AA214" i="8"/>
  <c r="W214" i="8"/>
  <c r="U214" i="8"/>
  <c r="R214" i="8"/>
  <c r="Q214" i="8"/>
  <c r="P214" i="8"/>
  <c r="M214" i="8"/>
  <c r="J214" i="8"/>
  <c r="H214" i="8"/>
  <c r="B214" i="8"/>
  <c r="A214" i="8"/>
  <c r="AA213" i="8"/>
  <c r="W213" i="8"/>
  <c r="U213" i="8"/>
  <c r="P213" i="8"/>
  <c r="M213" i="8"/>
  <c r="J213" i="8"/>
  <c r="H213" i="8"/>
  <c r="B213" i="8"/>
  <c r="A213" i="8"/>
  <c r="AA212" i="8"/>
  <c r="W212" i="8"/>
  <c r="U212" i="8"/>
  <c r="R212" i="8"/>
  <c r="Q212" i="8"/>
  <c r="P212" i="8"/>
  <c r="M212" i="8"/>
  <c r="J212" i="8"/>
  <c r="H212" i="8"/>
  <c r="B212" i="8"/>
  <c r="A212" i="8"/>
  <c r="AA211" i="8"/>
  <c r="W211" i="8"/>
  <c r="U211" i="8"/>
  <c r="P211" i="8"/>
  <c r="M211" i="8"/>
  <c r="J211" i="8"/>
  <c r="H211" i="8"/>
  <c r="B211" i="8"/>
  <c r="A211" i="8"/>
  <c r="AA210" i="8"/>
  <c r="W210" i="8"/>
  <c r="U210" i="8"/>
  <c r="P210" i="8"/>
  <c r="M210" i="8"/>
  <c r="J210" i="8"/>
  <c r="H210" i="8"/>
  <c r="B210" i="8"/>
  <c r="A210" i="8"/>
  <c r="AA209" i="8"/>
  <c r="W209" i="8"/>
  <c r="U209" i="8"/>
  <c r="P209" i="8"/>
  <c r="M209" i="8"/>
  <c r="J209" i="8"/>
  <c r="H209" i="8"/>
  <c r="B209" i="8"/>
  <c r="A209" i="8"/>
  <c r="AA208" i="8"/>
  <c r="W208" i="8"/>
  <c r="U208" i="8"/>
  <c r="P208" i="8"/>
  <c r="M208" i="8"/>
  <c r="J208" i="8"/>
  <c r="H208" i="8"/>
  <c r="B208" i="8"/>
  <c r="A208" i="8"/>
  <c r="AA207" i="8"/>
  <c r="W207" i="8"/>
  <c r="U207" i="8"/>
  <c r="P207" i="8"/>
  <c r="M207" i="8"/>
  <c r="J207" i="8"/>
  <c r="H207" i="8"/>
  <c r="B207" i="8"/>
  <c r="A207" i="8"/>
  <c r="AA206" i="8"/>
  <c r="W206" i="8"/>
  <c r="U206" i="8"/>
  <c r="M206" i="8"/>
  <c r="J206" i="8"/>
  <c r="H206" i="8"/>
  <c r="B206" i="8"/>
  <c r="A206" i="8"/>
  <c r="AA205" i="8"/>
  <c r="W205" i="8"/>
  <c r="U205" i="8"/>
  <c r="P205" i="8"/>
  <c r="M205" i="8"/>
  <c r="J205" i="8"/>
  <c r="H205" i="8"/>
  <c r="B205" i="8"/>
  <c r="A205" i="8"/>
  <c r="AA204" i="8"/>
  <c r="W204" i="8"/>
  <c r="U204" i="8"/>
  <c r="P204" i="8"/>
  <c r="M204" i="8"/>
  <c r="J204" i="8"/>
  <c r="H204" i="8"/>
  <c r="B204" i="8"/>
  <c r="A204" i="8"/>
  <c r="AA203" i="8"/>
  <c r="W203" i="8"/>
  <c r="U203" i="8"/>
  <c r="P203" i="8"/>
  <c r="M203" i="8"/>
  <c r="J203" i="8"/>
  <c r="H203" i="8"/>
  <c r="B203" i="8"/>
  <c r="A203" i="8"/>
  <c r="AA202" i="8"/>
  <c r="W202" i="8"/>
  <c r="U202" i="8"/>
  <c r="P202" i="8"/>
  <c r="M202" i="8"/>
  <c r="J202" i="8"/>
  <c r="H202" i="8"/>
  <c r="B202" i="8"/>
  <c r="A202" i="8"/>
  <c r="AA201" i="8"/>
  <c r="W201" i="8"/>
  <c r="U201" i="8"/>
  <c r="M201" i="8"/>
  <c r="J201" i="8"/>
  <c r="H201" i="8"/>
  <c r="B201" i="8"/>
  <c r="A201" i="8"/>
  <c r="AA200" i="8"/>
  <c r="W200" i="8"/>
  <c r="U200" i="8"/>
  <c r="P200" i="8"/>
  <c r="M200" i="8"/>
  <c r="J200" i="8"/>
  <c r="H200" i="8"/>
  <c r="B200" i="8"/>
  <c r="A200" i="8"/>
  <c r="AA199" i="8"/>
  <c r="W199" i="8"/>
  <c r="U199" i="8"/>
  <c r="P199" i="8"/>
  <c r="M199" i="8"/>
  <c r="J199" i="8"/>
  <c r="H199" i="8"/>
  <c r="B199" i="8"/>
  <c r="A199" i="8"/>
  <c r="AA198" i="8"/>
  <c r="W198" i="8"/>
  <c r="U198" i="8"/>
  <c r="P198" i="8"/>
  <c r="M198" i="8"/>
  <c r="J198" i="8"/>
  <c r="H198" i="8"/>
  <c r="B198" i="8"/>
  <c r="A198" i="8"/>
  <c r="AA197" i="8"/>
  <c r="W197" i="8"/>
  <c r="U197" i="8"/>
  <c r="P197" i="8"/>
  <c r="M197" i="8"/>
  <c r="J197" i="8"/>
  <c r="H197" i="8"/>
  <c r="B197" i="8"/>
  <c r="A197" i="8"/>
  <c r="AA196" i="8"/>
  <c r="W196" i="8"/>
  <c r="U196" i="8"/>
  <c r="P196" i="8"/>
  <c r="M196" i="8"/>
  <c r="J196" i="8"/>
  <c r="H196" i="8"/>
  <c r="B196" i="8"/>
  <c r="A196" i="8"/>
  <c r="AA195" i="8"/>
  <c r="W195" i="8"/>
  <c r="U195" i="8"/>
  <c r="P195" i="8"/>
  <c r="M195" i="8"/>
  <c r="J195" i="8"/>
  <c r="H195" i="8"/>
  <c r="B195" i="8"/>
  <c r="A195" i="8"/>
  <c r="AA194" i="8"/>
  <c r="W194" i="8"/>
  <c r="U194" i="8"/>
  <c r="R194" i="8"/>
  <c r="Q194" i="8"/>
  <c r="M194" i="8"/>
  <c r="J194" i="8"/>
  <c r="H194" i="8"/>
  <c r="B194" i="8"/>
  <c r="A194" i="8"/>
  <c r="AA193" i="8"/>
  <c r="W193" i="8"/>
  <c r="U193" i="8"/>
  <c r="P193" i="8"/>
  <c r="M193" i="8"/>
  <c r="J193" i="8"/>
  <c r="H193" i="8"/>
  <c r="B193" i="8"/>
  <c r="A193" i="8"/>
  <c r="AA192" i="8"/>
  <c r="W192" i="8"/>
  <c r="U192" i="8"/>
  <c r="P192" i="8"/>
  <c r="M192" i="8"/>
  <c r="J192" i="8"/>
  <c r="H192" i="8"/>
  <c r="B192" i="8"/>
  <c r="A192" i="8"/>
  <c r="AA191" i="8"/>
  <c r="W191" i="8"/>
  <c r="U191" i="8"/>
  <c r="R191" i="8"/>
  <c r="Q191" i="8"/>
  <c r="M191" i="8"/>
  <c r="J191" i="8"/>
  <c r="H191" i="8"/>
  <c r="B191" i="8"/>
  <c r="A191" i="8"/>
  <c r="AA190" i="8"/>
  <c r="W190" i="8"/>
  <c r="U190" i="8"/>
  <c r="P190" i="8"/>
  <c r="M190" i="8"/>
  <c r="J190" i="8"/>
  <c r="H190" i="8"/>
  <c r="B190" i="8"/>
  <c r="A190" i="8"/>
  <c r="AA189" i="8"/>
  <c r="W189" i="8"/>
  <c r="U189" i="8"/>
  <c r="M189" i="8"/>
  <c r="J189" i="8"/>
  <c r="H189" i="8"/>
  <c r="B189" i="8"/>
  <c r="A189" i="8"/>
  <c r="AA188" i="8"/>
  <c r="W188" i="8"/>
  <c r="U188" i="8"/>
  <c r="R188" i="8"/>
  <c r="Q188" i="8"/>
  <c r="P188" i="8"/>
  <c r="M188" i="8"/>
  <c r="J188" i="8"/>
  <c r="H188" i="8"/>
  <c r="B188" i="8"/>
  <c r="A188" i="8"/>
  <c r="AA187" i="8"/>
  <c r="W187" i="8"/>
  <c r="U187" i="8"/>
  <c r="R187" i="8"/>
  <c r="Q187" i="8"/>
  <c r="P187" i="8"/>
  <c r="M187" i="8"/>
  <c r="J187" i="8"/>
  <c r="H187" i="8"/>
  <c r="B187" i="8"/>
  <c r="A187" i="8"/>
  <c r="AA186" i="8"/>
  <c r="W186" i="8"/>
  <c r="U186" i="8"/>
  <c r="M186" i="8"/>
  <c r="J186" i="8"/>
  <c r="H186" i="8"/>
  <c r="B186" i="8"/>
  <c r="A186" i="8"/>
  <c r="AA185" i="8"/>
  <c r="W185" i="8"/>
  <c r="U185" i="8"/>
  <c r="P185" i="8"/>
  <c r="M185" i="8"/>
  <c r="J185" i="8"/>
  <c r="H185" i="8"/>
  <c r="B185" i="8"/>
  <c r="A185" i="8"/>
  <c r="AA184" i="8"/>
  <c r="W184" i="8"/>
  <c r="U184" i="8"/>
  <c r="P184" i="8"/>
  <c r="M184" i="8"/>
  <c r="J184" i="8"/>
  <c r="H184" i="8"/>
  <c r="B184" i="8"/>
  <c r="A184" i="8"/>
  <c r="AA183" i="8"/>
  <c r="W183" i="8"/>
  <c r="U183" i="8"/>
  <c r="M183" i="8"/>
  <c r="J183" i="8"/>
  <c r="H183" i="8"/>
  <c r="B183" i="8"/>
  <c r="A183" i="8"/>
  <c r="AA182" i="8"/>
  <c r="W182" i="8"/>
  <c r="U182" i="8"/>
  <c r="P182" i="8"/>
  <c r="M182" i="8"/>
  <c r="J182" i="8"/>
  <c r="H182" i="8"/>
  <c r="B182" i="8"/>
  <c r="A182" i="8"/>
  <c r="AA181" i="8"/>
  <c r="W181" i="8"/>
  <c r="U181" i="8"/>
  <c r="P181" i="8"/>
  <c r="M181" i="8"/>
  <c r="J181" i="8"/>
  <c r="H181" i="8"/>
  <c r="B181" i="8"/>
  <c r="A181" i="8"/>
  <c r="AA180" i="8"/>
  <c r="W180" i="8"/>
  <c r="U180" i="8"/>
  <c r="P180" i="8"/>
  <c r="M180" i="8"/>
  <c r="J180" i="8"/>
  <c r="H180" i="8"/>
  <c r="B180" i="8"/>
  <c r="A180" i="8"/>
  <c r="AA179" i="8"/>
  <c r="W179" i="8"/>
  <c r="U179" i="8"/>
  <c r="M179" i="8"/>
  <c r="J179" i="8"/>
  <c r="H179" i="8"/>
  <c r="B179" i="8"/>
  <c r="A179" i="8"/>
  <c r="AA178" i="8"/>
  <c r="W178" i="8"/>
  <c r="U178" i="8"/>
  <c r="P178" i="8"/>
  <c r="M178" i="8"/>
  <c r="J178" i="8"/>
  <c r="H178" i="8"/>
  <c r="B178" i="8"/>
  <c r="A178" i="8"/>
  <c r="AA177" i="8"/>
  <c r="W177" i="8"/>
  <c r="U177" i="8"/>
  <c r="P177" i="8"/>
  <c r="M177" i="8"/>
  <c r="J177" i="8"/>
  <c r="H177" i="8"/>
  <c r="B177" i="8"/>
  <c r="A177" i="8"/>
  <c r="AA176" i="8"/>
  <c r="W176" i="8"/>
  <c r="U176" i="8"/>
  <c r="P176" i="8"/>
  <c r="M176" i="8"/>
  <c r="J176" i="8"/>
  <c r="H176" i="8"/>
  <c r="B176" i="8"/>
  <c r="A176" i="8"/>
  <c r="AA175" i="8"/>
  <c r="W175" i="8"/>
  <c r="U175" i="8"/>
  <c r="R175" i="8"/>
  <c r="Q175" i="8"/>
  <c r="P175" i="8"/>
  <c r="M175" i="8"/>
  <c r="J175" i="8"/>
  <c r="H175" i="8"/>
  <c r="B175" i="8"/>
  <c r="A175" i="8"/>
  <c r="AA174" i="8"/>
  <c r="W174" i="8"/>
  <c r="U174" i="8"/>
  <c r="P174" i="8"/>
  <c r="M174" i="8"/>
  <c r="J174" i="8"/>
  <c r="H174" i="8"/>
  <c r="B174" i="8"/>
  <c r="A174" i="8"/>
  <c r="AA173" i="8"/>
  <c r="W173" i="8"/>
  <c r="U173" i="8"/>
  <c r="M173" i="8"/>
  <c r="J173" i="8"/>
  <c r="H173" i="8"/>
  <c r="B173" i="8"/>
  <c r="A173" i="8"/>
  <c r="AA172" i="8"/>
  <c r="W172" i="8"/>
  <c r="U172" i="8"/>
  <c r="P172" i="8"/>
  <c r="M172" i="8"/>
  <c r="J172" i="8"/>
  <c r="H172" i="8"/>
  <c r="B172" i="8"/>
  <c r="A172" i="8"/>
  <c r="AA171" i="8"/>
  <c r="W171" i="8"/>
  <c r="U171" i="8"/>
  <c r="P171" i="8"/>
  <c r="M171" i="8"/>
  <c r="J171" i="8"/>
  <c r="H171" i="8"/>
  <c r="B171" i="8"/>
  <c r="A171" i="8"/>
  <c r="AA170" i="8"/>
  <c r="W170" i="8"/>
  <c r="U170" i="8"/>
  <c r="P170" i="8"/>
  <c r="M170" i="8"/>
  <c r="J170" i="8"/>
  <c r="H170" i="8"/>
  <c r="B170" i="8"/>
  <c r="A170" i="8"/>
  <c r="AA169" i="8"/>
  <c r="W169" i="8"/>
  <c r="U169" i="8"/>
  <c r="P169" i="8"/>
  <c r="M169" i="8"/>
  <c r="J169" i="8"/>
  <c r="H169" i="8"/>
  <c r="B169" i="8"/>
  <c r="A169" i="8"/>
  <c r="AA168" i="8"/>
  <c r="W168" i="8"/>
  <c r="U168" i="8"/>
  <c r="P168" i="8"/>
  <c r="M168" i="8"/>
  <c r="J168" i="8"/>
  <c r="H168" i="8"/>
  <c r="B168" i="8"/>
  <c r="A168" i="8"/>
  <c r="AA167" i="8"/>
  <c r="W167" i="8"/>
  <c r="U167" i="8"/>
  <c r="P167" i="8"/>
  <c r="M167" i="8"/>
  <c r="J167" i="8"/>
  <c r="H167" i="8"/>
  <c r="B167" i="8"/>
  <c r="A167" i="8"/>
  <c r="AA166" i="8"/>
  <c r="W166" i="8"/>
  <c r="U166" i="8"/>
  <c r="P166" i="8"/>
  <c r="M166" i="8"/>
  <c r="J166" i="8"/>
  <c r="H166" i="8"/>
  <c r="B166" i="8"/>
  <c r="A166" i="8"/>
  <c r="AA165" i="8"/>
  <c r="W165" i="8"/>
  <c r="U165" i="8"/>
  <c r="M165" i="8"/>
  <c r="J165" i="8"/>
  <c r="H165" i="8"/>
  <c r="B165" i="8"/>
  <c r="A165" i="8"/>
  <c r="AA164" i="8"/>
  <c r="W164" i="8"/>
  <c r="U164" i="8"/>
  <c r="P164" i="8"/>
  <c r="M164" i="8"/>
  <c r="J164" i="8"/>
  <c r="H164" i="8"/>
  <c r="B164" i="8"/>
  <c r="A164" i="8"/>
  <c r="AA163" i="8"/>
  <c r="W163" i="8"/>
  <c r="U163" i="8"/>
  <c r="P163" i="8"/>
  <c r="M163" i="8"/>
  <c r="J163" i="8"/>
  <c r="H163" i="8"/>
  <c r="B163" i="8"/>
  <c r="A163" i="8"/>
  <c r="AA162" i="8"/>
  <c r="W162" i="8"/>
  <c r="U162" i="8"/>
  <c r="P162" i="8"/>
  <c r="M162" i="8"/>
  <c r="J162" i="8"/>
  <c r="H162" i="8"/>
  <c r="B162" i="8"/>
  <c r="A162" i="8"/>
  <c r="AA161" i="8"/>
  <c r="W161" i="8"/>
  <c r="U161" i="8"/>
  <c r="P161" i="8"/>
  <c r="M161" i="8"/>
  <c r="J161" i="8"/>
  <c r="H161" i="8"/>
  <c r="B161" i="8"/>
  <c r="A161" i="8"/>
  <c r="AA160" i="8"/>
  <c r="W160" i="8"/>
  <c r="U160" i="8"/>
  <c r="P160" i="8"/>
  <c r="M160" i="8"/>
  <c r="J160" i="8"/>
  <c r="H160" i="8"/>
  <c r="B160" i="8"/>
  <c r="A160" i="8"/>
  <c r="AA159" i="8"/>
  <c r="W159" i="8"/>
  <c r="U159" i="8"/>
  <c r="P159" i="8"/>
  <c r="M159" i="8"/>
  <c r="J159" i="8"/>
  <c r="H159" i="8"/>
  <c r="B159" i="8"/>
  <c r="A159" i="8"/>
  <c r="AA158" i="8"/>
  <c r="W158" i="8"/>
  <c r="U158" i="8"/>
  <c r="M158" i="8"/>
  <c r="J158" i="8"/>
  <c r="H158" i="8"/>
  <c r="B158" i="8"/>
  <c r="A158" i="8"/>
  <c r="AA157" i="8"/>
  <c r="W157" i="8"/>
  <c r="U157" i="8"/>
  <c r="R157" i="8"/>
  <c r="Q157" i="8"/>
  <c r="P157" i="8"/>
  <c r="M157" i="8"/>
  <c r="J157" i="8"/>
  <c r="H157" i="8"/>
  <c r="B157" i="8"/>
  <c r="A157" i="8"/>
  <c r="AA156" i="8"/>
  <c r="W156" i="8"/>
  <c r="U156" i="8"/>
  <c r="P156" i="8"/>
  <c r="M156" i="8"/>
  <c r="J156" i="8"/>
  <c r="H156" i="8"/>
  <c r="B156" i="8"/>
  <c r="A156" i="8"/>
  <c r="AA155" i="8"/>
  <c r="W155" i="8"/>
  <c r="U155" i="8"/>
  <c r="P155" i="8"/>
  <c r="M155" i="8"/>
  <c r="J155" i="8"/>
  <c r="H155" i="8"/>
  <c r="B155" i="8"/>
  <c r="A155" i="8"/>
  <c r="AA154" i="8"/>
  <c r="W154" i="8"/>
  <c r="U154" i="8"/>
  <c r="P154" i="8"/>
  <c r="M154" i="8"/>
  <c r="J154" i="8"/>
  <c r="H154" i="8"/>
  <c r="B154" i="8"/>
  <c r="A154" i="8"/>
  <c r="AA153" i="8"/>
  <c r="W153" i="8"/>
  <c r="U153" i="8"/>
  <c r="P153" i="8"/>
  <c r="M153" i="8"/>
  <c r="J153" i="8"/>
  <c r="H153" i="8"/>
  <c r="B153" i="8"/>
  <c r="A153" i="8"/>
  <c r="AA152" i="8"/>
  <c r="W152" i="8"/>
  <c r="U152" i="8"/>
  <c r="P152" i="8"/>
  <c r="M152" i="8"/>
  <c r="J152" i="8"/>
  <c r="H152" i="8"/>
  <c r="B152" i="8"/>
  <c r="A152" i="8"/>
  <c r="AA151" i="8"/>
  <c r="W151" i="8"/>
  <c r="U151" i="8"/>
  <c r="P151" i="8"/>
  <c r="M151" i="8"/>
  <c r="J151" i="8"/>
  <c r="H151" i="8"/>
  <c r="B151" i="8"/>
  <c r="A151" i="8"/>
  <c r="AA150" i="8"/>
  <c r="W150" i="8"/>
  <c r="U150" i="8"/>
  <c r="P150" i="8"/>
  <c r="M150" i="8"/>
  <c r="J150" i="8"/>
  <c r="H150" i="8"/>
  <c r="B150" i="8"/>
  <c r="A150" i="8"/>
  <c r="AA149" i="8"/>
  <c r="W149" i="8"/>
  <c r="U149" i="8"/>
  <c r="P149" i="8"/>
  <c r="M149" i="8"/>
  <c r="J149" i="8"/>
  <c r="H149" i="8"/>
  <c r="B149" i="8"/>
  <c r="A149" i="8"/>
  <c r="AA148" i="8"/>
  <c r="W148" i="8"/>
  <c r="U148" i="8"/>
  <c r="P148" i="8"/>
  <c r="M148" i="8"/>
  <c r="J148" i="8"/>
  <c r="H148" i="8"/>
  <c r="B148" i="8"/>
  <c r="A148" i="8"/>
  <c r="AA147" i="8"/>
  <c r="W147" i="8"/>
  <c r="U147" i="8"/>
  <c r="P147" i="8"/>
  <c r="M147" i="8"/>
  <c r="J147" i="8"/>
  <c r="H147" i="8"/>
  <c r="B147" i="8"/>
  <c r="A147" i="8"/>
  <c r="AA146" i="8"/>
  <c r="W146" i="8"/>
  <c r="U146" i="8"/>
  <c r="R146" i="8"/>
  <c r="Q146" i="8"/>
  <c r="M146" i="8"/>
  <c r="J146" i="8"/>
  <c r="H146" i="8"/>
  <c r="B146" i="8"/>
  <c r="A146" i="8"/>
  <c r="AA145" i="8"/>
  <c r="W145" i="8"/>
  <c r="U145" i="8"/>
  <c r="R145" i="8"/>
  <c r="Q145" i="8"/>
  <c r="M145" i="8"/>
  <c r="J145" i="8"/>
  <c r="H145" i="8"/>
  <c r="B145" i="8"/>
  <c r="A145" i="8"/>
  <c r="AA144" i="8"/>
  <c r="W144" i="8"/>
  <c r="U144" i="8"/>
  <c r="P144" i="8"/>
  <c r="M144" i="8"/>
  <c r="J144" i="8"/>
  <c r="H144" i="8"/>
  <c r="B144" i="8"/>
  <c r="A144" i="8"/>
  <c r="AA143" i="8"/>
  <c r="W143" i="8"/>
  <c r="U143" i="8"/>
  <c r="P143" i="8"/>
  <c r="M143" i="8"/>
  <c r="J143" i="8"/>
  <c r="H143" i="8"/>
  <c r="B143" i="8"/>
  <c r="A143" i="8"/>
  <c r="AA142" i="8"/>
  <c r="W142" i="8"/>
  <c r="U142" i="8"/>
  <c r="P142" i="8"/>
  <c r="M142" i="8"/>
  <c r="J142" i="8"/>
  <c r="H142" i="8"/>
  <c r="B142" i="8"/>
  <c r="A142" i="8"/>
  <c r="AA141" i="8"/>
  <c r="W141" i="8"/>
  <c r="U141" i="8"/>
  <c r="P141" i="8"/>
  <c r="M141" i="8"/>
  <c r="J141" i="8"/>
  <c r="H141" i="8"/>
  <c r="B141" i="8"/>
  <c r="A141" i="8"/>
  <c r="AA140" i="8"/>
  <c r="W140" i="8"/>
  <c r="U140" i="8"/>
  <c r="M140" i="8"/>
  <c r="J140" i="8"/>
  <c r="H140" i="8"/>
  <c r="B140" i="8"/>
  <c r="A140" i="8"/>
  <c r="AA139" i="8"/>
  <c r="W139" i="8"/>
  <c r="U139" i="8"/>
  <c r="P139" i="8"/>
  <c r="M139" i="8"/>
  <c r="J139" i="8"/>
  <c r="H139" i="8"/>
  <c r="B139" i="8"/>
  <c r="A139" i="8"/>
  <c r="AA138" i="8"/>
  <c r="W138" i="8"/>
  <c r="U138" i="8"/>
  <c r="P138" i="8"/>
  <c r="M138" i="8"/>
  <c r="J138" i="8"/>
  <c r="H138" i="8"/>
  <c r="B138" i="8"/>
  <c r="A138" i="8"/>
  <c r="AA137" i="8"/>
  <c r="W137" i="8"/>
  <c r="U137" i="8"/>
  <c r="R137" i="8"/>
  <c r="Q137" i="8"/>
  <c r="P137" i="8"/>
  <c r="M137" i="8"/>
  <c r="J137" i="8"/>
  <c r="H137" i="8"/>
  <c r="B137" i="8"/>
  <c r="A137" i="8"/>
  <c r="AA136" i="8"/>
  <c r="W136" i="8"/>
  <c r="U136" i="8"/>
  <c r="P136" i="8"/>
  <c r="M136" i="8"/>
  <c r="J136" i="8"/>
  <c r="H136" i="8"/>
  <c r="B136" i="8"/>
  <c r="A136" i="8"/>
  <c r="AA135" i="8"/>
  <c r="W135" i="8"/>
  <c r="U135" i="8"/>
  <c r="P135" i="8"/>
  <c r="M135" i="8"/>
  <c r="J135" i="8"/>
  <c r="H135" i="8"/>
  <c r="B135" i="8"/>
  <c r="A135" i="8"/>
  <c r="AA134" i="8"/>
  <c r="W134" i="8"/>
  <c r="U134" i="8"/>
  <c r="P134" i="8"/>
  <c r="M134" i="8"/>
  <c r="J134" i="8"/>
  <c r="H134" i="8"/>
  <c r="B134" i="8"/>
  <c r="A134" i="8"/>
  <c r="AA133" i="8"/>
  <c r="W133" i="8"/>
  <c r="U133" i="8"/>
  <c r="R133" i="8"/>
  <c r="Q133" i="8"/>
  <c r="M133" i="8"/>
  <c r="J133" i="8"/>
  <c r="H133" i="8"/>
  <c r="B133" i="8"/>
  <c r="A133" i="8"/>
  <c r="AA132" i="8"/>
  <c r="W132" i="8"/>
  <c r="U132" i="8"/>
  <c r="P132" i="8"/>
  <c r="M132" i="8"/>
  <c r="J132" i="8"/>
  <c r="H132" i="8"/>
  <c r="B132" i="8"/>
  <c r="A132" i="8"/>
  <c r="AA131" i="8"/>
  <c r="W131" i="8"/>
  <c r="U131" i="8"/>
  <c r="R131" i="8"/>
  <c r="Q131" i="8"/>
  <c r="P131" i="8"/>
  <c r="M131" i="8"/>
  <c r="J131" i="8"/>
  <c r="H131" i="8"/>
  <c r="B131" i="8"/>
  <c r="A131" i="8"/>
  <c r="AA130" i="8"/>
  <c r="W130" i="8"/>
  <c r="U130" i="8"/>
  <c r="P130" i="8"/>
  <c r="M130" i="8"/>
  <c r="J130" i="8"/>
  <c r="H130" i="8"/>
  <c r="B130" i="8"/>
  <c r="A130" i="8"/>
  <c r="AA129" i="8"/>
  <c r="W129" i="8"/>
  <c r="U129" i="8"/>
  <c r="P129" i="8"/>
  <c r="M129" i="8"/>
  <c r="J129" i="8"/>
  <c r="H129" i="8"/>
  <c r="B129" i="8"/>
  <c r="A129" i="8"/>
  <c r="AA128" i="8"/>
  <c r="W128" i="8"/>
  <c r="U128" i="8"/>
  <c r="P128" i="8"/>
  <c r="M128" i="8"/>
  <c r="J128" i="8"/>
  <c r="H128" i="8"/>
  <c r="B128" i="8"/>
  <c r="A128" i="8"/>
  <c r="AA127" i="8"/>
  <c r="W127" i="8"/>
  <c r="U127" i="8"/>
  <c r="P127" i="8"/>
  <c r="M127" i="8"/>
  <c r="J127" i="8"/>
  <c r="H127" i="8"/>
  <c r="B127" i="8"/>
  <c r="A127" i="8"/>
  <c r="AA126" i="8"/>
  <c r="W126" i="8"/>
  <c r="U126" i="8"/>
  <c r="P126" i="8"/>
  <c r="M126" i="8"/>
  <c r="J126" i="8"/>
  <c r="H126" i="8"/>
  <c r="B126" i="8"/>
  <c r="A126" i="8"/>
  <c r="AA125" i="8"/>
  <c r="W125" i="8"/>
  <c r="U125" i="8"/>
  <c r="P125" i="8"/>
  <c r="M125" i="8"/>
  <c r="J125" i="8"/>
  <c r="H125" i="8"/>
  <c r="B125" i="8"/>
  <c r="A125" i="8"/>
  <c r="AA124" i="8"/>
  <c r="W124" i="8"/>
  <c r="U124" i="8"/>
  <c r="M124" i="8"/>
  <c r="J124" i="8"/>
  <c r="H124" i="8"/>
  <c r="B124" i="8"/>
  <c r="A124" i="8"/>
  <c r="AA123" i="8"/>
  <c r="W123" i="8"/>
  <c r="U123" i="8"/>
  <c r="P123" i="8"/>
  <c r="M123" i="8"/>
  <c r="J123" i="8"/>
  <c r="H123" i="8"/>
  <c r="B123" i="8"/>
  <c r="A123" i="8"/>
  <c r="AA122" i="8"/>
  <c r="W122" i="8"/>
  <c r="U122" i="8"/>
  <c r="P122" i="8"/>
  <c r="M122" i="8"/>
  <c r="J122" i="8"/>
  <c r="H122" i="8"/>
  <c r="B122" i="8"/>
  <c r="A122" i="8"/>
  <c r="AA121" i="8"/>
  <c r="W121" i="8"/>
  <c r="U121" i="8"/>
  <c r="M121" i="8"/>
  <c r="J121" i="8"/>
  <c r="H121" i="8"/>
  <c r="B121" i="8"/>
  <c r="A121" i="8"/>
  <c r="AA120" i="8"/>
  <c r="W120" i="8"/>
  <c r="U120" i="8"/>
  <c r="M120" i="8"/>
  <c r="J120" i="8"/>
  <c r="H120" i="8"/>
  <c r="B120" i="8"/>
  <c r="A120" i="8"/>
  <c r="AA119" i="8"/>
  <c r="W119" i="8"/>
  <c r="U119" i="8"/>
  <c r="M119" i="8"/>
  <c r="J119" i="8"/>
  <c r="H119" i="8"/>
  <c r="B119" i="8"/>
  <c r="A119" i="8"/>
  <c r="AA118" i="8"/>
  <c r="W118" i="8"/>
  <c r="U118" i="8"/>
  <c r="M118" i="8"/>
  <c r="J118" i="8"/>
  <c r="H118" i="8"/>
  <c r="B118" i="8"/>
  <c r="A118" i="8"/>
  <c r="AA117" i="8"/>
  <c r="W117" i="8"/>
  <c r="U117" i="8"/>
  <c r="P117" i="8"/>
  <c r="M117" i="8"/>
  <c r="J117" i="8"/>
  <c r="H117" i="8"/>
  <c r="B117" i="8"/>
  <c r="A117" i="8"/>
  <c r="AA116" i="8"/>
  <c r="W116" i="8"/>
  <c r="U116" i="8"/>
  <c r="R116" i="8"/>
  <c r="Q116" i="8"/>
  <c r="M116" i="8"/>
  <c r="J116" i="8"/>
  <c r="H116" i="8"/>
  <c r="B116" i="8"/>
  <c r="A116" i="8"/>
  <c r="AA115" i="8"/>
  <c r="W115" i="8"/>
  <c r="U115" i="8"/>
  <c r="P115" i="8"/>
  <c r="M115" i="8"/>
  <c r="J115" i="8"/>
  <c r="H115" i="8"/>
  <c r="B115" i="8"/>
  <c r="A115" i="8"/>
  <c r="AA114" i="8"/>
  <c r="W114" i="8"/>
  <c r="U114" i="8"/>
  <c r="P114" i="8"/>
  <c r="M114" i="8"/>
  <c r="J114" i="8"/>
  <c r="H114" i="8"/>
  <c r="B114" i="8"/>
  <c r="A114" i="8"/>
  <c r="AA113" i="8"/>
  <c r="W113" i="8"/>
  <c r="U113" i="8"/>
  <c r="P113" i="8"/>
  <c r="M113" i="8"/>
  <c r="J113" i="8"/>
  <c r="H113" i="8"/>
  <c r="B113" i="8"/>
  <c r="A113" i="8"/>
  <c r="AA112" i="8"/>
  <c r="W112" i="8"/>
  <c r="U112" i="8"/>
  <c r="M112" i="8"/>
  <c r="J112" i="8"/>
  <c r="H112" i="8"/>
  <c r="B112" i="8"/>
  <c r="A112" i="8"/>
  <c r="AA111" i="8"/>
  <c r="W111" i="8"/>
  <c r="U111" i="8"/>
  <c r="P111" i="8"/>
  <c r="M111" i="8"/>
  <c r="J111" i="8"/>
  <c r="H111" i="8"/>
  <c r="B111" i="8"/>
  <c r="A111" i="8"/>
  <c r="AA110" i="8"/>
  <c r="W110" i="8"/>
  <c r="U110" i="8"/>
  <c r="M110" i="8"/>
  <c r="J110" i="8"/>
  <c r="H110" i="8"/>
  <c r="B110" i="8"/>
  <c r="A110" i="8"/>
  <c r="AA109" i="8"/>
  <c r="W109" i="8"/>
  <c r="U109" i="8"/>
  <c r="P109" i="8"/>
  <c r="M109" i="8"/>
  <c r="J109" i="8"/>
  <c r="H109" i="8"/>
  <c r="B109" i="8"/>
  <c r="A109" i="8"/>
  <c r="AA108" i="8"/>
  <c r="W108" i="8"/>
  <c r="U108" i="8"/>
  <c r="P108" i="8"/>
  <c r="M108" i="8"/>
  <c r="J108" i="8"/>
  <c r="H108" i="8"/>
  <c r="B108" i="8"/>
  <c r="A108" i="8"/>
  <c r="AA107" i="8"/>
  <c r="W107" i="8"/>
  <c r="U107" i="8"/>
  <c r="P107" i="8"/>
  <c r="M107" i="8"/>
  <c r="J107" i="8"/>
  <c r="H107" i="8"/>
  <c r="B107" i="8"/>
  <c r="A107" i="8"/>
  <c r="AA106" i="8"/>
  <c r="W106" i="8"/>
  <c r="U106" i="8"/>
  <c r="R106" i="8"/>
  <c r="Q106" i="8"/>
  <c r="P106" i="8"/>
  <c r="M106" i="8"/>
  <c r="J106" i="8"/>
  <c r="H106" i="8"/>
  <c r="B106" i="8"/>
  <c r="A106" i="8"/>
  <c r="AA105" i="8"/>
  <c r="W105" i="8"/>
  <c r="U105" i="8"/>
  <c r="P105" i="8"/>
  <c r="M105" i="8"/>
  <c r="J105" i="8"/>
  <c r="H105" i="8"/>
  <c r="B105" i="8"/>
  <c r="A105" i="8"/>
  <c r="AA104" i="8"/>
  <c r="W104" i="8"/>
  <c r="U104" i="8"/>
  <c r="P104" i="8"/>
  <c r="M104" i="8"/>
  <c r="J104" i="8"/>
  <c r="H104" i="8"/>
  <c r="B104" i="8"/>
  <c r="A104" i="8"/>
  <c r="AA103" i="8"/>
  <c r="W103" i="8"/>
  <c r="U103" i="8"/>
  <c r="M103" i="8"/>
  <c r="J103" i="8"/>
  <c r="H103" i="8"/>
  <c r="B103" i="8"/>
  <c r="A103" i="8"/>
  <c r="AA102" i="8"/>
  <c r="W102" i="8"/>
  <c r="U102" i="8"/>
  <c r="P102" i="8"/>
  <c r="M102" i="8"/>
  <c r="J102" i="8"/>
  <c r="H102" i="8"/>
  <c r="B102" i="8"/>
  <c r="A102" i="8"/>
  <c r="AA101" i="8"/>
  <c r="W101" i="8"/>
  <c r="U101" i="8"/>
  <c r="P101" i="8"/>
  <c r="M101" i="8"/>
  <c r="J101" i="8"/>
  <c r="H101" i="8"/>
  <c r="B101" i="8"/>
  <c r="A101" i="8"/>
  <c r="AA100" i="8"/>
  <c r="W100" i="8"/>
  <c r="U100" i="8"/>
  <c r="P100" i="8"/>
  <c r="M100" i="8"/>
  <c r="J100" i="8"/>
  <c r="H100" i="8"/>
  <c r="B100" i="8"/>
  <c r="A100" i="8"/>
  <c r="AA99" i="8"/>
  <c r="W99" i="8"/>
  <c r="U99" i="8"/>
  <c r="P99" i="8"/>
  <c r="M99" i="8"/>
  <c r="J99" i="8"/>
  <c r="H99" i="8"/>
  <c r="B99" i="8"/>
  <c r="A99" i="8"/>
  <c r="AA98" i="8"/>
  <c r="W98" i="8"/>
  <c r="U98" i="8"/>
  <c r="P98" i="8"/>
  <c r="M98" i="8"/>
  <c r="J98" i="8"/>
  <c r="H98" i="8"/>
  <c r="B98" i="8"/>
  <c r="A98" i="8"/>
  <c r="AA97" i="8"/>
  <c r="W97" i="8"/>
  <c r="U97" i="8"/>
  <c r="P97" i="8"/>
  <c r="M97" i="8"/>
  <c r="J97" i="8"/>
  <c r="H97" i="8"/>
  <c r="B97" i="8"/>
  <c r="A97" i="8"/>
  <c r="AA96" i="8"/>
  <c r="W96" i="8"/>
  <c r="U96" i="8"/>
  <c r="P96" i="8"/>
  <c r="M96" i="8"/>
  <c r="J96" i="8"/>
  <c r="H96" i="8"/>
  <c r="B96" i="8"/>
  <c r="A96" i="8"/>
  <c r="AA95" i="8"/>
  <c r="W95" i="8"/>
  <c r="U95" i="8"/>
  <c r="P95" i="8"/>
  <c r="M95" i="8"/>
  <c r="J95" i="8"/>
  <c r="H95" i="8"/>
  <c r="B95" i="8"/>
  <c r="A95" i="8"/>
  <c r="AA94" i="8"/>
  <c r="W94" i="8"/>
  <c r="U94" i="8"/>
  <c r="P94" i="8"/>
  <c r="M94" i="8"/>
  <c r="J94" i="8"/>
  <c r="H94" i="8"/>
  <c r="B94" i="8"/>
  <c r="A94" i="8"/>
  <c r="AA93" i="8"/>
  <c r="W93" i="8"/>
  <c r="U93" i="8"/>
  <c r="P93" i="8"/>
  <c r="M93" i="8"/>
  <c r="J93" i="8"/>
  <c r="H93" i="8"/>
  <c r="B93" i="8"/>
  <c r="A93" i="8"/>
  <c r="AA92" i="8"/>
  <c r="W92" i="8"/>
  <c r="U92" i="8"/>
  <c r="P92" i="8"/>
  <c r="M92" i="8"/>
  <c r="J92" i="8"/>
  <c r="H92" i="8"/>
  <c r="B92" i="8"/>
  <c r="A92" i="8"/>
  <c r="AA91" i="8"/>
  <c r="W91" i="8"/>
  <c r="U91" i="8"/>
  <c r="P91" i="8"/>
  <c r="M91" i="8"/>
  <c r="J91" i="8"/>
  <c r="H91" i="8"/>
  <c r="B91" i="8"/>
  <c r="A91" i="8"/>
  <c r="AA90" i="8"/>
  <c r="W90" i="8"/>
  <c r="U90" i="8"/>
  <c r="R90" i="8"/>
  <c r="Q90" i="8"/>
  <c r="P90" i="8"/>
  <c r="M90" i="8"/>
  <c r="J90" i="8"/>
  <c r="H90" i="8"/>
  <c r="B90" i="8"/>
  <c r="A90" i="8"/>
  <c r="AA89" i="8"/>
  <c r="W89" i="8"/>
  <c r="U89" i="8"/>
  <c r="R89" i="8"/>
  <c r="Q89" i="8"/>
  <c r="P89" i="8"/>
  <c r="M89" i="8"/>
  <c r="J89" i="8"/>
  <c r="H89" i="8"/>
  <c r="B89" i="8"/>
  <c r="A89" i="8"/>
  <c r="AA88" i="8"/>
  <c r="W88" i="8"/>
  <c r="U88" i="8"/>
  <c r="P88" i="8"/>
  <c r="M88" i="8"/>
  <c r="J88" i="8"/>
  <c r="H88" i="8"/>
  <c r="B88" i="8"/>
  <c r="A88" i="8"/>
  <c r="AA87" i="8"/>
  <c r="W87" i="8"/>
  <c r="U87" i="8"/>
  <c r="P87" i="8"/>
  <c r="M87" i="8"/>
  <c r="J87" i="8"/>
  <c r="H87" i="8"/>
  <c r="B87" i="8"/>
  <c r="A87" i="8"/>
  <c r="AA86" i="8"/>
  <c r="W86" i="8"/>
  <c r="U86" i="8"/>
  <c r="P86" i="8"/>
  <c r="M86" i="8"/>
  <c r="J86" i="8"/>
  <c r="H86" i="8"/>
  <c r="B86" i="8"/>
  <c r="A86" i="8"/>
  <c r="AA85" i="8"/>
  <c r="W85" i="8"/>
  <c r="U85" i="8"/>
  <c r="P85" i="8"/>
  <c r="M85" i="8"/>
  <c r="J85" i="8"/>
  <c r="H85" i="8"/>
  <c r="B85" i="8"/>
  <c r="A85" i="8"/>
  <c r="AA84" i="8"/>
  <c r="W84" i="8"/>
  <c r="U84" i="8"/>
  <c r="P84" i="8"/>
  <c r="M84" i="8"/>
  <c r="J84" i="8"/>
  <c r="H84" i="8"/>
  <c r="B84" i="8"/>
  <c r="A84" i="8"/>
  <c r="AA83" i="8"/>
  <c r="W83" i="8"/>
  <c r="U83" i="8"/>
  <c r="P83" i="8"/>
  <c r="M83" i="8"/>
  <c r="J83" i="8"/>
  <c r="H83" i="8"/>
  <c r="B83" i="8"/>
  <c r="A83" i="8"/>
  <c r="AA82" i="8"/>
  <c r="W82" i="8"/>
  <c r="U82" i="8"/>
  <c r="M82" i="8"/>
  <c r="J82" i="8"/>
  <c r="H82" i="8"/>
  <c r="B82" i="8"/>
  <c r="A82" i="8"/>
  <c r="AA81" i="8"/>
  <c r="W81" i="8"/>
  <c r="U81" i="8"/>
  <c r="P81" i="8"/>
  <c r="M81" i="8"/>
  <c r="J81" i="8"/>
  <c r="H81" i="8"/>
  <c r="B81" i="8"/>
  <c r="A81" i="8"/>
  <c r="AA80" i="8"/>
  <c r="W80" i="8"/>
  <c r="U80" i="8"/>
  <c r="P80" i="8"/>
  <c r="M80" i="8"/>
  <c r="J80" i="8"/>
  <c r="H80" i="8"/>
  <c r="B80" i="8"/>
  <c r="A80" i="8"/>
  <c r="AA79" i="8"/>
  <c r="W79" i="8"/>
  <c r="U79" i="8"/>
  <c r="P79" i="8"/>
  <c r="M79" i="8"/>
  <c r="J79" i="8"/>
  <c r="H79" i="8"/>
  <c r="B79" i="8"/>
  <c r="A79" i="8"/>
  <c r="AA78" i="8"/>
  <c r="W78" i="8"/>
  <c r="U78" i="8"/>
  <c r="P78" i="8"/>
  <c r="M78" i="8"/>
  <c r="J78" i="8"/>
  <c r="H78" i="8"/>
  <c r="B78" i="8"/>
  <c r="A78" i="8"/>
  <c r="AA77" i="8"/>
  <c r="W77" i="8"/>
  <c r="U77" i="8"/>
  <c r="P77" i="8"/>
  <c r="M77" i="8"/>
  <c r="J77" i="8"/>
  <c r="H77" i="8"/>
  <c r="B77" i="8"/>
  <c r="A77" i="8"/>
  <c r="AA76" i="8"/>
  <c r="W76" i="8"/>
  <c r="U76" i="8"/>
  <c r="P76" i="8"/>
  <c r="M76" i="8"/>
  <c r="J76" i="8"/>
  <c r="H76" i="8"/>
  <c r="B76" i="8"/>
  <c r="A76" i="8"/>
  <c r="AA75" i="8"/>
  <c r="W75" i="8"/>
  <c r="U75" i="8"/>
  <c r="P75" i="8"/>
  <c r="M75" i="8"/>
  <c r="J75" i="8"/>
  <c r="H75" i="8"/>
  <c r="B75" i="8"/>
  <c r="A75" i="8"/>
  <c r="AA74" i="8"/>
  <c r="W74" i="8"/>
  <c r="U74" i="8"/>
  <c r="M74" i="8"/>
  <c r="J74" i="8"/>
  <c r="H74" i="8"/>
  <c r="B74" i="8"/>
  <c r="A74" i="8"/>
  <c r="AA73" i="8"/>
  <c r="W73" i="8"/>
  <c r="U73" i="8"/>
  <c r="P73" i="8"/>
  <c r="M73" i="8"/>
  <c r="J73" i="8"/>
  <c r="H73" i="8"/>
  <c r="B73" i="8"/>
  <c r="A73" i="8"/>
  <c r="AA72" i="8"/>
  <c r="W72" i="8"/>
  <c r="U72" i="8"/>
  <c r="R72" i="8"/>
  <c r="Q72" i="8"/>
  <c r="P72" i="8"/>
  <c r="M72" i="8"/>
  <c r="J72" i="8"/>
  <c r="H72" i="8"/>
  <c r="B72" i="8"/>
  <c r="A72" i="8"/>
  <c r="AA71" i="8"/>
  <c r="W71" i="8"/>
  <c r="U71" i="8"/>
  <c r="P71" i="8"/>
  <c r="M71" i="8"/>
  <c r="J71" i="8"/>
  <c r="H71" i="8"/>
  <c r="B71" i="8"/>
  <c r="A71" i="8"/>
  <c r="AA70" i="8"/>
  <c r="W70" i="8"/>
  <c r="U70" i="8"/>
  <c r="P70" i="8"/>
  <c r="M70" i="8"/>
  <c r="J70" i="8"/>
  <c r="H70" i="8"/>
  <c r="B70" i="8"/>
  <c r="A70" i="8"/>
  <c r="AA69" i="8"/>
  <c r="W69" i="8"/>
  <c r="U69" i="8"/>
  <c r="P69" i="8"/>
  <c r="M69" i="8"/>
  <c r="J69" i="8"/>
  <c r="H69" i="8"/>
  <c r="B69" i="8"/>
  <c r="A69" i="8"/>
  <c r="AA68" i="8"/>
  <c r="W68" i="8"/>
  <c r="U68" i="8"/>
  <c r="P68" i="8"/>
  <c r="M68" i="8"/>
  <c r="J68" i="8"/>
  <c r="H68" i="8"/>
  <c r="B68" i="8"/>
  <c r="A68" i="8"/>
  <c r="AA67" i="8"/>
  <c r="W67" i="8"/>
  <c r="U67" i="8"/>
  <c r="P67" i="8"/>
  <c r="M67" i="8"/>
  <c r="J67" i="8"/>
  <c r="H67" i="8"/>
  <c r="B67" i="8"/>
  <c r="A67" i="8"/>
  <c r="AA66" i="8"/>
  <c r="W66" i="8"/>
  <c r="U66" i="8"/>
  <c r="P66" i="8"/>
  <c r="M66" i="8"/>
  <c r="J66" i="8"/>
  <c r="H66" i="8"/>
  <c r="B66" i="8"/>
  <c r="A66" i="8"/>
  <c r="AA65" i="8"/>
  <c r="W65" i="8"/>
  <c r="U65" i="8"/>
  <c r="P65" i="8"/>
  <c r="M65" i="8"/>
  <c r="J65" i="8"/>
  <c r="H65" i="8"/>
  <c r="B65" i="8"/>
  <c r="A65" i="8"/>
  <c r="AA64" i="8"/>
  <c r="W64" i="8"/>
  <c r="U64" i="8"/>
  <c r="P64" i="8"/>
  <c r="M64" i="8"/>
  <c r="J64" i="8"/>
  <c r="H64" i="8"/>
  <c r="B64" i="8"/>
  <c r="A64" i="8"/>
  <c r="AA63" i="8"/>
  <c r="W63" i="8"/>
  <c r="U63" i="8"/>
  <c r="M63" i="8"/>
  <c r="J63" i="8"/>
  <c r="H63" i="8"/>
  <c r="B63" i="8"/>
  <c r="A63" i="8"/>
  <c r="AA62" i="8"/>
  <c r="W62" i="8"/>
  <c r="U62" i="8"/>
  <c r="P62" i="8"/>
  <c r="M62" i="8"/>
  <c r="J62" i="8"/>
  <c r="H62" i="8"/>
  <c r="B62" i="8"/>
  <c r="A62" i="8"/>
  <c r="AA61" i="8"/>
  <c r="W61" i="8"/>
  <c r="U61" i="8"/>
  <c r="P61" i="8"/>
  <c r="M61" i="8"/>
  <c r="J61" i="8"/>
  <c r="H61" i="8"/>
  <c r="B61" i="8"/>
  <c r="A61" i="8"/>
  <c r="AA60" i="8"/>
  <c r="W60" i="8"/>
  <c r="U60" i="8"/>
  <c r="P60" i="8"/>
  <c r="M60" i="8"/>
  <c r="J60" i="8"/>
  <c r="H60" i="8"/>
  <c r="B60" i="8"/>
  <c r="A60" i="8"/>
  <c r="AA59" i="8"/>
  <c r="W59" i="8"/>
  <c r="U59" i="8"/>
  <c r="M59" i="8"/>
  <c r="J59" i="8"/>
  <c r="H59" i="8"/>
  <c r="B59" i="8"/>
  <c r="A59" i="8"/>
  <c r="AA58" i="8"/>
  <c r="W58" i="8"/>
  <c r="U58" i="8"/>
  <c r="P58" i="8"/>
  <c r="M58" i="8"/>
  <c r="J58" i="8"/>
  <c r="H58" i="8"/>
  <c r="B58" i="8"/>
  <c r="A58" i="8"/>
  <c r="AA57" i="8"/>
  <c r="W57" i="8"/>
  <c r="U57" i="8"/>
  <c r="P57" i="8"/>
  <c r="M57" i="8"/>
  <c r="J57" i="8"/>
  <c r="H57" i="8"/>
  <c r="B57" i="8"/>
  <c r="A57" i="8"/>
  <c r="AA56" i="8"/>
  <c r="W56" i="8"/>
  <c r="U56" i="8"/>
  <c r="P56" i="8"/>
  <c r="M56" i="8"/>
  <c r="J56" i="8"/>
  <c r="H56" i="8"/>
  <c r="B56" i="8"/>
  <c r="A56" i="8"/>
  <c r="AA55" i="8"/>
  <c r="W55" i="8"/>
  <c r="U55" i="8"/>
  <c r="R55" i="8"/>
  <c r="Q55" i="8"/>
  <c r="P55" i="8"/>
  <c r="M55" i="8"/>
  <c r="J55" i="8"/>
  <c r="H55" i="8"/>
  <c r="B55" i="8"/>
  <c r="A55" i="8"/>
  <c r="AA54" i="8"/>
  <c r="W54" i="8"/>
  <c r="U54" i="8"/>
  <c r="P54" i="8"/>
  <c r="M54" i="8"/>
  <c r="J54" i="8"/>
  <c r="H54" i="8"/>
  <c r="B54" i="8"/>
  <c r="A54" i="8"/>
  <c r="AA53" i="8"/>
  <c r="W53" i="8"/>
  <c r="U53" i="8"/>
  <c r="R53" i="8"/>
  <c r="Q53" i="8"/>
  <c r="M53" i="8"/>
  <c r="J53" i="8"/>
  <c r="H53" i="8"/>
  <c r="B53" i="8"/>
  <c r="A53" i="8"/>
  <c r="AA52" i="8"/>
  <c r="W52" i="8"/>
  <c r="U52" i="8"/>
  <c r="P52" i="8"/>
  <c r="M52" i="8"/>
  <c r="J52" i="8"/>
  <c r="H52" i="8"/>
  <c r="B52" i="8"/>
  <c r="A52" i="8"/>
  <c r="AA51" i="8"/>
  <c r="W51" i="8"/>
  <c r="U51" i="8"/>
  <c r="R51" i="8"/>
  <c r="Q51" i="8"/>
  <c r="M51" i="8"/>
  <c r="J51" i="8"/>
  <c r="H51" i="8"/>
  <c r="B51" i="8"/>
  <c r="A51" i="8"/>
  <c r="AA50" i="8"/>
  <c r="W50" i="8"/>
  <c r="U50" i="8"/>
  <c r="R50" i="8"/>
  <c r="Q50" i="8"/>
  <c r="M50" i="8"/>
  <c r="J50" i="8"/>
  <c r="H50" i="8"/>
  <c r="B50" i="8"/>
  <c r="A50" i="8"/>
  <c r="AA49" i="8"/>
  <c r="W49" i="8"/>
  <c r="U49" i="8"/>
  <c r="M49" i="8"/>
  <c r="J49" i="8"/>
  <c r="H49" i="8"/>
  <c r="B49" i="8"/>
  <c r="A49" i="8"/>
  <c r="AA48" i="8"/>
  <c r="W48" i="8"/>
  <c r="U48" i="8"/>
  <c r="R48" i="8"/>
  <c r="Q48" i="8"/>
  <c r="P48" i="8"/>
  <c r="M48" i="8"/>
  <c r="J48" i="8"/>
  <c r="H48" i="8"/>
  <c r="B48" i="8"/>
  <c r="A48" i="8"/>
  <c r="AA47" i="8"/>
  <c r="W47" i="8"/>
  <c r="U47" i="8"/>
  <c r="P47" i="8"/>
  <c r="M47" i="8"/>
  <c r="J47" i="8"/>
  <c r="H47" i="8"/>
  <c r="B47" i="8"/>
  <c r="A47" i="8"/>
  <c r="AA46" i="8"/>
  <c r="W46" i="8"/>
  <c r="U46" i="8"/>
  <c r="P46" i="8"/>
  <c r="M46" i="8"/>
  <c r="J46" i="8"/>
  <c r="H46" i="8"/>
  <c r="B46" i="8"/>
  <c r="A46" i="8"/>
  <c r="AA45" i="8"/>
  <c r="W45" i="8"/>
  <c r="U45" i="8"/>
  <c r="P45" i="8"/>
  <c r="M45" i="8"/>
  <c r="J45" i="8"/>
  <c r="H45" i="8"/>
  <c r="B45" i="8"/>
  <c r="A45" i="8"/>
  <c r="AA44" i="8"/>
  <c r="W44" i="8"/>
  <c r="U44" i="8"/>
  <c r="M44" i="8"/>
  <c r="J44" i="8"/>
  <c r="H44" i="8"/>
  <c r="B44" i="8"/>
  <c r="A44" i="8"/>
  <c r="AA43" i="8"/>
  <c r="W43" i="8"/>
  <c r="U43" i="8"/>
  <c r="P43" i="8"/>
  <c r="M43" i="8"/>
  <c r="J43" i="8"/>
  <c r="H43" i="8"/>
  <c r="B43" i="8"/>
  <c r="A43" i="8"/>
  <c r="AA42" i="8"/>
  <c r="W42" i="8"/>
  <c r="U42" i="8"/>
  <c r="M42" i="8"/>
  <c r="J42" i="8"/>
  <c r="H42" i="8"/>
  <c r="B42" i="8"/>
  <c r="A42" i="8"/>
  <c r="AA41" i="8"/>
  <c r="W41" i="8"/>
  <c r="U41" i="8"/>
  <c r="P41" i="8"/>
  <c r="M41" i="8"/>
  <c r="J41" i="8"/>
  <c r="H41" i="8"/>
  <c r="B41" i="8"/>
  <c r="A41" i="8"/>
  <c r="AA40" i="8"/>
  <c r="W40" i="8"/>
  <c r="U40" i="8"/>
  <c r="P40" i="8"/>
  <c r="M40" i="8"/>
  <c r="J40" i="8"/>
  <c r="H40" i="8"/>
  <c r="B40" i="8"/>
  <c r="A40" i="8"/>
  <c r="AA39" i="8"/>
  <c r="W39" i="8"/>
  <c r="U39" i="8"/>
  <c r="P39" i="8"/>
  <c r="M39" i="8"/>
  <c r="J39" i="8"/>
  <c r="H39" i="8"/>
  <c r="B39" i="8"/>
  <c r="A39" i="8"/>
  <c r="AA38" i="8"/>
  <c r="W38" i="8"/>
  <c r="U38" i="8"/>
  <c r="R38" i="8"/>
  <c r="Q38" i="8"/>
  <c r="M38" i="8"/>
  <c r="J38" i="8"/>
  <c r="H38" i="8"/>
  <c r="B38" i="8"/>
  <c r="A38" i="8"/>
  <c r="AA37" i="8"/>
  <c r="W37" i="8"/>
  <c r="U37" i="8"/>
  <c r="R37" i="8"/>
  <c r="Q37" i="8"/>
  <c r="P37" i="8"/>
  <c r="M37" i="8"/>
  <c r="J37" i="8"/>
  <c r="H37" i="8"/>
  <c r="B37" i="8"/>
  <c r="A37" i="8"/>
  <c r="AA36" i="8"/>
  <c r="W36" i="8"/>
  <c r="U36" i="8"/>
  <c r="P36" i="8"/>
  <c r="M36" i="8"/>
  <c r="J36" i="8"/>
  <c r="H36" i="8"/>
  <c r="B36" i="8"/>
  <c r="A36" i="8"/>
  <c r="AA35" i="8"/>
  <c r="W35" i="8"/>
  <c r="U35" i="8"/>
  <c r="P35" i="8"/>
  <c r="M35" i="8"/>
  <c r="J35" i="8"/>
  <c r="H35" i="8"/>
  <c r="B35" i="8"/>
  <c r="A35" i="8"/>
  <c r="AA34" i="8"/>
  <c r="W34" i="8"/>
  <c r="U34" i="8"/>
  <c r="P34" i="8"/>
  <c r="M34" i="8"/>
  <c r="J34" i="8"/>
  <c r="H34" i="8"/>
  <c r="B34" i="8"/>
  <c r="A34" i="8"/>
  <c r="AA33" i="8"/>
  <c r="W33" i="8"/>
  <c r="U33" i="8"/>
  <c r="P33" i="8"/>
  <c r="M33" i="8"/>
  <c r="J33" i="8"/>
  <c r="H33" i="8"/>
  <c r="B33" i="8"/>
  <c r="A33" i="8"/>
  <c r="AA32" i="8"/>
  <c r="W32" i="8"/>
  <c r="U32" i="8"/>
  <c r="P32" i="8"/>
  <c r="M32" i="8"/>
  <c r="J32" i="8"/>
  <c r="H32" i="8"/>
  <c r="B32" i="8"/>
  <c r="A32" i="8"/>
  <c r="AA31" i="8"/>
  <c r="W31" i="8"/>
  <c r="U31" i="8"/>
  <c r="P31" i="8"/>
  <c r="M31" i="8"/>
  <c r="J31" i="8"/>
  <c r="H31" i="8"/>
  <c r="B31" i="8"/>
  <c r="A31" i="8"/>
  <c r="AA30" i="8"/>
  <c r="W30" i="8"/>
  <c r="U30" i="8"/>
  <c r="R30" i="8"/>
  <c r="Q30" i="8"/>
  <c r="P30" i="8"/>
  <c r="M30" i="8"/>
  <c r="J30" i="8"/>
  <c r="H30" i="8"/>
  <c r="B30" i="8"/>
  <c r="A30" i="8"/>
  <c r="AA29" i="8"/>
  <c r="W29" i="8"/>
  <c r="U29" i="8"/>
  <c r="M29" i="8"/>
  <c r="J29" i="8"/>
  <c r="H29" i="8"/>
  <c r="B29" i="8"/>
  <c r="A29" i="8"/>
  <c r="AA28" i="8"/>
  <c r="W28" i="8"/>
  <c r="U28" i="8"/>
  <c r="P28" i="8"/>
  <c r="M28" i="8"/>
  <c r="J28" i="8"/>
  <c r="H28" i="8"/>
  <c r="B28" i="8"/>
  <c r="A28" i="8"/>
  <c r="AA27" i="8"/>
  <c r="W27" i="8"/>
  <c r="U27" i="8"/>
  <c r="P27" i="8"/>
  <c r="M27" i="8"/>
  <c r="J27" i="8"/>
  <c r="H27" i="8"/>
  <c r="B27" i="8"/>
  <c r="A27" i="8"/>
  <c r="AA26" i="8"/>
  <c r="W26" i="8"/>
  <c r="U26" i="8"/>
  <c r="P26" i="8"/>
  <c r="M26" i="8"/>
  <c r="J26" i="8"/>
  <c r="H26" i="8"/>
  <c r="B26" i="8"/>
  <c r="A26" i="8"/>
  <c r="AA25" i="8"/>
  <c r="W25" i="8"/>
  <c r="U25" i="8"/>
  <c r="P25" i="8"/>
  <c r="M25" i="8"/>
  <c r="J25" i="8"/>
  <c r="H25" i="8"/>
  <c r="B25" i="8"/>
  <c r="A25" i="8"/>
  <c r="AA24" i="8"/>
  <c r="W24" i="8"/>
  <c r="U24" i="8"/>
  <c r="P24" i="8"/>
  <c r="M24" i="8"/>
  <c r="J24" i="8"/>
  <c r="H24" i="8"/>
  <c r="B24" i="8"/>
  <c r="A24" i="8"/>
  <c r="AA23" i="8"/>
  <c r="W23" i="8"/>
  <c r="U23" i="8"/>
  <c r="P23" i="8"/>
  <c r="M23" i="8"/>
  <c r="J23" i="8"/>
  <c r="H23" i="8"/>
  <c r="B23" i="8"/>
  <c r="A23" i="8"/>
  <c r="AA22" i="8"/>
  <c r="W22" i="8"/>
  <c r="U22" i="8"/>
  <c r="P22" i="8"/>
  <c r="M22" i="8"/>
  <c r="J22" i="8"/>
  <c r="H22" i="8"/>
  <c r="B22" i="8"/>
  <c r="A22" i="8"/>
  <c r="AA21" i="8"/>
  <c r="W21" i="8"/>
  <c r="U21" i="8"/>
  <c r="M21" i="8"/>
  <c r="J21" i="8"/>
  <c r="H21" i="8"/>
  <c r="B21" i="8"/>
  <c r="A21" i="8"/>
  <c r="AA20" i="8"/>
  <c r="W20" i="8"/>
  <c r="U20" i="8"/>
  <c r="P20" i="8"/>
  <c r="M20" i="8"/>
  <c r="J20" i="8"/>
  <c r="H20" i="8"/>
  <c r="B20" i="8"/>
  <c r="A20" i="8"/>
  <c r="AA19" i="8"/>
  <c r="W19" i="8"/>
  <c r="U19" i="8"/>
  <c r="P19" i="8"/>
  <c r="M19" i="8"/>
  <c r="J19" i="8"/>
  <c r="H19" i="8"/>
  <c r="A19" i="8"/>
  <c r="AA18" i="8"/>
  <c r="W18" i="8"/>
  <c r="U18" i="8"/>
  <c r="M18" i="8"/>
  <c r="J18" i="8"/>
  <c r="H18" i="8"/>
  <c r="A18" i="8"/>
  <c r="AA17" i="8"/>
  <c r="W17" i="8"/>
  <c r="U17" i="8"/>
  <c r="M17" i="8"/>
  <c r="J17" i="8"/>
  <c r="H17" i="8"/>
  <c r="A17" i="8"/>
  <c r="AA16" i="8"/>
  <c r="W16" i="8"/>
  <c r="U16" i="8"/>
  <c r="P16" i="8"/>
  <c r="M16" i="8"/>
  <c r="J16" i="8"/>
  <c r="H16" i="8"/>
  <c r="A16" i="8"/>
  <c r="AA15" i="8"/>
  <c r="W15" i="8"/>
  <c r="U15" i="8"/>
  <c r="P15" i="8"/>
  <c r="M15" i="8"/>
  <c r="J15" i="8"/>
  <c r="H15" i="8"/>
  <c r="A15" i="8"/>
  <c r="AA14" i="8"/>
  <c r="W14" i="8"/>
  <c r="U14" i="8"/>
  <c r="M14" i="8"/>
  <c r="J14" i="8"/>
  <c r="H14" i="8"/>
  <c r="A14" i="8"/>
  <c r="AA13" i="8"/>
  <c r="W13" i="8"/>
  <c r="U13" i="8"/>
  <c r="P13" i="8"/>
  <c r="M13" i="8"/>
  <c r="J13" i="8"/>
  <c r="H13" i="8"/>
  <c r="A13" i="8"/>
  <c r="AA12" i="8"/>
  <c r="W12" i="8"/>
  <c r="U12" i="8"/>
  <c r="P12" i="8"/>
  <c r="M12" i="8"/>
  <c r="J12" i="8"/>
  <c r="H12" i="8"/>
  <c r="A12" i="8"/>
  <c r="AA11" i="8"/>
  <c r="W11" i="8"/>
  <c r="U11" i="8"/>
  <c r="P11" i="8"/>
  <c r="M11" i="8"/>
  <c r="J11" i="8"/>
  <c r="H11" i="8"/>
  <c r="A11" i="8"/>
  <c r="AA10" i="8"/>
  <c r="W10" i="8"/>
  <c r="U10" i="8"/>
  <c r="P10" i="8"/>
  <c r="M10" i="8"/>
  <c r="J10" i="8"/>
  <c r="H10" i="8"/>
  <c r="A10" i="8"/>
  <c r="AA9" i="8"/>
  <c r="W9" i="8"/>
  <c r="U9" i="8"/>
  <c r="P9" i="8"/>
  <c r="M9" i="8"/>
  <c r="J9" i="8"/>
  <c r="H9" i="8"/>
  <c r="A9" i="8"/>
  <c r="AA8" i="8"/>
  <c r="W8" i="8"/>
  <c r="U8" i="8"/>
  <c r="P8" i="8"/>
  <c r="M8" i="8"/>
  <c r="J8" i="8"/>
  <c r="H8" i="8"/>
  <c r="A8" i="8"/>
  <c r="AA7" i="8"/>
  <c r="W7" i="8"/>
  <c r="U7" i="8"/>
  <c r="P7" i="8"/>
  <c r="M7" i="8"/>
  <c r="J7" i="8"/>
  <c r="H7" i="8"/>
  <c r="A7" i="8"/>
  <c r="AA6" i="8"/>
  <c r="W6" i="8"/>
  <c r="U6" i="8"/>
  <c r="P6" i="8"/>
  <c r="M6" i="8"/>
  <c r="J6" i="8"/>
  <c r="H6" i="8"/>
  <c r="A6" i="8"/>
  <c r="AA5" i="8"/>
  <c r="W5" i="8"/>
  <c r="U5" i="8"/>
  <c r="P5" i="8"/>
  <c r="M5" i="8"/>
  <c r="J5" i="8"/>
  <c r="H5" i="8"/>
  <c r="A5" i="8"/>
  <c r="AA4" i="8"/>
  <c r="W4" i="8"/>
  <c r="U4" i="8"/>
  <c r="R4" i="8"/>
  <c r="Q4" i="8"/>
  <c r="P4" i="8"/>
  <c r="M4" i="8"/>
  <c r="J4" i="8"/>
  <c r="H4" i="8"/>
  <c r="A4" i="8"/>
  <c r="AA3" i="8"/>
  <c r="W3" i="8"/>
  <c r="U3" i="8"/>
  <c r="P3" i="8"/>
  <c r="M3" i="8"/>
  <c r="J3" i="8"/>
  <c r="H3" i="8"/>
  <c r="A3" i="8"/>
  <c r="AA2" i="8"/>
  <c r="W2" i="8"/>
  <c r="U2" i="8"/>
  <c r="P2" i="8"/>
  <c r="M2" i="8"/>
  <c r="J2" i="8"/>
  <c r="H2" i="8"/>
  <c r="A2" i="8"/>
  <c r="AA87" i="4" l="1"/>
  <c r="AB87" i="4"/>
  <c r="AC87" i="4"/>
  <c r="AD87" i="4"/>
  <c r="AE87" i="4"/>
  <c r="AF87" i="4"/>
  <c r="M86" i="4"/>
  <c r="N86" i="4"/>
  <c r="O86" i="4"/>
  <c r="P86" i="4"/>
  <c r="Q86" i="4"/>
  <c r="M87" i="4"/>
  <c r="N87" i="4"/>
  <c r="O87" i="4"/>
  <c r="P87" i="4"/>
  <c r="Q87" i="4"/>
  <c r="W87" i="4" l="1"/>
  <c r="Y87" i="4" s="1"/>
  <c r="Q95" i="4"/>
  <c r="Q96" i="4"/>
  <c r="Q97" i="4"/>
  <c r="Q98" i="4"/>
  <c r="Q99" i="4"/>
  <c r="Q100" i="4"/>
  <c r="Q101" i="4"/>
  <c r="Q70" i="4"/>
  <c r="Q71" i="4"/>
  <c r="Q72" i="4"/>
  <c r="Q73" i="4"/>
  <c r="Q74" i="4"/>
  <c r="Q75" i="4"/>
  <c r="Q76" i="4"/>
  <c r="Q77" i="4"/>
  <c r="Q78" i="4"/>
  <c r="Q79" i="4"/>
  <c r="Q80" i="4"/>
  <c r="Q81" i="4"/>
  <c r="Q82" i="4"/>
  <c r="Q83" i="4"/>
  <c r="Q84" i="4"/>
  <c r="Q85" i="4"/>
  <c r="M75" i="4"/>
  <c r="N75" i="4"/>
  <c r="O75" i="4"/>
  <c r="P75" i="4"/>
  <c r="M76" i="4"/>
  <c r="N76" i="4"/>
  <c r="O76" i="4"/>
  <c r="P76" i="4"/>
  <c r="M77" i="4"/>
  <c r="N77" i="4"/>
  <c r="O77" i="4"/>
  <c r="P77" i="4"/>
  <c r="M78" i="4"/>
  <c r="N78" i="4"/>
  <c r="O78" i="4"/>
  <c r="P78" i="4"/>
  <c r="H48" i="11"/>
  <c r="G48" i="11"/>
  <c r="E48" i="11"/>
  <c r="H47" i="11"/>
  <c r="G47" i="11"/>
  <c r="E47" i="11"/>
  <c r="H43" i="11"/>
  <c r="G43" i="11"/>
  <c r="E43" i="11"/>
  <c r="H41" i="11"/>
  <c r="G41" i="11"/>
  <c r="E41" i="11"/>
  <c r="H39" i="11"/>
  <c r="G39" i="11"/>
  <c r="E39" i="11"/>
  <c r="H37" i="11"/>
  <c r="G37" i="11"/>
  <c r="E37" i="11"/>
  <c r="H31" i="11"/>
  <c r="G31" i="11"/>
  <c r="E31" i="11"/>
  <c r="H25" i="11"/>
  <c r="G25" i="11"/>
  <c r="E25" i="11"/>
  <c r="H23" i="11"/>
  <c r="G23" i="11"/>
  <c r="E23" i="11"/>
  <c r="H20" i="11"/>
  <c r="G20" i="11"/>
  <c r="E20" i="11"/>
  <c r="H18" i="11"/>
  <c r="G18" i="11"/>
  <c r="E18" i="11"/>
  <c r="H15" i="11"/>
  <c r="G15" i="11"/>
  <c r="E15" i="11"/>
  <c r="H13" i="11"/>
  <c r="G13" i="11"/>
  <c r="E13" i="11"/>
  <c r="H11" i="11"/>
  <c r="G11" i="11"/>
  <c r="E11" i="11"/>
  <c r="H8" i="11"/>
  <c r="G8" i="11"/>
  <c r="E8" i="11"/>
  <c r="H5" i="11"/>
  <c r="G5" i="11"/>
  <c r="E5" i="11"/>
  <c r="H3" i="11"/>
  <c r="G3" i="11"/>
  <c r="E3" i="11"/>
  <c r="V7" i="4"/>
  <c r="C8" i="9"/>
  <c r="X50" i="4"/>
  <c r="C4" i="4"/>
  <c r="W78" i="4" l="1"/>
  <c r="Y78" i="4" s="1"/>
  <c r="W77" i="4"/>
  <c r="Y77" i="4" s="1"/>
  <c r="W76" i="4"/>
  <c r="Y76" i="4" s="1"/>
  <c r="W75" i="4"/>
  <c r="Y75" i="4" s="1"/>
  <c r="X122" i="4"/>
  <c r="H142" i="4"/>
  <c r="H141" i="4"/>
  <c r="H140" i="4"/>
  <c r="H139" i="4"/>
  <c r="H138" i="4"/>
  <c r="H137" i="4"/>
  <c r="W137" i="4" s="1"/>
  <c r="W86" i="4" l="1"/>
  <c r="W117" i="4"/>
  <c r="W132" i="4"/>
  <c r="P116" i="4"/>
  <c r="P115" i="4"/>
  <c r="P114" i="4"/>
  <c r="P113" i="4"/>
  <c r="P112" i="4"/>
  <c r="F116" i="4"/>
  <c r="F115" i="4"/>
  <c r="F114" i="4"/>
  <c r="F113" i="4"/>
  <c r="F112" i="4"/>
  <c r="Q10" i="4" l="1"/>
  <c r="F131" i="4"/>
  <c r="F130" i="4"/>
  <c r="F129" i="4"/>
  <c r="F128" i="4"/>
  <c r="F127" i="4"/>
  <c r="Q128" i="4"/>
  <c r="Q129" i="4"/>
  <c r="Q130" i="4"/>
  <c r="Q131" i="4"/>
  <c r="Q127" i="4"/>
  <c r="V138" i="4" l="1"/>
  <c r="V139" i="4" s="1"/>
  <c r="V140" i="4" s="1"/>
  <c r="V141" i="4" s="1"/>
  <c r="V142" i="4" s="1"/>
  <c r="S138" i="4"/>
  <c r="S139" i="4" l="1"/>
  <c r="W138" i="4"/>
  <c r="X126" i="4"/>
  <c r="X119" i="4"/>
  <c r="X111" i="4"/>
  <c r="X117" i="4"/>
  <c r="L121" i="4"/>
  <c r="W121" i="4" s="1"/>
  <c r="Y121" i="4" s="1"/>
  <c r="L120" i="4"/>
  <c r="W120" i="4" s="1"/>
  <c r="G128" i="4"/>
  <c r="G129" i="4"/>
  <c r="G130" i="4"/>
  <c r="W130" i="4" s="1"/>
  <c r="G131" i="4"/>
  <c r="G127" i="4"/>
  <c r="W127" i="4" s="1"/>
  <c r="G113" i="4"/>
  <c r="G114" i="4"/>
  <c r="G115" i="4"/>
  <c r="W115" i="4" s="1"/>
  <c r="Y115" i="4" s="1"/>
  <c r="G116" i="4"/>
  <c r="G112" i="4"/>
  <c r="W112" i="4" s="1"/>
  <c r="L107" i="4"/>
  <c r="W107" i="4" s="1"/>
  <c r="Y107" i="4" s="1"/>
  <c r="L108" i="4"/>
  <c r="W108" i="4" s="1"/>
  <c r="Y108" i="4" s="1"/>
  <c r="L106" i="4"/>
  <c r="W106" i="4" s="1"/>
  <c r="Y106" i="4" s="1"/>
  <c r="X105" i="4"/>
  <c r="X132" i="4"/>
  <c r="Y130" i="4"/>
  <c r="S140" i="4" l="1"/>
  <c r="W139" i="4"/>
  <c r="W116" i="4"/>
  <c r="Y116" i="4" s="1"/>
  <c r="W128" i="4"/>
  <c r="Y128" i="4" s="1"/>
  <c r="W131" i="4"/>
  <c r="Y131" i="4" s="1"/>
  <c r="Y120" i="4"/>
  <c r="Y122" i="4" s="1"/>
  <c r="W122" i="4"/>
  <c r="W114" i="4"/>
  <c r="Y114" i="4" s="1"/>
  <c r="W113" i="4"/>
  <c r="Y113" i="4" s="1"/>
  <c r="W129" i="4"/>
  <c r="Y129" i="4" s="1"/>
  <c r="Y127" i="4"/>
  <c r="Y112" i="4"/>
  <c r="S141" i="4" l="1"/>
  <c r="W140" i="4"/>
  <c r="Y132" i="4"/>
  <c r="Y117" i="4"/>
  <c r="S142" i="4" l="1"/>
  <c r="W142" i="4" s="1"/>
  <c r="W141" i="4"/>
  <c r="Q7" i="4"/>
  <c r="Q6" i="4" s="1"/>
  <c r="F39" i="4"/>
  <c r="F28" i="4"/>
  <c r="F27" i="4"/>
  <c r="F26" i="4"/>
  <c r="F18" i="4"/>
  <c r="F17" i="4"/>
  <c r="F16" i="4"/>
  <c r="F15" i="4"/>
  <c r="F14" i="4"/>
  <c r="F13" i="4"/>
  <c r="F10" i="4"/>
  <c r="F7" i="4"/>
  <c r="F6" i="4" s="1"/>
  <c r="W143" i="4" l="1"/>
  <c r="F11" i="4"/>
  <c r="F32" i="4" s="1"/>
  <c r="Q11" i="4"/>
  <c r="G7" i="4"/>
  <c r="H44" i="4" l="1"/>
  <c r="H45" i="4"/>
  <c r="H46" i="4"/>
  <c r="H47" i="4"/>
  <c r="H48" i="4"/>
  <c r="H49" i="4"/>
  <c r="X40" i="4" l="1"/>
  <c r="T6" i="4" l="1"/>
  <c r="H9" i="4" l="1"/>
  <c r="H7" i="4"/>
  <c r="J28" i="4" l="1"/>
  <c r="J27" i="4"/>
  <c r="J26" i="4"/>
  <c r="N49" i="14" l="1"/>
  <c r="N48" i="14"/>
  <c r="N47" i="14"/>
  <c r="N46" i="14"/>
  <c r="N45" i="14"/>
  <c r="N44" i="14"/>
  <c r="N43" i="14"/>
  <c r="N42" i="14"/>
  <c r="N41" i="14"/>
  <c r="N40" i="14"/>
  <c r="N39" i="14"/>
  <c r="N38" i="14"/>
  <c r="N37" i="14"/>
  <c r="N36" i="14"/>
  <c r="N33" i="14"/>
  <c r="N32" i="14"/>
  <c r="N31" i="14"/>
  <c r="N30" i="14"/>
  <c r="N29" i="14"/>
  <c r="N26" i="14"/>
  <c r="N25" i="14"/>
  <c r="N24" i="14"/>
  <c r="N23" i="14"/>
  <c r="N22" i="14"/>
  <c r="N19" i="14"/>
  <c r="N18" i="14"/>
  <c r="N17" i="14"/>
  <c r="N16" i="14"/>
  <c r="N15" i="14"/>
  <c r="N14" i="14"/>
  <c r="N11" i="14"/>
  <c r="N10" i="14"/>
  <c r="N9" i="14"/>
  <c r="N8" i="14"/>
  <c r="N7" i="14"/>
  <c r="N6" i="14"/>
  <c r="E31" i="13"/>
  <c r="G31" i="13" s="1"/>
  <c r="I31" i="13" s="1"/>
  <c r="K31" i="13" s="1"/>
  <c r="M31" i="13" s="1"/>
  <c r="E30" i="13"/>
  <c r="G30" i="13" s="1"/>
  <c r="I30" i="13" s="1"/>
  <c r="K30" i="13" s="1"/>
  <c r="M30" i="13" s="1"/>
  <c r="E29" i="13"/>
  <c r="G29" i="13" s="1"/>
  <c r="I29" i="13" s="1"/>
  <c r="K29" i="13" s="1"/>
  <c r="M29" i="13" s="1"/>
  <c r="E28" i="13"/>
  <c r="G28" i="13" s="1"/>
  <c r="I28" i="13" s="1"/>
  <c r="K28" i="13" s="1"/>
  <c r="M28" i="13" s="1"/>
  <c r="D31" i="13"/>
  <c r="F31" i="13" s="1"/>
  <c r="H31" i="13" s="1"/>
  <c r="D30" i="13"/>
  <c r="F30" i="13" s="1"/>
  <c r="H30" i="13" s="1"/>
  <c r="D29" i="13"/>
  <c r="F29" i="13" s="1"/>
  <c r="H29" i="13" s="1"/>
  <c r="D28" i="13"/>
  <c r="F28" i="13" s="1"/>
  <c r="H28" i="13" s="1"/>
  <c r="O49" i="14"/>
  <c r="M49" i="14"/>
  <c r="L49" i="14"/>
  <c r="K49" i="14"/>
  <c r="J49" i="14"/>
  <c r="I49" i="14"/>
  <c r="H49" i="14"/>
  <c r="E49" i="14"/>
  <c r="D49" i="14"/>
  <c r="O48" i="14"/>
  <c r="M48" i="14"/>
  <c r="L48" i="14"/>
  <c r="K48" i="14"/>
  <c r="J48" i="14"/>
  <c r="I48" i="14"/>
  <c r="H48" i="14"/>
  <c r="E48" i="14"/>
  <c r="D48" i="14"/>
  <c r="O47" i="14"/>
  <c r="M47" i="14"/>
  <c r="L47" i="14"/>
  <c r="K47" i="14"/>
  <c r="J47" i="14"/>
  <c r="I47" i="14"/>
  <c r="H47" i="14"/>
  <c r="E47" i="14"/>
  <c r="D47" i="14"/>
  <c r="O46" i="14"/>
  <c r="M46" i="14"/>
  <c r="L46" i="14"/>
  <c r="K46" i="14"/>
  <c r="J46" i="14"/>
  <c r="I46" i="14"/>
  <c r="H46" i="14"/>
  <c r="E46" i="14"/>
  <c r="D46" i="14"/>
  <c r="O45" i="14"/>
  <c r="M45" i="14"/>
  <c r="L45" i="14"/>
  <c r="K45" i="14"/>
  <c r="J45" i="14"/>
  <c r="I45" i="14"/>
  <c r="H45" i="14"/>
  <c r="E45" i="14"/>
  <c r="D45" i="14"/>
  <c r="O44" i="14"/>
  <c r="M44" i="14"/>
  <c r="L44" i="14"/>
  <c r="K44" i="14"/>
  <c r="J44" i="14"/>
  <c r="I44" i="14"/>
  <c r="H44" i="14"/>
  <c r="E44" i="14"/>
  <c r="D44" i="14"/>
  <c r="O43" i="14"/>
  <c r="M43" i="14"/>
  <c r="L43" i="14"/>
  <c r="K43" i="14"/>
  <c r="J43" i="14"/>
  <c r="I43" i="14"/>
  <c r="H43" i="14"/>
  <c r="E43" i="14"/>
  <c r="D43" i="14"/>
  <c r="O42" i="14"/>
  <c r="M42" i="14"/>
  <c r="L42" i="14"/>
  <c r="K42" i="14"/>
  <c r="J42" i="14"/>
  <c r="I42" i="14"/>
  <c r="H42" i="14"/>
  <c r="E42" i="14"/>
  <c r="D42" i="14"/>
  <c r="O41" i="14"/>
  <c r="M41" i="14"/>
  <c r="L41" i="14"/>
  <c r="K41" i="14"/>
  <c r="J41" i="14"/>
  <c r="I41" i="14"/>
  <c r="H41" i="14"/>
  <c r="E41" i="14"/>
  <c r="D41" i="14"/>
  <c r="O40" i="14"/>
  <c r="M40" i="14"/>
  <c r="L40" i="14"/>
  <c r="K40" i="14"/>
  <c r="J40" i="14"/>
  <c r="I40" i="14"/>
  <c r="H40" i="14"/>
  <c r="E40" i="14"/>
  <c r="D40" i="14"/>
  <c r="O39" i="14"/>
  <c r="M39" i="14"/>
  <c r="L39" i="14"/>
  <c r="K39" i="14"/>
  <c r="J39" i="14"/>
  <c r="I39" i="14"/>
  <c r="H39" i="14"/>
  <c r="E39" i="14"/>
  <c r="D39" i="14"/>
  <c r="O38" i="14"/>
  <c r="M38" i="14"/>
  <c r="L38" i="14"/>
  <c r="K38" i="14"/>
  <c r="J38" i="14"/>
  <c r="I38" i="14"/>
  <c r="H38" i="14"/>
  <c r="E38" i="14"/>
  <c r="D38" i="14"/>
  <c r="O37" i="14"/>
  <c r="M37" i="14"/>
  <c r="L37" i="14"/>
  <c r="K37" i="14"/>
  <c r="J37" i="14"/>
  <c r="I37" i="14"/>
  <c r="H37" i="14"/>
  <c r="E37" i="14"/>
  <c r="D37" i="14"/>
  <c r="O36" i="14"/>
  <c r="M36" i="14"/>
  <c r="L36" i="14"/>
  <c r="K36" i="14"/>
  <c r="J36" i="14"/>
  <c r="I36" i="14"/>
  <c r="H36" i="14"/>
  <c r="E36" i="14"/>
  <c r="D36" i="14"/>
  <c r="O33" i="14"/>
  <c r="M33" i="14"/>
  <c r="L33" i="14"/>
  <c r="K33" i="14"/>
  <c r="J33" i="14"/>
  <c r="I33" i="14"/>
  <c r="H33" i="14"/>
  <c r="E33" i="14"/>
  <c r="D33" i="14"/>
  <c r="O32" i="14"/>
  <c r="M32" i="14"/>
  <c r="L32" i="14"/>
  <c r="K32" i="14"/>
  <c r="J32" i="14"/>
  <c r="I32" i="14"/>
  <c r="H32" i="14"/>
  <c r="E32" i="14"/>
  <c r="D32" i="14"/>
  <c r="O31" i="14"/>
  <c r="M31" i="14"/>
  <c r="L31" i="14"/>
  <c r="K31" i="14"/>
  <c r="J31" i="14"/>
  <c r="I31" i="14"/>
  <c r="H31" i="14"/>
  <c r="E31" i="14"/>
  <c r="D31" i="14"/>
  <c r="O30" i="14"/>
  <c r="M30" i="14"/>
  <c r="L30" i="14"/>
  <c r="K30" i="14"/>
  <c r="J30" i="14"/>
  <c r="I30" i="14"/>
  <c r="H30" i="14"/>
  <c r="E30" i="14"/>
  <c r="D30" i="14"/>
  <c r="O29" i="14"/>
  <c r="M29" i="14"/>
  <c r="L29" i="14"/>
  <c r="K29" i="14"/>
  <c r="J29" i="14"/>
  <c r="I29" i="14"/>
  <c r="H29" i="14"/>
  <c r="E29" i="14"/>
  <c r="D29" i="14"/>
  <c r="O26" i="14"/>
  <c r="M26" i="14"/>
  <c r="L26" i="14"/>
  <c r="K26" i="14"/>
  <c r="J26" i="14"/>
  <c r="I26" i="14"/>
  <c r="H26" i="14"/>
  <c r="E26" i="14"/>
  <c r="D26" i="14"/>
  <c r="O25" i="14"/>
  <c r="M25" i="14"/>
  <c r="L25" i="14"/>
  <c r="K25" i="14"/>
  <c r="J25" i="14"/>
  <c r="I25" i="14"/>
  <c r="H25" i="14"/>
  <c r="E25" i="14"/>
  <c r="D25" i="14"/>
  <c r="O24" i="14"/>
  <c r="M24" i="14"/>
  <c r="L24" i="14"/>
  <c r="K24" i="14"/>
  <c r="J24" i="14"/>
  <c r="I24" i="14"/>
  <c r="H24" i="14"/>
  <c r="E24" i="14"/>
  <c r="D24" i="14"/>
  <c r="O23" i="14"/>
  <c r="M23" i="14"/>
  <c r="L23" i="14"/>
  <c r="K23" i="14"/>
  <c r="J23" i="14"/>
  <c r="I23" i="14"/>
  <c r="H23" i="14"/>
  <c r="E23" i="14"/>
  <c r="D23" i="14"/>
  <c r="O22" i="14"/>
  <c r="M22" i="14"/>
  <c r="L22" i="14"/>
  <c r="K22" i="14"/>
  <c r="J22" i="14"/>
  <c r="I22" i="14"/>
  <c r="H22" i="14"/>
  <c r="E22" i="14"/>
  <c r="D22" i="14"/>
  <c r="O19" i="14"/>
  <c r="M19" i="14"/>
  <c r="L19" i="14"/>
  <c r="K19" i="14"/>
  <c r="J19" i="14"/>
  <c r="I19" i="14"/>
  <c r="H19" i="14"/>
  <c r="E19" i="14"/>
  <c r="D19" i="14"/>
  <c r="O18" i="14"/>
  <c r="M18" i="14"/>
  <c r="L18" i="14"/>
  <c r="K18" i="14"/>
  <c r="J18" i="14"/>
  <c r="I18" i="14"/>
  <c r="H18" i="14"/>
  <c r="E18" i="14"/>
  <c r="D18" i="14"/>
  <c r="O17" i="14"/>
  <c r="M17" i="14"/>
  <c r="L17" i="14"/>
  <c r="K17" i="14"/>
  <c r="J17" i="14"/>
  <c r="I17" i="14"/>
  <c r="H17" i="14"/>
  <c r="E17" i="14"/>
  <c r="D17" i="14"/>
  <c r="O16" i="14"/>
  <c r="M16" i="14"/>
  <c r="L16" i="14"/>
  <c r="K16" i="14"/>
  <c r="J16" i="14"/>
  <c r="I16" i="14"/>
  <c r="H16" i="14"/>
  <c r="E16" i="14"/>
  <c r="D16" i="14"/>
  <c r="O15" i="14"/>
  <c r="M15" i="14"/>
  <c r="L15" i="14"/>
  <c r="K15" i="14"/>
  <c r="J15" i="14"/>
  <c r="I15" i="14"/>
  <c r="H15" i="14"/>
  <c r="E15" i="14"/>
  <c r="D15" i="14"/>
  <c r="O14" i="14"/>
  <c r="M14" i="14"/>
  <c r="L14" i="14"/>
  <c r="K14" i="14"/>
  <c r="J14" i="14"/>
  <c r="I14" i="14"/>
  <c r="H14" i="14"/>
  <c r="E14" i="14"/>
  <c r="D14" i="14"/>
  <c r="O11" i="14"/>
  <c r="M11" i="14"/>
  <c r="L11" i="14"/>
  <c r="K11" i="14"/>
  <c r="J11" i="14"/>
  <c r="I11" i="14"/>
  <c r="H11" i="14"/>
  <c r="E11" i="14"/>
  <c r="D11" i="14"/>
  <c r="O10" i="14"/>
  <c r="M10" i="14"/>
  <c r="L10" i="14"/>
  <c r="K10" i="14"/>
  <c r="J10" i="14"/>
  <c r="I10" i="14"/>
  <c r="H10" i="14"/>
  <c r="E10" i="14"/>
  <c r="D10" i="14"/>
  <c r="O9" i="14"/>
  <c r="M9" i="14"/>
  <c r="L9" i="14"/>
  <c r="K9" i="14"/>
  <c r="J9" i="14"/>
  <c r="I9" i="14"/>
  <c r="H9" i="14"/>
  <c r="E9" i="14"/>
  <c r="D9" i="14"/>
  <c r="O8" i="14"/>
  <c r="M8" i="14"/>
  <c r="L8" i="14"/>
  <c r="K8" i="14"/>
  <c r="J8" i="14"/>
  <c r="I8" i="14"/>
  <c r="H8" i="14"/>
  <c r="E8" i="14"/>
  <c r="D8" i="14"/>
  <c r="O7" i="14"/>
  <c r="M7" i="14"/>
  <c r="L7" i="14"/>
  <c r="K7" i="14"/>
  <c r="J7" i="14"/>
  <c r="I7" i="14"/>
  <c r="H7" i="14"/>
  <c r="E7" i="14"/>
  <c r="D7" i="14"/>
  <c r="O6" i="14"/>
  <c r="M6" i="14"/>
  <c r="L6" i="14"/>
  <c r="K6" i="14"/>
  <c r="J6" i="14"/>
  <c r="I6" i="14"/>
  <c r="H6" i="14"/>
  <c r="E6" i="14"/>
  <c r="D6" i="14"/>
  <c r="G52" i="14"/>
  <c r="F52" i="14"/>
  <c r="H25" i="13"/>
  <c r="J25" i="13" s="1"/>
  <c r="L25" i="13" s="1"/>
  <c r="E25" i="13"/>
  <c r="G25" i="13" s="1"/>
  <c r="I25" i="13" s="1"/>
  <c r="K25" i="13" s="1"/>
  <c r="M25" i="13" s="1"/>
  <c r="D25" i="13"/>
  <c r="F25" i="13" s="1"/>
  <c r="E24" i="13"/>
  <c r="G24" i="13" s="1"/>
  <c r="I24" i="13" s="1"/>
  <c r="K24" i="13" s="1"/>
  <c r="M24" i="13" s="1"/>
  <c r="D24" i="13"/>
  <c r="F24" i="13" s="1"/>
  <c r="H24" i="13" s="1"/>
  <c r="J24" i="13" s="1"/>
  <c r="L24" i="13" s="1"/>
  <c r="E23" i="13"/>
  <c r="G23" i="13" s="1"/>
  <c r="I23" i="13" s="1"/>
  <c r="K23" i="13" s="1"/>
  <c r="M23" i="13" s="1"/>
  <c r="D23" i="13"/>
  <c r="F23" i="13" s="1"/>
  <c r="H23" i="13" s="1"/>
  <c r="J23" i="13" s="1"/>
  <c r="L23" i="13" s="1"/>
  <c r="E22" i="13"/>
  <c r="G22" i="13" s="1"/>
  <c r="I22" i="13" s="1"/>
  <c r="K22" i="13" s="1"/>
  <c r="M22" i="13" s="1"/>
  <c r="D22" i="13"/>
  <c r="F22" i="13" s="1"/>
  <c r="H22" i="13" s="1"/>
  <c r="J22" i="13" s="1"/>
  <c r="L22" i="13" s="1"/>
  <c r="E19" i="13"/>
  <c r="G19" i="13" s="1"/>
  <c r="I19" i="13" s="1"/>
  <c r="K19" i="13" s="1"/>
  <c r="M19" i="13" s="1"/>
  <c r="D19" i="13"/>
  <c r="F19" i="13" s="1"/>
  <c r="H19" i="13" s="1"/>
  <c r="J19" i="13" s="1"/>
  <c r="L19" i="13" s="1"/>
  <c r="E18" i="13"/>
  <c r="G18" i="13" s="1"/>
  <c r="I18" i="13" s="1"/>
  <c r="K18" i="13" s="1"/>
  <c r="M18" i="13" s="1"/>
  <c r="D18" i="13"/>
  <c r="F18" i="13" s="1"/>
  <c r="H18" i="13" s="1"/>
  <c r="J18" i="13" s="1"/>
  <c r="L18" i="13" s="1"/>
  <c r="E17" i="13"/>
  <c r="G17" i="13" s="1"/>
  <c r="I17" i="13" s="1"/>
  <c r="K17" i="13" s="1"/>
  <c r="M17" i="13" s="1"/>
  <c r="D17" i="13"/>
  <c r="F17" i="13" s="1"/>
  <c r="H17" i="13" s="1"/>
  <c r="J17" i="13" s="1"/>
  <c r="L17" i="13" s="1"/>
  <c r="H16" i="13"/>
  <c r="J16" i="13" s="1"/>
  <c r="L16" i="13" s="1"/>
  <c r="E16" i="13"/>
  <c r="G16" i="13" s="1"/>
  <c r="I16" i="13" s="1"/>
  <c r="K16" i="13" s="1"/>
  <c r="M16" i="13" s="1"/>
  <c r="D16" i="13"/>
  <c r="F16" i="13" s="1"/>
  <c r="H15" i="13"/>
  <c r="J15" i="13" s="1"/>
  <c r="L15" i="13" s="1"/>
  <c r="E15" i="13"/>
  <c r="G15" i="13" s="1"/>
  <c r="I15" i="13" s="1"/>
  <c r="K15" i="13" s="1"/>
  <c r="M15" i="13" s="1"/>
  <c r="D15" i="13"/>
  <c r="F15" i="13" s="1"/>
  <c r="E14" i="13"/>
  <c r="G14" i="13" s="1"/>
  <c r="I14" i="13" s="1"/>
  <c r="K14" i="13" s="1"/>
  <c r="M14" i="13" s="1"/>
  <c r="D14" i="13"/>
  <c r="F14" i="13" s="1"/>
  <c r="H14" i="13" s="1"/>
  <c r="J14" i="13" s="1"/>
  <c r="L14" i="13" s="1"/>
  <c r="E11" i="13"/>
  <c r="G11" i="13" s="1"/>
  <c r="I11" i="13" s="1"/>
  <c r="K11" i="13" s="1"/>
  <c r="M11" i="13" s="1"/>
  <c r="D11" i="13"/>
  <c r="F11" i="13" s="1"/>
  <c r="H11" i="13" s="1"/>
  <c r="J11" i="13" s="1"/>
  <c r="L11" i="13" s="1"/>
  <c r="E10" i="13"/>
  <c r="G10" i="13" s="1"/>
  <c r="I10" i="13" s="1"/>
  <c r="K10" i="13" s="1"/>
  <c r="M10" i="13" s="1"/>
  <c r="D10" i="13"/>
  <c r="F10" i="13" s="1"/>
  <c r="H10" i="13" s="1"/>
  <c r="J10" i="13" s="1"/>
  <c r="L10" i="13" s="1"/>
  <c r="E9" i="13"/>
  <c r="G9" i="13" s="1"/>
  <c r="I9" i="13" s="1"/>
  <c r="K9" i="13" s="1"/>
  <c r="M9" i="13" s="1"/>
  <c r="D9" i="13"/>
  <c r="F9" i="13" s="1"/>
  <c r="H9" i="13" s="1"/>
  <c r="J9" i="13" s="1"/>
  <c r="L9" i="13" s="1"/>
  <c r="E8" i="13"/>
  <c r="G8" i="13" s="1"/>
  <c r="I8" i="13" s="1"/>
  <c r="K8" i="13" s="1"/>
  <c r="M8" i="13" s="1"/>
  <c r="D8" i="13"/>
  <c r="F8" i="13" s="1"/>
  <c r="H8" i="13" s="1"/>
  <c r="J8" i="13" s="1"/>
  <c r="L8" i="13" s="1"/>
  <c r="E7" i="13"/>
  <c r="G7" i="13" s="1"/>
  <c r="I7" i="13" s="1"/>
  <c r="K7" i="13" s="1"/>
  <c r="M7" i="13" s="1"/>
  <c r="D7" i="13"/>
  <c r="F7" i="13" s="1"/>
  <c r="H7" i="13" s="1"/>
  <c r="J7" i="13" s="1"/>
  <c r="L7" i="13" s="1"/>
  <c r="H6" i="13"/>
  <c r="J6" i="13" s="1"/>
  <c r="L6" i="13" s="1"/>
  <c r="E6" i="13"/>
  <c r="G6" i="13" s="1"/>
  <c r="I6" i="13" s="1"/>
  <c r="K6" i="13" s="1"/>
  <c r="M6" i="13" s="1"/>
  <c r="D6" i="13"/>
  <c r="F6" i="13" s="1"/>
  <c r="J29" i="13" l="1"/>
  <c r="L29" i="13" s="1"/>
  <c r="J28" i="13"/>
  <c r="L28" i="13" s="1"/>
  <c r="J30" i="13"/>
  <c r="L30" i="13" s="1"/>
  <c r="J31" i="13"/>
  <c r="L31" i="13" s="1"/>
  <c r="P25" i="14"/>
  <c r="P41" i="14"/>
  <c r="P49" i="14"/>
  <c r="P9" i="14"/>
  <c r="P15" i="14"/>
  <c r="P19" i="14"/>
  <c r="P31" i="14"/>
  <c r="P37" i="14"/>
  <c r="P39" i="14"/>
  <c r="P45" i="14"/>
  <c r="P47" i="14"/>
  <c r="P24" i="14"/>
  <c r="P30" i="14"/>
  <c r="P36" i="14"/>
  <c r="P40" i="14"/>
  <c r="P44" i="14"/>
  <c r="P48" i="14"/>
  <c r="P23" i="14"/>
  <c r="P29" i="14"/>
  <c r="P33" i="14"/>
  <c r="P43" i="14"/>
  <c r="P16" i="14"/>
  <c r="P22" i="14"/>
  <c r="P26" i="14"/>
  <c r="P32" i="14"/>
  <c r="P38" i="14"/>
  <c r="P42" i="14"/>
  <c r="P46" i="14"/>
  <c r="E52" i="14"/>
  <c r="K52" i="14"/>
  <c r="P14" i="14"/>
  <c r="P17" i="14"/>
  <c r="P18" i="14"/>
  <c r="L52" i="14"/>
  <c r="O52" i="14"/>
  <c r="J52" i="14"/>
  <c r="P7" i="14"/>
  <c r="P8" i="14"/>
  <c r="P10" i="14"/>
  <c r="P11" i="14"/>
  <c r="N52" i="14"/>
  <c r="I52" i="14"/>
  <c r="M52" i="14"/>
  <c r="P6" i="14"/>
  <c r="H52" i="14"/>
  <c r="D52" i="14"/>
  <c r="N31" i="13" l="1"/>
  <c r="N28" i="13"/>
  <c r="N30" i="13"/>
  <c r="N29" i="13"/>
  <c r="Q34" i="14"/>
  <c r="Q50" i="14"/>
  <c r="Q20" i="14"/>
  <c r="Q27" i="14"/>
  <c r="Q12" i="14"/>
  <c r="Q52" i="14"/>
  <c r="N9" i="13" l="1"/>
  <c r="N22" i="13"/>
  <c r="N18" i="13"/>
  <c r="N16" i="13"/>
  <c r="N14" i="13"/>
  <c r="N19" i="13"/>
  <c r="N17" i="13"/>
  <c r="N15" i="13"/>
  <c r="N11" i="13"/>
  <c r="N7" i="13"/>
  <c r="N25" i="13"/>
  <c r="N8" i="13"/>
  <c r="N6" i="13"/>
  <c r="N10" i="13"/>
  <c r="O32" i="13" l="1"/>
  <c r="O12" i="13"/>
  <c r="N23" i="13"/>
  <c r="N24" i="13"/>
  <c r="O20" i="13"/>
  <c r="O26" i="13" l="1"/>
  <c r="O34" i="13" s="1"/>
  <c r="E55" i="4" l="1"/>
  <c r="E56" i="4"/>
  <c r="E57" i="4"/>
  <c r="E58" i="4"/>
  <c r="E59" i="4"/>
  <c r="E54" i="4"/>
  <c r="D7" i="4"/>
  <c r="G13" i="4"/>
  <c r="I30" i="4"/>
  <c r="E30" i="4"/>
  <c r="E7" i="4"/>
  <c r="E8" i="4"/>
  <c r="D9" i="4"/>
  <c r="G10" i="4"/>
  <c r="D13" i="4"/>
  <c r="E13" i="4"/>
  <c r="D14" i="4"/>
  <c r="E14" i="4"/>
  <c r="G14" i="4"/>
  <c r="D15" i="4"/>
  <c r="E15" i="4"/>
  <c r="G15" i="4"/>
  <c r="D16" i="4"/>
  <c r="E16" i="4"/>
  <c r="G16" i="4"/>
  <c r="D17" i="4"/>
  <c r="E17" i="4"/>
  <c r="G17" i="4"/>
  <c r="M7" i="4" l="1"/>
  <c r="L7" i="4"/>
  <c r="M13" i="4"/>
  <c r="G26" i="4" l="1"/>
  <c r="G27" i="4"/>
  <c r="G28" i="4"/>
  <c r="G18" i="4"/>
  <c r="J41" i="4" l="1"/>
  <c r="J34" i="4"/>
  <c r="K33" i="4"/>
  <c r="N85" i="4"/>
  <c r="N84" i="4"/>
  <c r="N83" i="4"/>
  <c r="N82" i="4"/>
  <c r="N81" i="4"/>
  <c r="N80" i="4"/>
  <c r="N79" i="4"/>
  <c r="N74" i="4"/>
  <c r="N73" i="4"/>
  <c r="N72" i="4"/>
  <c r="N71" i="4"/>
  <c r="N70" i="4"/>
  <c r="P85" i="4"/>
  <c r="O85" i="4"/>
  <c r="P84" i="4"/>
  <c r="O84" i="4"/>
  <c r="P83" i="4"/>
  <c r="O83" i="4"/>
  <c r="P82" i="4"/>
  <c r="O82" i="4"/>
  <c r="P81" i="4"/>
  <c r="O81" i="4"/>
  <c r="P80" i="4"/>
  <c r="O80" i="4"/>
  <c r="P79" i="4"/>
  <c r="O79" i="4"/>
  <c r="P74" i="4"/>
  <c r="O74" i="4"/>
  <c r="P73" i="4"/>
  <c r="O73" i="4"/>
  <c r="P72" i="4"/>
  <c r="O72" i="4"/>
  <c r="P71" i="4"/>
  <c r="O71" i="4"/>
  <c r="P70" i="4"/>
  <c r="O70" i="4"/>
  <c r="M71" i="4"/>
  <c r="M72" i="4"/>
  <c r="M73" i="4"/>
  <c r="M74" i="4"/>
  <c r="M79" i="4"/>
  <c r="M80" i="4"/>
  <c r="M81" i="4"/>
  <c r="M82" i="4"/>
  <c r="M83" i="4"/>
  <c r="M84" i="4"/>
  <c r="M85" i="4"/>
  <c r="M70" i="4"/>
  <c r="W82" i="4" l="1"/>
  <c r="W84" i="4"/>
  <c r="W85" i="4"/>
  <c r="W80" i="4"/>
  <c r="W72" i="4"/>
  <c r="W83" i="4"/>
  <c r="W79" i="4"/>
  <c r="W71" i="4"/>
  <c r="W70" i="4"/>
  <c r="W74" i="4"/>
  <c r="W81" i="4"/>
  <c r="W73" i="4"/>
  <c r="X53" i="4"/>
  <c r="P101" i="4" l="1"/>
  <c r="O101" i="4"/>
  <c r="N101" i="4"/>
  <c r="P100" i="4"/>
  <c r="O100" i="4"/>
  <c r="N100" i="4"/>
  <c r="P99" i="4"/>
  <c r="O99" i="4"/>
  <c r="N99" i="4"/>
  <c r="P98" i="4"/>
  <c r="O98" i="4"/>
  <c r="N98" i="4"/>
  <c r="P97" i="4"/>
  <c r="O97" i="4"/>
  <c r="N97" i="4"/>
  <c r="P96" i="4"/>
  <c r="O96" i="4"/>
  <c r="N96" i="4"/>
  <c r="P95" i="4"/>
  <c r="O95" i="4"/>
  <c r="N95" i="4"/>
  <c r="M96" i="4"/>
  <c r="M97" i="4"/>
  <c r="M98" i="4"/>
  <c r="M99" i="4"/>
  <c r="M100" i="4"/>
  <c r="M101" i="4"/>
  <c r="M95" i="4"/>
  <c r="L39" i="4"/>
  <c r="L30" i="4"/>
  <c r="L28" i="4"/>
  <c r="L27" i="4"/>
  <c r="L26" i="4"/>
  <c r="L18" i="4"/>
  <c r="L17" i="4"/>
  <c r="L16" i="4"/>
  <c r="L15" i="4"/>
  <c r="L14" i="4"/>
  <c r="L13" i="4"/>
  <c r="L6" i="4"/>
  <c r="L11" i="4" s="1"/>
  <c r="L32" i="4" s="1"/>
  <c r="W98" i="4" l="1"/>
  <c r="W95" i="4"/>
  <c r="W101" i="4"/>
  <c r="W97" i="4"/>
  <c r="W100" i="4"/>
  <c r="W96" i="4"/>
  <c r="W99" i="4"/>
  <c r="AB66" i="4"/>
  <c r="AC66" i="4"/>
  <c r="AD66" i="4"/>
  <c r="AE66" i="4"/>
  <c r="AF66" i="4"/>
  <c r="AA66" i="4"/>
  <c r="H6" i="4" l="1"/>
  <c r="H11" i="4" s="1"/>
  <c r="H32" i="4" s="1"/>
  <c r="H39" i="4"/>
  <c r="G39" i="4"/>
  <c r="G6" i="4"/>
  <c r="G11" i="4" s="1"/>
  <c r="G32" i="4" l="1"/>
  <c r="O9" i="4"/>
  <c r="AF86" i="4" l="1"/>
  <c r="AE86" i="4"/>
  <c r="AD86" i="4"/>
  <c r="AC86" i="4"/>
  <c r="AB86" i="4"/>
  <c r="AA86" i="4"/>
  <c r="AF85" i="4"/>
  <c r="AE85" i="4"/>
  <c r="AD85" i="4"/>
  <c r="AC85" i="4"/>
  <c r="AB85" i="4"/>
  <c r="AA85" i="4"/>
  <c r="AF84" i="4"/>
  <c r="AE84" i="4"/>
  <c r="AD84" i="4"/>
  <c r="AC84" i="4"/>
  <c r="AB84" i="4"/>
  <c r="AA84" i="4"/>
  <c r="AF83" i="4"/>
  <c r="AE83" i="4"/>
  <c r="AD83" i="4"/>
  <c r="AC83" i="4"/>
  <c r="AB83" i="4"/>
  <c r="AA83" i="4"/>
  <c r="AF82" i="4"/>
  <c r="AE82" i="4"/>
  <c r="AD82" i="4"/>
  <c r="AC82" i="4"/>
  <c r="AB82" i="4"/>
  <c r="AA82" i="4"/>
  <c r="AF81" i="4"/>
  <c r="AE81" i="4"/>
  <c r="AD81" i="4"/>
  <c r="AC81" i="4"/>
  <c r="AB81" i="4"/>
  <c r="AA81" i="4"/>
  <c r="AF80" i="4"/>
  <c r="AE80" i="4"/>
  <c r="AD80" i="4"/>
  <c r="AC80" i="4"/>
  <c r="AB80" i="4"/>
  <c r="AA80" i="4"/>
  <c r="AF79" i="4"/>
  <c r="AE79" i="4"/>
  <c r="AD79" i="4"/>
  <c r="AC79" i="4"/>
  <c r="AB79" i="4"/>
  <c r="AA79" i="4"/>
  <c r="AF74" i="4"/>
  <c r="AE74" i="4"/>
  <c r="AD74" i="4"/>
  <c r="AC74" i="4"/>
  <c r="AB74" i="4"/>
  <c r="AA74" i="4"/>
  <c r="AF73" i="4"/>
  <c r="AE73" i="4"/>
  <c r="AD73" i="4"/>
  <c r="AC73" i="4"/>
  <c r="AB73" i="4"/>
  <c r="AA73" i="4"/>
  <c r="AF72" i="4"/>
  <c r="AE72" i="4"/>
  <c r="AD72" i="4"/>
  <c r="AC72" i="4"/>
  <c r="AB72" i="4"/>
  <c r="AA72" i="4"/>
  <c r="AF71" i="4"/>
  <c r="AE71" i="4"/>
  <c r="AD71" i="4"/>
  <c r="AC71" i="4"/>
  <c r="AB71" i="4"/>
  <c r="AA71" i="4"/>
  <c r="AF70" i="4"/>
  <c r="AE70" i="4"/>
  <c r="AD70" i="4"/>
  <c r="AC70" i="4"/>
  <c r="AB70" i="4"/>
  <c r="AA70" i="4"/>
  <c r="W66" i="4"/>
  <c r="AF60" i="4"/>
  <c r="AE60" i="4"/>
  <c r="AD60" i="4"/>
  <c r="AC60" i="4"/>
  <c r="AB60" i="4"/>
  <c r="AA60" i="4"/>
  <c r="AF59" i="4"/>
  <c r="AE59" i="4"/>
  <c r="AD59" i="4"/>
  <c r="AC59" i="4"/>
  <c r="AB59" i="4"/>
  <c r="AA59" i="4"/>
  <c r="D59" i="4"/>
  <c r="W59" i="4" s="1"/>
  <c r="AF58" i="4"/>
  <c r="AE58" i="4"/>
  <c r="AD58" i="4"/>
  <c r="AC58" i="4"/>
  <c r="AB58" i="4"/>
  <c r="AA58" i="4"/>
  <c r="D58" i="4"/>
  <c r="W58" i="4" s="1"/>
  <c r="AF57" i="4"/>
  <c r="AE57" i="4"/>
  <c r="AD57" i="4"/>
  <c r="AC57" i="4"/>
  <c r="AB57" i="4"/>
  <c r="AA57" i="4"/>
  <c r="D57" i="4"/>
  <c r="W57" i="4" s="1"/>
  <c r="AF56" i="4"/>
  <c r="AE56" i="4"/>
  <c r="AD56" i="4"/>
  <c r="AC56" i="4"/>
  <c r="AB56" i="4"/>
  <c r="AA56" i="4"/>
  <c r="D56" i="4"/>
  <c r="W56" i="4" s="1"/>
  <c r="AF55" i="4"/>
  <c r="AE55" i="4"/>
  <c r="AD55" i="4"/>
  <c r="AC55" i="4"/>
  <c r="AB55" i="4"/>
  <c r="AA55" i="4"/>
  <c r="D55" i="4"/>
  <c r="W55" i="4" s="1"/>
  <c r="AF54" i="4"/>
  <c r="AE54" i="4"/>
  <c r="AD54" i="4"/>
  <c r="AC54" i="4"/>
  <c r="AB54" i="4"/>
  <c r="AA54" i="4"/>
  <c r="D54" i="4"/>
  <c r="W54" i="4" s="1"/>
  <c r="G49" i="4"/>
  <c r="E49" i="4"/>
  <c r="D49" i="4"/>
  <c r="G48" i="4"/>
  <c r="E48" i="4"/>
  <c r="D48" i="4"/>
  <c r="G47" i="4"/>
  <c r="E47" i="4"/>
  <c r="D47" i="4"/>
  <c r="G46" i="4"/>
  <c r="E46" i="4"/>
  <c r="D46" i="4"/>
  <c r="G45" i="4"/>
  <c r="E45" i="4"/>
  <c r="D45" i="4"/>
  <c r="G44" i="4"/>
  <c r="E44" i="4"/>
  <c r="D44" i="4"/>
  <c r="R39" i="4"/>
  <c r="P39" i="4"/>
  <c r="O39" i="4"/>
  <c r="N39" i="4"/>
  <c r="M39" i="4"/>
  <c r="K39" i="4"/>
  <c r="J39" i="4"/>
  <c r="I39" i="4"/>
  <c r="E39" i="4"/>
  <c r="D39" i="4"/>
  <c r="J33" i="4"/>
  <c r="J31" i="4"/>
  <c r="M30" i="4"/>
  <c r="K30" i="4"/>
  <c r="J30" i="4"/>
  <c r="D30" i="4"/>
  <c r="M28" i="4"/>
  <c r="K28" i="4"/>
  <c r="I28" i="4"/>
  <c r="E28" i="4"/>
  <c r="D28" i="4"/>
  <c r="M27" i="4"/>
  <c r="K27" i="4"/>
  <c r="I27" i="4"/>
  <c r="E27" i="4"/>
  <c r="D27" i="4"/>
  <c r="M26" i="4"/>
  <c r="K26" i="4"/>
  <c r="I26" i="4"/>
  <c r="E26" i="4"/>
  <c r="D26" i="4"/>
  <c r="M18" i="4"/>
  <c r="K18" i="4"/>
  <c r="J18" i="4"/>
  <c r="I18" i="4"/>
  <c r="E18" i="4"/>
  <c r="D18" i="4"/>
  <c r="M17" i="4"/>
  <c r="K17" i="4"/>
  <c r="J17" i="4"/>
  <c r="I17" i="4"/>
  <c r="M16" i="4"/>
  <c r="K16" i="4"/>
  <c r="J16" i="4"/>
  <c r="I16" i="4"/>
  <c r="M15" i="4"/>
  <c r="K15" i="4"/>
  <c r="J15" i="4"/>
  <c r="I15" i="4"/>
  <c r="M14" i="4"/>
  <c r="K14" i="4"/>
  <c r="J14" i="4"/>
  <c r="I14" i="4"/>
  <c r="K13" i="4"/>
  <c r="J13" i="4"/>
  <c r="I13" i="4"/>
  <c r="R9" i="4"/>
  <c r="N9" i="4"/>
  <c r="I8" i="4"/>
  <c r="R7" i="4"/>
  <c r="P7" i="4"/>
  <c r="O7" i="4"/>
  <c r="N7" i="4"/>
  <c r="K7" i="4"/>
  <c r="J7" i="4"/>
  <c r="I7" i="4"/>
  <c r="Y35" i="4"/>
  <c r="Y36" i="4"/>
  <c r="Y37" i="4"/>
  <c r="Y38" i="4"/>
  <c r="S44" i="4" l="1"/>
  <c r="W44" i="4" s="1"/>
  <c r="S48" i="4"/>
  <c r="W48" i="4" s="1"/>
  <c r="S45" i="4"/>
  <c r="W45" i="4" s="1"/>
  <c r="S49" i="4"/>
  <c r="W49" i="4" s="1"/>
  <c r="S46" i="4"/>
  <c r="W46" i="4" s="1"/>
  <c r="S47" i="4"/>
  <c r="W47" i="4" s="1"/>
  <c r="Y66" i="4"/>
  <c r="V6" i="4" l="1"/>
  <c r="V11" i="4" s="1"/>
  <c r="U6" i="4"/>
  <c r="U11" i="4" s="1"/>
  <c r="T11" i="4"/>
  <c r="Y56" i="4" l="1"/>
  <c r="Y57" i="4"/>
  <c r="Y58" i="4"/>
  <c r="Y59" i="4"/>
  <c r="X102" i="4"/>
  <c r="Y55" i="4" l="1"/>
  <c r="Y45" i="4"/>
  <c r="Y46" i="4"/>
  <c r="Y47" i="4"/>
  <c r="Y48" i="4"/>
  <c r="Y49" i="4"/>
  <c r="Y44" i="4"/>
  <c r="X61" i="4" l="1"/>
  <c r="Y54" i="4"/>
  <c r="X88" i="4"/>
  <c r="Y80" i="4"/>
  <c r="Y81" i="4"/>
  <c r="Y82" i="4"/>
  <c r="Y83" i="4"/>
  <c r="Y84" i="4"/>
  <c r="Y85" i="4"/>
  <c r="Y86" i="4"/>
  <c r="X43" i="4"/>
  <c r="X69" i="4"/>
  <c r="X94" i="4" s="1"/>
  <c r="AA61" i="4" l="1"/>
  <c r="AE61" i="4"/>
  <c r="AB61" i="4"/>
  <c r="AF61" i="4"/>
  <c r="AC61" i="4"/>
  <c r="AD61" i="4"/>
  <c r="AA96" i="4"/>
  <c r="AB96" i="4"/>
  <c r="AC96" i="4"/>
  <c r="AD96" i="4"/>
  <c r="AE96" i="4"/>
  <c r="AF96" i="4"/>
  <c r="AA97" i="4"/>
  <c r="AB97" i="4"/>
  <c r="AC97" i="4"/>
  <c r="AD97" i="4"/>
  <c r="AE97" i="4"/>
  <c r="AF97" i="4"/>
  <c r="AA98" i="4"/>
  <c r="AB98" i="4"/>
  <c r="AC98" i="4"/>
  <c r="AD98" i="4"/>
  <c r="AE98" i="4"/>
  <c r="AF98" i="4"/>
  <c r="AA99" i="4"/>
  <c r="AB99" i="4"/>
  <c r="AC99" i="4"/>
  <c r="AD99" i="4"/>
  <c r="AE99" i="4"/>
  <c r="AF99" i="4"/>
  <c r="AA100" i="4"/>
  <c r="AB100" i="4"/>
  <c r="AC100" i="4"/>
  <c r="AD100" i="4"/>
  <c r="AE100" i="4"/>
  <c r="AF100" i="4"/>
  <c r="AA101" i="4"/>
  <c r="AB101" i="4"/>
  <c r="AC101" i="4"/>
  <c r="AD101" i="4"/>
  <c r="AE101" i="4"/>
  <c r="AF101" i="4"/>
  <c r="AB95" i="4"/>
  <c r="AC95" i="4"/>
  <c r="AD95" i="4"/>
  <c r="AE95" i="4"/>
  <c r="AF95" i="4"/>
  <c r="AA95" i="4"/>
  <c r="Y79" i="4"/>
  <c r="Y74" i="4"/>
  <c r="Y73" i="4"/>
  <c r="Y72" i="4"/>
  <c r="Y71" i="4"/>
  <c r="Y70" i="4"/>
  <c r="W61" i="4"/>
  <c r="AA102" i="4" l="1"/>
  <c r="AC102" i="4"/>
  <c r="AF102" i="4"/>
  <c r="AB102" i="4"/>
  <c r="AE102" i="4"/>
  <c r="AD102" i="4"/>
  <c r="W88" i="4"/>
  <c r="Y88" i="4" s="1"/>
  <c r="AD88" i="4"/>
  <c r="AC88" i="4"/>
  <c r="AF88" i="4"/>
  <c r="AB88" i="4"/>
  <c r="AE88" i="4"/>
  <c r="AA88" i="4"/>
  <c r="X6" i="4" l="1"/>
  <c r="X11" i="4" l="1"/>
  <c r="X32" i="4" s="1"/>
  <c r="S41" i="4"/>
  <c r="W41" i="4" s="1"/>
  <c r="Y41" i="4" s="1"/>
  <c r="S34" i="4"/>
  <c r="W34" i="4" s="1"/>
  <c r="Y34" i="4" s="1"/>
  <c r="S9" i="4"/>
  <c r="R6" i="4"/>
  <c r="J6" i="4"/>
  <c r="J11" i="4" s="1"/>
  <c r="K6" i="4"/>
  <c r="K11" i="4" s="1"/>
  <c r="M6" i="4"/>
  <c r="M11" i="4" s="1"/>
  <c r="M32" i="4" s="1"/>
  <c r="N6" i="4"/>
  <c r="N11" i="4" s="1"/>
  <c r="N32" i="4" s="1"/>
  <c r="O6" i="4"/>
  <c r="O11" i="4" s="1"/>
  <c r="O32" i="4" s="1"/>
  <c r="P6" i="4"/>
  <c r="P11" i="4" s="1"/>
  <c r="P32" i="4" s="1"/>
  <c r="S10" i="4"/>
  <c r="D6" i="4"/>
  <c r="D11" i="4" l="1"/>
  <c r="D32" i="4" s="1"/>
  <c r="W10" i="4"/>
  <c r="Y10" i="4" s="1"/>
  <c r="W9" i="4"/>
  <c r="Y9" i="4" s="1"/>
  <c r="S8" i="4"/>
  <c r="I6" i="4"/>
  <c r="I11" i="4" s="1"/>
  <c r="I32" i="4" s="1"/>
  <c r="E6" i="4"/>
  <c r="S33" i="4"/>
  <c r="W33" i="4" s="1"/>
  <c r="Y33" i="4" s="1"/>
  <c r="S39" i="4"/>
  <c r="W39" i="4" s="1"/>
  <c r="Y39" i="4" s="1"/>
  <c r="J32" i="4"/>
  <c r="K32" i="4"/>
  <c r="S14" i="4"/>
  <c r="R11" i="4"/>
  <c r="R32" i="4" s="1"/>
  <c r="S15" i="4"/>
  <c r="S13" i="4"/>
  <c r="S28" i="4"/>
  <c r="W28" i="4" s="1"/>
  <c r="Y28" i="4" s="1"/>
  <c r="S27" i="4"/>
  <c r="W27" i="4" s="1"/>
  <c r="Y27" i="4" s="1"/>
  <c r="S26" i="4"/>
  <c r="W26" i="4" s="1"/>
  <c r="Y26" i="4" s="1"/>
  <c r="S31" i="4"/>
  <c r="W31" i="4" s="1"/>
  <c r="Y31" i="4" s="1"/>
  <c r="S30" i="4"/>
  <c r="W30" i="4" s="1"/>
  <c r="Y30" i="4" s="1"/>
  <c r="S17" i="4"/>
  <c r="S7" i="4"/>
  <c r="S16" i="4"/>
  <c r="S18" i="4"/>
  <c r="W7" i="4" l="1"/>
  <c r="Y7" i="4" s="1"/>
  <c r="Q53" i="14"/>
  <c r="Q54" i="14" s="1"/>
  <c r="E11" i="4"/>
  <c r="E32" i="4" s="1"/>
  <c r="S32" i="4" s="1"/>
  <c r="W32" i="4" s="1"/>
  <c r="Y32" i="4" s="1"/>
  <c r="W17" i="4"/>
  <c r="Y17" i="4" s="1"/>
  <c r="W18" i="4"/>
  <c r="Y18" i="4" s="1"/>
  <c r="W14" i="4"/>
  <c r="Y14" i="4" s="1"/>
  <c r="W15" i="4"/>
  <c r="Y15" i="4" s="1"/>
  <c r="W16" i="4"/>
  <c r="Y16" i="4" s="1"/>
  <c r="W13" i="4"/>
  <c r="Y13" i="4" s="1"/>
  <c r="W8" i="4"/>
  <c r="Y8" i="4" s="1"/>
  <c r="S6" i="4"/>
  <c r="S40" i="4" s="1"/>
  <c r="W40" i="4" s="1"/>
  <c r="Y40" i="4" s="1"/>
  <c r="S11" i="4" l="1"/>
  <c r="W6" i="4"/>
  <c r="Y6" i="4" s="1"/>
  <c r="W50" i="4"/>
  <c r="W11" i="4" l="1"/>
  <c r="Y11" i="4" s="1"/>
  <c r="W102" i="4" l="1"/>
  <c r="Y50" i="4"/>
  <c r="Y95" i="4"/>
  <c r="Y96" i="4"/>
  <c r="Y97" i="4"/>
  <c r="Y98" i="4"/>
  <c r="Y99" i="4"/>
  <c r="Y100" i="4"/>
  <c r="Y101" i="4"/>
  <c r="Y102" i="4" l="1"/>
  <c r="Y61" i="4"/>
</calcChain>
</file>

<file path=xl/comments1.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 via an intermediate district (sent to intermediate district through some means other than open enrollment)</t>
        </r>
      </text>
    </comment>
    <comment ref="G5" authorId="0" shapeId="0">
      <text>
        <r>
          <rPr>
            <b/>
            <sz val="9"/>
            <color indexed="81"/>
            <rFont val="Tahoma"/>
            <family val="2"/>
          </rPr>
          <t>Windows User:</t>
        </r>
        <r>
          <rPr>
            <sz val="9"/>
            <color indexed="81"/>
            <rFont val="Tahoma"/>
            <family val="2"/>
          </rPr>
          <t xml:space="preserve">
Contract Career Tech-JVSD and District to District</t>
        </r>
      </text>
    </comment>
    <comment ref="H5" authorId="0" shapeId="0">
      <text>
        <r>
          <rPr>
            <b/>
            <sz val="9"/>
            <color indexed="81"/>
            <rFont val="Tahoma"/>
            <family val="2"/>
          </rPr>
          <t>Windows User:</t>
        </r>
        <r>
          <rPr>
            <sz val="9"/>
            <color indexed="81"/>
            <rFont val="Tahoma"/>
            <family val="2"/>
          </rPr>
          <t xml:space="preserve">
JVSD via non-resident placement
</t>
        </r>
      </text>
    </comment>
    <comment ref="I5" authorId="0" shapeId="0">
      <text>
        <r>
          <rPr>
            <b/>
            <sz val="9"/>
            <color indexed="81"/>
            <rFont val="Tahoma"/>
            <family val="2"/>
          </rPr>
          <t>Windows User:</t>
        </r>
        <r>
          <rPr>
            <sz val="9"/>
            <color indexed="81"/>
            <rFont val="Tahoma"/>
            <family val="2"/>
          </rPr>
          <t xml:space="preserve">
Kindergarten Tuition Open Enrolled
</t>
        </r>
      </text>
    </comment>
    <comment ref="J5" authorId="0" shapeId="0">
      <text>
        <r>
          <rPr>
            <b/>
            <sz val="9"/>
            <color indexed="81"/>
            <rFont val="Tahoma"/>
            <family val="2"/>
          </rPr>
          <t>Windows User:</t>
        </r>
        <r>
          <rPr>
            <sz val="9"/>
            <color indexed="81"/>
            <rFont val="Tahoma"/>
            <family val="2"/>
          </rPr>
          <t xml:space="preserve">
Community School Student</t>
        </r>
      </text>
    </comment>
    <comment ref="K5" authorId="0" shapeId="0">
      <text>
        <r>
          <rPr>
            <b/>
            <sz val="9"/>
            <color indexed="81"/>
            <rFont val="Tahoma"/>
            <family val="2"/>
          </rPr>
          <t>Windows User:</t>
        </r>
        <r>
          <rPr>
            <sz val="9"/>
            <color indexed="81"/>
            <rFont val="Tahoma"/>
            <family val="2"/>
          </rPr>
          <t xml:space="preserve">
STEM District Student</t>
        </r>
      </text>
    </comment>
    <comment ref="L5" authorId="0" shapeId="0">
      <text>
        <r>
          <rPr>
            <b/>
            <sz val="9"/>
            <color indexed="81"/>
            <rFont val="Tahoma"/>
            <family val="2"/>
          </rPr>
          <t>Windows User:</t>
        </r>
        <r>
          <rPr>
            <sz val="9"/>
            <color indexed="81"/>
            <rFont val="Tahoma"/>
            <family val="2"/>
          </rPr>
          <t xml:space="preserve">
special ed coop</t>
        </r>
      </text>
    </comment>
    <comment ref="M5" authorId="0" shapeId="0">
      <text>
        <r>
          <rPr>
            <b/>
            <sz val="9"/>
            <color indexed="81"/>
            <rFont val="Tahoma"/>
            <family val="2"/>
          </rPr>
          <t>Windows User:</t>
        </r>
        <r>
          <rPr>
            <sz val="9"/>
            <color indexed="81"/>
            <rFont val="Tahoma"/>
            <family val="2"/>
          </rPr>
          <t xml:space="preserve">
Open Enrolled District to District</t>
        </r>
      </text>
    </comment>
    <comment ref="N5" authorId="0" shapeId="0">
      <text>
        <r>
          <rPr>
            <b/>
            <sz val="9"/>
            <color indexed="81"/>
            <rFont val="Tahoma"/>
            <family val="2"/>
          </rPr>
          <t>Windows User:</t>
        </r>
        <r>
          <rPr>
            <sz val="9"/>
            <color indexed="81"/>
            <rFont val="Tahoma"/>
            <family val="2"/>
          </rPr>
          <t xml:space="preserve">
Open Enrolled-JVSD-Counted in Resident
</t>
        </r>
      </text>
    </comment>
    <comment ref="O5" authorId="0" shapeId="0">
      <text>
        <r>
          <rPr>
            <b/>
            <sz val="9"/>
            <color indexed="81"/>
            <rFont val="Tahoma"/>
            <family val="2"/>
          </rPr>
          <t>Windows User:</t>
        </r>
        <r>
          <rPr>
            <sz val="9"/>
            <color indexed="81"/>
            <rFont val="Tahoma"/>
            <family val="2"/>
          </rPr>
          <t xml:space="preserve">
Open Enrolled </t>
        </r>
      </text>
    </comment>
    <comment ref="P5" authorId="0" shapeId="0">
      <text>
        <r>
          <rPr>
            <b/>
            <sz val="9"/>
            <color indexed="81"/>
            <rFont val="Tahoma"/>
            <family val="2"/>
          </rPr>
          <t>Windows User:</t>
        </r>
        <r>
          <rPr>
            <sz val="9"/>
            <color indexed="81"/>
            <rFont val="Tahoma"/>
            <family val="2"/>
          </rPr>
          <t xml:space="preserve">
Open Enrolled -JVSD via intermediate district-Non-Jointure</t>
        </r>
      </text>
    </comment>
    <comment ref="Q5" authorId="0" shapeId="0">
      <text>
        <r>
          <rPr>
            <b/>
            <sz val="9"/>
            <color indexed="81"/>
            <rFont val="Tahoma"/>
            <family val="2"/>
          </rPr>
          <t>Windows User:</t>
        </r>
        <r>
          <rPr>
            <sz val="9"/>
            <color indexed="81"/>
            <rFont val="Tahoma"/>
            <family val="2"/>
          </rPr>
          <t xml:space="preserve">
contract career-tech via an open enrollment district</t>
        </r>
      </text>
    </comment>
    <comment ref="R5" authorId="0" shapeId="0">
      <text>
        <r>
          <rPr>
            <b/>
            <sz val="9"/>
            <color indexed="81"/>
            <rFont val="Tahoma"/>
            <family val="2"/>
          </rPr>
          <t>Windows User:</t>
        </r>
        <r>
          <rPr>
            <sz val="9"/>
            <color indexed="81"/>
            <rFont val="Tahoma"/>
            <family val="2"/>
          </rPr>
          <t xml:space="preserve">
Contract Career Tech-Community School to Resident District</t>
        </r>
      </text>
    </comment>
    <comment ref="X5" authorId="0" shapeId="0">
      <text>
        <r>
          <rPr>
            <b/>
            <sz val="9"/>
            <color indexed="81"/>
            <rFont val="Tahoma"/>
            <family val="2"/>
          </rPr>
          <t>Windows User:</t>
        </r>
        <r>
          <rPr>
            <sz val="9"/>
            <color indexed="81"/>
            <rFont val="Tahoma"/>
            <family val="2"/>
          </rPr>
          <t xml:space="preserve">
</t>
        </r>
      </text>
    </comment>
    <comment ref="F7" authorId="0" shapeId="0">
      <text>
        <r>
          <rPr>
            <b/>
            <sz val="9"/>
            <color indexed="81"/>
            <rFont val="Tahoma"/>
            <family val="2"/>
          </rPr>
          <t>Windows User:</t>
        </r>
        <r>
          <rPr>
            <sz val="9"/>
            <color indexed="81"/>
            <rFont val="Tahoma"/>
            <family val="2"/>
          </rPr>
          <t xml:space="preserve">
when doing a filter for this use "FTE INCL CODE" "FULL"</t>
        </r>
      </text>
    </comment>
    <comment ref="G7" authorId="0" shapeId="0">
      <text>
        <r>
          <rPr>
            <b/>
            <sz val="9"/>
            <color indexed="81"/>
            <rFont val="Tahoma"/>
            <family val="2"/>
          </rPr>
          <t>Windows User:</t>
        </r>
        <r>
          <rPr>
            <sz val="9"/>
            <color indexed="81"/>
            <rFont val="Tahoma"/>
            <family val="2"/>
          </rPr>
          <t xml:space="preserve">
when doing a filter for this use "FTE INCL CODE" "FULL"</t>
        </r>
      </text>
    </comment>
    <comment ref="H7" authorId="0" shapeId="0">
      <text>
        <r>
          <rPr>
            <b/>
            <sz val="9"/>
            <color indexed="81"/>
            <rFont val="Tahoma"/>
            <family val="2"/>
          </rPr>
          <t>Windows User:</t>
        </r>
        <r>
          <rPr>
            <sz val="9"/>
            <color indexed="81"/>
            <rFont val="Tahoma"/>
            <family val="2"/>
          </rPr>
          <t xml:space="preserve">
when doing a filter for this use "FTE INCL CODE" "PART
"</t>
        </r>
      </text>
    </comment>
    <comment ref="L7" authorId="0" shapeId="0">
      <text>
        <r>
          <rPr>
            <b/>
            <sz val="9"/>
            <color indexed="81"/>
            <rFont val="Tahoma"/>
            <family val="2"/>
          </rPr>
          <t>Windows User:</t>
        </r>
        <r>
          <rPr>
            <sz val="9"/>
            <color indexed="81"/>
            <rFont val="Tahoma"/>
            <family val="2"/>
          </rPr>
          <t xml:space="preserve">
when doing a filter for this use "FTE INCL CODE" "FULL"</t>
        </r>
      </text>
    </comment>
    <comment ref="D9" authorId="0" shapeId="0">
      <text>
        <r>
          <rPr>
            <b/>
            <sz val="9"/>
            <color indexed="81"/>
            <rFont val="Tahoma"/>
            <family val="2"/>
          </rPr>
          <t>Windows User:</t>
        </r>
        <r>
          <rPr>
            <sz val="9"/>
            <color indexed="81"/>
            <rFont val="Tahoma"/>
            <family val="2"/>
          </rPr>
          <t xml:space="preserve">
when doing a filter for this use "FTE INCL CODE" "PART"</t>
        </r>
      </text>
    </comment>
    <comment ref="H9" authorId="0" shapeId="0">
      <text>
        <r>
          <rPr>
            <b/>
            <sz val="9"/>
            <color indexed="81"/>
            <rFont val="Tahoma"/>
            <family val="2"/>
          </rPr>
          <t>Windows User:</t>
        </r>
        <r>
          <rPr>
            <sz val="9"/>
            <color indexed="81"/>
            <rFont val="Tahoma"/>
            <family val="2"/>
          </rPr>
          <t xml:space="preserve">
when doing a filter for this use "FTE INCL CODE" "PART
"</t>
        </r>
      </text>
    </comment>
    <comment ref="N9" authorId="0" shapeId="0">
      <text>
        <r>
          <rPr>
            <b/>
            <sz val="9"/>
            <color indexed="81"/>
            <rFont val="Tahoma"/>
            <family val="2"/>
          </rPr>
          <t>Windows User:</t>
        </r>
        <r>
          <rPr>
            <sz val="9"/>
            <color indexed="81"/>
            <rFont val="Tahoma"/>
            <family val="2"/>
          </rPr>
          <t xml:space="preserve">
when doing a filter for this use "FTE INCL CODE" "PART"</t>
        </r>
      </text>
    </comment>
    <comment ref="O9" authorId="0" shapeId="0">
      <text>
        <r>
          <rPr>
            <b/>
            <sz val="9"/>
            <color indexed="81"/>
            <rFont val="Tahoma"/>
            <family val="2"/>
          </rPr>
          <t>Windows User:</t>
        </r>
        <r>
          <rPr>
            <sz val="9"/>
            <color indexed="81"/>
            <rFont val="Tahoma"/>
            <family val="2"/>
          </rPr>
          <t xml:space="preserve">
when doing a filter for this use "FTE INCL CODE" "FULL"</t>
        </r>
      </text>
    </comment>
    <comment ref="P9" authorId="0" shapeId="0">
      <text>
        <r>
          <rPr>
            <b/>
            <sz val="9"/>
            <color indexed="81"/>
            <rFont val="Tahoma"/>
            <family val="2"/>
          </rPr>
          <t>Windows User:</t>
        </r>
        <r>
          <rPr>
            <sz val="9"/>
            <color indexed="81"/>
            <rFont val="Tahoma"/>
            <family val="2"/>
          </rPr>
          <t xml:space="preserve">
OPID students do not count on a4 or a5.  They show up on the SFPR as going to the tradional district/JVS of their choice ex Coventry/Portage Lakes JVSD. They are a type JVSD or JVSE.  .2 goes to the the tradiitonal district and .8 to the JVS.  The state kicks in another .2 to the JVS so that the JVS gets the total 1.0</t>
        </r>
      </text>
    </comment>
    <comment ref="R9" authorId="0" shapeId="0">
      <text>
        <r>
          <rPr>
            <b/>
            <sz val="9"/>
            <color indexed="81"/>
            <rFont val="Tahoma"/>
            <family val="2"/>
          </rPr>
          <t>Windows User:</t>
        </r>
        <r>
          <rPr>
            <sz val="9"/>
            <color indexed="81"/>
            <rFont val="Tahoma"/>
            <family val="2"/>
          </rPr>
          <t xml:space="preserve">
when doing a filter for this use "FTE INCL CODE" "PART"</t>
        </r>
      </text>
    </comment>
    <comment ref="F10" authorId="0" shapeId="0">
      <text>
        <r>
          <rPr>
            <b/>
            <sz val="9"/>
            <color indexed="81"/>
            <rFont val="Tahoma"/>
            <family val="2"/>
          </rPr>
          <t>Windows User:</t>
        </r>
        <r>
          <rPr>
            <sz val="9"/>
            <color indexed="81"/>
            <rFont val="Tahoma"/>
            <family val="2"/>
          </rPr>
          <t xml:space="preserve">
when doing a filter for this use "FTE INCL CODE" "FULL"</t>
        </r>
      </text>
    </comment>
    <comment ref="G10" authorId="0" shapeId="0">
      <text>
        <r>
          <rPr>
            <b/>
            <sz val="9"/>
            <color indexed="81"/>
            <rFont val="Tahoma"/>
            <family val="2"/>
          </rPr>
          <t>Windows User:</t>
        </r>
        <r>
          <rPr>
            <sz val="9"/>
            <color indexed="81"/>
            <rFont val="Tahoma"/>
            <family val="2"/>
          </rPr>
          <t xml:space="preserve">
when doing a filter for this use "FTE INCL CODE" "FULL"</t>
        </r>
      </text>
    </comment>
    <comment ref="P10" authorId="0" shapeId="0">
      <text>
        <r>
          <rPr>
            <b/>
            <sz val="9"/>
            <color indexed="81"/>
            <rFont val="Tahoma"/>
            <family val="2"/>
          </rPr>
          <t>Windows User:</t>
        </r>
        <r>
          <rPr>
            <sz val="9"/>
            <color indexed="81"/>
            <rFont val="Tahoma"/>
            <family val="2"/>
          </rPr>
          <t xml:space="preserve">
OPID students do not count on a4 or a5.  They show up on the SFPR as going to the tradional district/JVS of their choice ex Coventry/Portage Lakes JVSD. They are a type JVSD or JVSE.  .2 goes to the the tradiitonal district and .8 to the JVS.  The state kicks in another .2 to the JVS so that the JVS gets the total 1.0</t>
        </r>
      </text>
    </comment>
    <comment ref="Q10" authorId="0" shapeId="0">
      <text>
        <r>
          <rPr>
            <b/>
            <sz val="9"/>
            <color indexed="81"/>
            <rFont val="Tahoma"/>
            <family val="2"/>
          </rPr>
          <t>Windows User:</t>
        </r>
        <r>
          <rPr>
            <sz val="9"/>
            <color indexed="81"/>
            <rFont val="Tahoma"/>
            <family val="2"/>
          </rPr>
          <t xml:space="preserve">
when doing a filter for this use "FTE INCL CODE" "FULL"</t>
        </r>
      </text>
    </comment>
    <comment ref="D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E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I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J26"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K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L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M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D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E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I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J27" authorId="0" shapeId="0">
      <text>
        <r>
          <rPr>
            <b/>
            <sz val="9"/>
            <color indexed="81"/>
            <rFont val="Tahoma"/>
            <family val="2"/>
          </rPr>
          <t>Windows User:</t>
        </r>
        <r>
          <rPr>
            <sz val="9"/>
            <color indexed="81"/>
            <rFont val="Tahoma"/>
            <family val="2"/>
          </rPr>
          <t xml:space="preserve">
when doing a filter for this use "FTE INCL CODE" "FULL", LEP CODE "Y", LEA Type "B&amp;M COMM"
</t>
        </r>
      </text>
    </comment>
    <comment ref="K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L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M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D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E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I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J28" authorId="0" shapeId="0">
      <text>
        <r>
          <rPr>
            <b/>
            <sz val="9"/>
            <color indexed="81"/>
            <rFont val="Tahoma"/>
            <family val="2"/>
          </rPr>
          <t>Windows User:</t>
        </r>
        <r>
          <rPr>
            <sz val="9"/>
            <color indexed="81"/>
            <rFont val="Tahoma"/>
            <family val="2"/>
          </rPr>
          <t xml:space="preserve">
when doing a filter for this use "FTE INCL CODE" "FULL",LEP CODE "M", LEA Type "B&amp;M Comm"
</t>
        </r>
      </text>
    </comment>
    <comment ref="K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L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M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D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M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3" authorId="0" shapeId="0">
      <text>
        <r>
          <rPr>
            <b/>
            <sz val="9"/>
            <color indexed="81"/>
            <rFont val="Tahoma"/>
            <family val="2"/>
          </rPr>
          <t>Windows User:</t>
        </r>
        <r>
          <rPr>
            <sz val="9"/>
            <color indexed="81"/>
            <rFont val="Tahoma"/>
            <family val="2"/>
          </rPr>
          <t xml:space="preserve">
when doing a filter for this use "FTE INCL CODE" "FULL" and "LEA TYPE" B&amp;M COMM
</t>
        </r>
      </text>
    </comment>
    <comment ref="K33" authorId="0" shapeId="0">
      <text>
        <r>
          <rPr>
            <b/>
            <sz val="9"/>
            <color indexed="81"/>
            <rFont val="Tahoma"/>
            <family val="2"/>
          </rPr>
          <t>Windows User:</t>
        </r>
        <r>
          <rPr>
            <sz val="9"/>
            <color indexed="81"/>
            <rFont val="Tahoma"/>
            <family val="2"/>
          </rPr>
          <t xml:space="preserve">
when doing a filter for this use "FTE INCL CODE" "FULL" and "LEA TYPE" STEM
</t>
        </r>
      </text>
    </comment>
    <comment ref="J34"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E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F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G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H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I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J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K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L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M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N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P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R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J41"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43" authorId="0" shapeId="0">
      <text>
        <r>
          <rPr>
            <b/>
            <sz val="9"/>
            <color indexed="81"/>
            <rFont val="Tahoma"/>
            <family val="2"/>
          </rPr>
          <t>Windows User:</t>
        </r>
        <r>
          <rPr>
            <sz val="9"/>
            <color indexed="81"/>
            <rFont val="Tahoma"/>
            <family val="2"/>
          </rPr>
          <t xml:space="preserve">
PreSchool - Traditional School Eduating
</t>
        </r>
      </text>
    </comment>
    <comment ref="E43" authorId="0" shapeId="0">
      <text>
        <r>
          <rPr>
            <b/>
            <sz val="9"/>
            <color indexed="81"/>
            <rFont val="Tahoma"/>
            <family val="2"/>
          </rPr>
          <t>Windows User:</t>
        </r>
        <r>
          <rPr>
            <sz val="9"/>
            <color indexed="81"/>
            <rFont val="Tahoma"/>
            <family val="2"/>
          </rPr>
          <t xml:space="preserve">
PreSchool-ESC Educating-Funding not transferred to ESC</t>
        </r>
      </text>
    </comment>
    <comment ref="G43" authorId="0" shapeId="0">
      <text>
        <r>
          <rPr>
            <b/>
            <sz val="9"/>
            <color indexed="81"/>
            <rFont val="Tahoma"/>
            <family val="2"/>
          </rPr>
          <t>Windows User:</t>
        </r>
        <r>
          <rPr>
            <sz val="9"/>
            <color indexed="81"/>
            <rFont val="Tahoma"/>
            <family val="2"/>
          </rPr>
          <t xml:space="preserve">
PreSchool-ESC Educating-Funds transferred to ESC
</t>
        </r>
      </text>
    </comment>
    <comment ref="H43" authorId="0" shapeId="0">
      <text>
        <r>
          <rPr>
            <b/>
            <sz val="9"/>
            <color indexed="81"/>
            <rFont val="Tahoma"/>
            <family val="2"/>
          </rPr>
          <t>Windows User:</t>
        </r>
        <r>
          <rPr>
            <sz val="9"/>
            <color indexed="81"/>
            <rFont val="Tahoma"/>
            <family val="2"/>
          </rPr>
          <t xml:space="preserve">
Preschool educated at County Bd of DD</t>
        </r>
      </text>
    </comment>
    <comment ref="D4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5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E5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7"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8"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9"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W66" authorId="0" shapeId="0">
      <text>
        <r>
          <rPr>
            <b/>
            <sz val="9"/>
            <color indexed="81"/>
            <rFont val="Tahoma"/>
            <family val="2"/>
          </rPr>
          <t>Windows User:</t>
        </r>
        <r>
          <rPr>
            <sz val="9"/>
            <color indexed="81"/>
            <rFont val="Tahoma"/>
            <family val="2"/>
          </rPr>
          <t xml:space="preserve">
when doing a filter for Community schl students use "FTE Fund Pttrn Code" STEM" and the IRN found in column B next to the School you are looking for using the "RES IRN"
</t>
        </r>
      </text>
    </comment>
    <comment ref="M69" authorId="0" shapeId="0">
      <text>
        <r>
          <rPr>
            <b/>
            <sz val="9"/>
            <color indexed="81"/>
            <rFont val="Tahoma"/>
            <family val="2"/>
          </rPr>
          <t>Windows User:</t>
        </r>
        <r>
          <rPr>
            <sz val="9"/>
            <color indexed="81"/>
            <rFont val="Tahoma"/>
            <family val="2"/>
          </rPr>
          <t xml:space="preserve">
Open Enrolled District to District</t>
        </r>
      </text>
    </comment>
    <comment ref="N69" authorId="0" shapeId="0">
      <text>
        <r>
          <rPr>
            <b/>
            <sz val="9"/>
            <color indexed="81"/>
            <rFont val="Tahoma"/>
            <family val="2"/>
          </rPr>
          <t>Windows User:</t>
        </r>
        <r>
          <rPr>
            <sz val="9"/>
            <color indexed="81"/>
            <rFont val="Tahoma"/>
            <family val="2"/>
          </rPr>
          <t xml:space="preserve">
Open Enrolled-JVSD-Counted in Resident
</t>
        </r>
      </text>
    </comment>
    <comment ref="P69" authorId="0" shapeId="0">
      <text>
        <r>
          <rPr>
            <b/>
            <sz val="9"/>
            <color indexed="81"/>
            <rFont val="Tahoma"/>
            <family val="2"/>
          </rPr>
          <t>Windows User:</t>
        </r>
        <r>
          <rPr>
            <sz val="9"/>
            <color indexed="81"/>
            <rFont val="Tahoma"/>
            <family val="2"/>
          </rPr>
          <t xml:space="preserve">
Open Enrolled -JVSD via intermediate district-Non-Jointure</t>
        </r>
      </text>
    </comment>
    <comment ref="M7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0"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7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1"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7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2"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7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3"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7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4"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0"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1"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2"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3"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4"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5"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94" authorId="0" shapeId="0">
      <text>
        <r>
          <rPr>
            <b/>
            <sz val="9"/>
            <color indexed="81"/>
            <rFont val="Tahoma"/>
            <family val="2"/>
          </rPr>
          <t>Windows User:</t>
        </r>
        <r>
          <rPr>
            <sz val="9"/>
            <color indexed="81"/>
            <rFont val="Tahoma"/>
            <family val="2"/>
          </rPr>
          <t xml:space="preserve">
Open Enrolled District to District</t>
        </r>
      </text>
    </comment>
    <comment ref="N94" authorId="0" shapeId="0">
      <text>
        <r>
          <rPr>
            <b/>
            <sz val="9"/>
            <color indexed="81"/>
            <rFont val="Tahoma"/>
            <family val="2"/>
          </rPr>
          <t>Windows User:</t>
        </r>
        <r>
          <rPr>
            <sz val="9"/>
            <color indexed="81"/>
            <rFont val="Tahoma"/>
            <family val="2"/>
          </rPr>
          <t xml:space="preserve">
Open Enrolled-JVSD-Counted in Resident
</t>
        </r>
      </text>
    </comment>
    <comment ref="P94" authorId="0" shapeId="0">
      <text>
        <r>
          <rPr>
            <b/>
            <sz val="9"/>
            <color indexed="81"/>
            <rFont val="Tahoma"/>
            <family val="2"/>
          </rPr>
          <t>Windows User:</t>
        </r>
        <r>
          <rPr>
            <sz val="9"/>
            <color indexed="81"/>
            <rFont val="Tahoma"/>
            <family val="2"/>
          </rPr>
          <t xml:space="preserve">
Open Enrolled -JVSD via intermediate district-Non-Jointure</t>
        </r>
      </text>
    </comment>
    <comment ref="D136" authorId="0" shapeId="0">
      <text>
        <r>
          <rPr>
            <b/>
            <sz val="9"/>
            <color indexed="81"/>
            <rFont val="Tahoma"/>
            <family val="2"/>
          </rPr>
          <t>Windows User:</t>
        </r>
        <r>
          <rPr>
            <sz val="9"/>
            <color indexed="81"/>
            <rFont val="Tahoma"/>
            <family val="2"/>
          </rPr>
          <t xml:space="preserve">
Preschool educated at County Bd of DD</t>
        </r>
      </text>
    </comment>
  </commentList>
</comments>
</file>

<file path=xl/comments2.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Tech-JVSD and District to District</t>
        </r>
      </text>
    </comment>
    <comment ref="G5" authorId="0" shapeId="0">
      <text>
        <r>
          <rPr>
            <b/>
            <sz val="9"/>
            <color indexed="81"/>
            <rFont val="Tahoma"/>
            <family val="2"/>
          </rPr>
          <t>Windows User:</t>
        </r>
        <r>
          <rPr>
            <sz val="9"/>
            <color indexed="81"/>
            <rFont val="Tahoma"/>
            <family val="2"/>
          </rPr>
          <t xml:space="preserve">
JVSD via non-resident placement
</t>
        </r>
      </text>
    </comment>
    <comment ref="H5" authorId="0" shapeId="0">
      <text>
        <r>
          <rPr>
            <b/>
            <sz val="9"/>
            <color indexed="81"/>
            <rFont val="Tahoma"/>
            <family val="2"/>
          </rPr>
          <t>Windows User:</t>
        </r>
        <r>
          <rPr>
            <sz val="9"/>
            <color indexed="81"/>
            <rFont val="Tahoma"/>
            <family val="2"/>
          </rPr>
          <t xml:space="preserve">
Kindergarten Tuition Open Enrolled
</t>
        </r>
      </text>
    </comment>
    <comment ref="I5" authorId="0" shapeId="0">
      <text>
        <r>
          <rPr>
            <b/>
            <sz val="9"/>
            <color indexed="81"/>
            <rFont val="Tahoma"/>
            <family val="2"/>
          </rPr>
          <t>Windows User:</t>
        </r>
        <r>
          <rPr>
            <sz val="9"/>
            <color indexed="81"/>
            <rFont val="Tahoma"/>
            <family val="2"/>
          </rPr>
          <t xml:space="preserve">
special ed coop
</t>
        </r>
      </text>
    </comment>
    <comment ref="J5" authorId="0" shapeId="0">
      <text>
        <r>
          <rPr>
            <b/>
            <sz val="9"/>
            <color indexed="81"/>
            <rFont val="Tahoma"/>
            <family val="2"/>
          </rPr>
          <t>Windows User:</t>
        </r>
        <r>
          <rPr>
            <sz val="9"/>
            <color indexed="81"/>
            <rFont val="Tahoma"/>
            <family val="2"/>
          </rPr>
          <t xml:space="preserve">
Open Enrolled District to District</t>
        </r>
      </text>
    </comment>
    <comment ref="K5" authorId="0" shapeId="0">
      <text>
        <r>
          <rPr>
            <b/>
            <sz val="9"/>
            <color indexed="81"/>
            <rFont val="Tahoma"/>
            <family val="2"/>
          </rPr>
          <t>Windows User:</t>
        </r>
        <r>
          <rPr>
            <sz val="9"/>
            <color indexed="81"/>
            <rFont val="Tahoma"/>
            <family val="2"/>
          </rPr>
          <t xml:space="preserve">
Open Enrolled-JVSD-Counted in Resident
</t>
        </r>
      </text>
    </comment>
    <comment ref="M5"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comments3.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Tech-JVSD and District to District</t>
        </r>
      </text>
    </comment>
    <comment ref="G5" authorId="0" shapeId="0">
      <text>
        <r>
          <rPr>
            <b/>
            <sz val="9"/>
            <color indexed="81"/>
            <rFont val="Tahoma"/>
            <family val="2"/>
          </rPr>
          <t>Windows User:</t>
        </r>
        <r>
          <rPr>
            <sz val="9"/>
            <color indexed="81"/>
            <rFont val="Tahoma"/>
            <family val="2"/>
          </rPr>
          <t xml:space="preserve">
JVSD via non-resident placement
</t>
        </r>
      </text>
    </comment>
    <comment ref="H5" authorId="0" shapeId="0">
      <text>
        <r>
          <rPr>
            <b/>
            <sz val="9"/>
            <color indexed="81"/>
            <rFont val="Tahoma"/>
            <family val="2"/>
          </rPr>
          <t>Windows User:</t>
        </r>
        <r>
          <rPr>
            <sz val="9"/>
            <color indexed="81"/>
            <rFont val="Tahoma"/>
            <family val="2"/>
          </rPr>
          <t xml:space="preserve">
Kindergarten Tuition Open Enrolled
</t>
        </r>
      </text>
    </comment>
    <comment ref="K5" authorId="0" shapeId="0">
      <text>
        <r>
          <rPr>
            <b/>
            <sz val="9"/>
            <color indexed="81"/>
            <rFont val="Tahoma"/>
            <family val="2"/>
          </rPr>
          <t>Windows User:</t>
        </r>
        <r>
          <rPr>
            <sz val="9"/>
            <color indexed="81"/>
            <rFont val="Tahoma"/>
            <family val="2"/>
          </rPr>
          <t xml:space="preserve">
special ed coop
</t>
        </r>
      </text>
    </comment>
    <comment ref="L5" authorId="0" shapeId="0">
      <text>
        <r>
          <rPr>
            <b/>
            <sz val="9"/>
            <color indexed="81"/>
            <rFont val="Tahoma"/>
            <family val="2"/>
          </rPr>
          <t>Windows User:</t>
        </r>
        <r>
          <rPr>
            <sz val="9"/>
            <color indexed="81"/>
            <rFont val="Tahoma"/>
            <family val="2"/>
          </rPr>
          <t xml:space="preserve">
Open Enrolled District to District</t>
        </r>
      </text>
    </comment>
    <comment ref="M5" authorId="0" shapeId="0">
      <text>
        <r>
          <rPr>
            <b/>
            <sz val="9"/>
            <color indexed="81"/>
            <rFont val="Tahoma"/>
            <family val="2"/>
          </rPr>
          <t>Windows User:</t>
        </r>
        <r>
          <rPr>
            <sz val="9"/>
            <color indexed="81"/>
            <rFont val="Tahoma"/>
            <family val="2"/>
          </rPr>
          <t xml:space="preserve">
Open Enrolled-JVSD-Counted in Resident
</t>
        </r>
      </text>
    </comment>
    <comment ref="O5"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sharedStrings.xml><?xml version="1.0" encoding="utf-8"?>
<sst xmlns="http://schemas.openxmlformats.org/spreadsheetml/2006/main" count="40730" uniqueCount="3843">
  <si>
    <t>RGJV</t>
  </si>
  <si>
    <t>OPDD</t>
  </si>
  <si>
    <t>COMM</t>
  </si>
  <si>
    <t>CTVC</t>
  </si>
  <si>
    <t>OPID</t>
  </si>
  <si>
    <t>SFPR</t>
  </si>
  <si>
    <t>FTE Report</t>
  </si>
  <si>
    <t>Difference</t>
  </si>
  <si>
    <t>a -</t>
  </si>
  <si>
    <t xml:space="preserve">Base ADM Data           </t>
  </si>
  <si>
    <t>a1 -</t>
  </si>
  <si>
    <t xml:space="preserve">Adjusted Total ADM [a2-(.5*a3)]:   </t>
  </si>
  <si>
    <t>a2 -</t>
  </si>
  <si>
    <t>Total ADM:</t>
  </si>
  <si>
    <t xml:space="preserve">a3 - </t>
  </si>
  <si>
    <t xml:space="preserve">Tuition Kindergarten FTE: </t>
  </si>
  <si>
    <t>a4 -</t>
  </si>
  <si>
    <t xml:space="preserve">Jointure JVS ADM:   </t>
  </si>
  <si>
    <t>a5 -</t>
  </si>
  <si>
    <t>Contract Vocational ADM</t>
  </si>
  <si>
    <t>a6 -</t>
  </si>
  <si>
    <t xml:space="preserve">Formula ADM [a1-(0.8*a4)+(.02*a5)]:   </t>
  </si>
  <si>
    <t>b -</t>
  </si>
  <si>
    <t>Special Education ADM Data</t>
  </si>
  <si>
    <t>b1 -</t>
  </si>
  <si>
    <t xml:space="preserve">Category 1 Special Education ADM: </t>
  </si>
  <si>
    <t>b2 -</t>
  </si>
  <si>
    <t xml:space="preserve">Category 2 Special Education ADM:   </t>
  </si>
  <si>
    <t>b3 -</t>
  </si>
  <si>
    <t xml:space="preserve">Category 3 Special Education ADM: </t>
  </si>
  <si>
    <t>b4 -</t>
  </si>
  <si>
    <t xml:space="preserve">Category 4 Special Education ADM:   </t>
  </si>
  <si>
    <t>b5 -</t>
  </si>
  <si>
    <t>Category 5 Special Education ADM:</t>
  </si>
  <si>
    <t>b6 -</t>
  </si>
  <si>
    <t>Category 6 Special Education ADM:</t>
  </si>
  <si>
    <t>c -</t>
  </si>
  <si>
    <t>Career Tech FTE</t>
  </si>
  <si>
    <t>c1 -</t>
  </si>
  <si>
    <t xml:space="preserve">Category 1 Career Tech FTE: </t>
  </si>
  <si>
    <t>c2 -</t>
  </si>
  <si>
    <t xml:space="preserve">Category 2 Career Tech FTE:   </t>
  </si>
  <si>
    <t>c3 -</t>
  </si>
  <si>
    <t xml:space="preserve">Category 3 Career Tech FTE: </t>
  </si>
  <si>
    <t>c4 -</t>
  </si>
  <si>
    <t xml:space="preserve">Category 4 Career Tech FTE:  </t>
  </si>
  <si>
    <t>c5 -</t>
  </si>
  <si>
    <t xml:space="preserve">Category 5 Career Tech FTE: </t>
  </si>
  <si>
    <t>d -</t>
  </si>
  <si>
    <t>Limited English Proficient ADM</t>
  </si>
  <si>
    <t>d1 -</t>
  </si>
  <si>
    <t xml:space="preserve">Category 1 LEP ADM:  </t>
  </si>
  <si>
    <t>d2 -</t>
  </si>
  <si>
    <t xml:space="preserve">Category 2 LEP ADM:   </t>
  </si>
  <si>
    <t>d3 -</t>
  </si>
  <si>
    <t xml:space="preserve">Category 3 LEP ADM:   </t>
  </si>
  <si>
    <t>e -</t>
  </si>
  <si>
    <t>Additional ADM Data</t>
  </si>
  <si>
    <t>e1 -</t>
  </si>
  <si>
    <t xml:space="preserve">K-3 Formula ADM:   </t>
  </si>
  <si>
    <t>e2 -</t>
  </si>
  <si>
    <t xml:space="preserve"> K-3 E-School Formula ADM:  </t>
  </si>
  <si>
    <t>e3 -</t>
  </si>
  <si>
    <t>Net Formula ADM [a6-(e4*0.75)-e5-(e6-e7)-e8-e9)]:</t>
  </si>
  <si>
    <t>e4 -</t>
  </si>
  <si>
    <t xml:space="preserve">Brick &amp; Mortar Community and STEM School Formula ADM:  </t>
  </si>
  <si>
    <t>e5 -</t>
  </si>
  <si>
    <t xml:space="preserve">E-School Formula ADM:   </t>
  </si>
  <si>
    <t>e6 -</t>
  </si>
  <si>
    <t xml:space="preserve">Autism Scholarship ADM:   </t>
  </si>
  <si>
    <t>e7 -</t>
  </si>
  <si>
    <t xml:space="preserve">Preschool Autism Scholarship ADM:   </t>
  </si>
  <si>
    <t>e8 -</t>
  </si>
  <si>
    <t xml:space="preserve">Jon Peterson Scholarship ADM:   </t>
  </si>
  <si>
    <t>e9 -</t>
  </si>
  <si>
    <t xml:space="preserve">Ed Choice Scholarship ADM:   </t>
  </si>
  <si>
    <t>e10 -</t>
  </si>
  <si>
    <t xml:space="preserve">Economic Disadvantaged ADM:  </t>
  </si>
  <si>
    <t>e11 -</t>
  </si>
  <si>
    <t>e12-</t>
  </si>
  <si>
    <t>E-School Economically Disadvantaged ADM:</t>
  </si>
  <si>
    <t>FTE Detail</t>
  </si>
  <si>
    <t>(A)</t>
  </si>
  <si>
    <t>(B)</t>
  </si>
  <si>
    <t>Cat</t>
  </si>
  <si>
    <t>Pre-School</t>
  </si>
  <si>
    <t>Category 1</t>
  </si>
  <si>
    <t>Category 2</t>
  </si>
  <si>
    <t>Category 3</t>
  </si>
  <si>
    <t>Category 4</t>
  </si>
  <si>
    <t>Category 5</t>
  </si>
  <si>
    <t>Category 6</t>
  </si>
  <si>
    <t>IRN</t>
  </si>
  <si>
    <t>Open Enrollment Out</t>
  </si>
  <si>
    <t>Open Enrollment In</t>
  </si>
  <si>
    <t>`</t>
  </si>
  <si>
    <t>CTCR</t>
  </si>
  <si>
    <t>KGTU</t>
  </si>
  <si>
    <t>KGTO</t>
  </si>
  <si>
    <t>STEM</t>
  </si>
  <si>
    <t>OJVR</t>
  </si>
  <si>
    <t>OJVD</t>
  </si>
  <si>
    <t>JVNR</t>
  </si>
  <si>
    <t>Total</t>
  </si>
  <si>
    <t>N/A</t>
  </si>
  <si>
    <t>RPT IRN</t>
  </si>
  <si>
    <t>RES IRN</t>
  </si>
  <si>
    <t>Not avail on FTE detail</t>
  </si>
  <si>
    <t>LEVEL 2 REC TYPE CODE</t>
  </si>
  <si>
    <t>FTE START DATE</t>
  </si>
  <si>
    <t>RESULT CODE</t>
  </si>
  <si>
    <t>FTE FUND PTTRN CODE</t>
  </si>
  <si>
    <t>LEGAL DIST OF RES IRN</t>
  </si>
  <si>
    <t>ORIG FTE</t>
  </si>
  <si>
    <t>ADJSTD FTE</t>
  </si>
  <si>
    <t>STATE EQUIV GRADE LEVEL CODE</t>
  </si>
  <si>
    <t>DISAB CNDTN CODE</t>
  </si>
  <si>
    <t>SPECED CAT CODE</t>
  </si>
  <si>
    <t>ECON DISADV FLAG</t>
  </si>
  <si>
    <t>LEP CODE</t>
  </si>
  <si>
    <t>FTE END DATE</t>
  </si>
  <si>
    <t>FTE INCL CODE</t>
  </si>
  <si>
    <t>CALENDAR</t>
  </si>
  <si>
    <t>LEA TYPE</t>
  </si>
  <si>
    <t>SRC DATA</t>
  </si>
  <si>
    <t>RPT DEST IRN</t>
  </si>
  <si>
    <t>SSID</t>
  </si>
  <si>
    <t>LEA IRN</t>
  </si>
  <si>
    <t>Not available as of now</t>
  </si>
  <si>
    <t>(A-B = C)</t>
  </si>
  <si>
    <t>(A1)</t>
  </si>
  <si>
    <t>(A2)</t>
  </si>
  <si>
    <t>(A3)</t>
  </si>
  <si>
    <t>(A4)</t>
  </si>
  <si>
    <t>FTE /Scholar</t>
  </si>
  <si>
    <t>Ed Choice</t>
  </si>
  <si>
    <t>Peterson</t>
  </si>
  <si>
    <t>Autism</t>
  </si>
  <si>
    <t>SPCO</t>
  </si>
  <si>
    <t>Community School</t>
  </si>
  <si>
    <t>PSRD</t>
  </si>
  <si>
    <t>PSEN</t>
  </si>
  <si>
    <t>PSET</t>
  </si>
  <si>
    <t>SCHOOL DISTRICT</t>
  </si>
  <si>
    <t>AKRON CSD</t>
  </si>
  <si>
    <t>ALLIANCE CSD</t>
  </si>
  <si>
    <t>ASHLAND CSD</t>
  </si>
  <si>
    <t>ASHTABULA AREA CSD</t>
  </si>
  <si>
    <t>ATHENS CSD</t>
  </si>
  <si>
    <t>BARBERTON CSD</t>
  </si>
  <si>
    <t>BAY VILLAGE CSD</t>
  </si>
  <si>
    <t>BEACHWOOD CSD</t>
  </si>
  <si>
    <t>BEDFORD CSD</t>
  </si>
  <si>
    <t>BELLAIRE CSD</t>
  </si>
  <si>
    <t>BELLEFONTAINE CSD</t>
  </si>
  <si>
    <t>BELLEVUE CSD</t>
  </si>
  <si>
    <t>BELPRE CSD</t>
  </si>
  <si>
    <t>BEREA CSD</t>
  </si>
  <si>
    <t>BEXLEY CSD</t>
  </si>
  <si>
    <t>BOWLING GREEN CSD</t>
  </si>
  <si>
    <t>BRECKSVILLE-BROADVIEW HEIGHTS CSD</t>
  </si>
  <si>
    <t>BROOKLYN CSD</t>
  </si>
  <si>
    <t>BRUNSWICK CSD</t>
  </si>
  <si>
    <t>BRYAN CSD</t>
  </si>
  <si>
    <t>BUCYRUS CSD</t>
  </si>
  <si>
    <t>CAMBRIDGE CSD</t>
  </si>
  <si>
    <t>CAMPBELL CSD</t>
  </si>
  <si>
    <t>CANTON CSD</t>
  </si>
  <si>
    <t>CELINA CSD</t>
  </si>
  <si>
    <t>CENTERVILLE CSD</t>
  </si>
  <si>
    <t>CHILLICOTHE CSD</t>
  </si>
  <si>
    <t>CINCINNATI CSD</t>
  </si>
  <si>
    <t>CIRCLEVILLE CSD</t>
  </si>
  <si>
    <t>CLAYMONT CSD</t>
  </si>
  <si>
    <t>CLEVELAND MUNICIPAL S.D.</t>
  </si>
  <si>
    <t>CLEVELAND HTS-UNIVERSITY HTS CSD</t>
  </si>
  <si>
    <t>COLUMBUS CSD</t>
  </si>
  <si>
    <t>CONNEAUT AREA CSD</t>
  </si>
  <si>
    <t>COSHOCTON CSD</t>
  </si>
  <si>
    <t>CUYAHOGA FALLS CSD</t>
  </si>
  <si>
    <t>DAYTON CSD</t>
  </si>
  <si>
    <t>DEER PARK CSD</t>
  </si>
  <si>
    <t>DEFIANCE CSD</t>
  </si>
  <si>
    <t>DELAWARE CSD</t>
  </si>
  <si>
    <t>DELPHOS CSD</t>
  </si>
  <si>
    <t>DOVER CSD</t>
  </si>
  <si>
    <t>EAST CLEVELAND CSD</t>
  </si>
  <si>
    <t>EAST LIVERPOOL CSD</t>
  </si>
  <si>
    <t>EAST PALESTINE CSD</t>
  </si>
  <si>
    <t>EATON COMMUNITY SD</t>
  </si>
  <si>
    <t>ELYRIA CSD</t>
  </si>
  <si>
    <t>EUCLID CSD</t>
  </si>
  <si>
    <t>FAIRBORN CSD</t>
  </si>
  <si>
    <t>FAIRVIEW PARK CSD</t>
  </si>
  <si>
    <t>FINDLAY CSD</t>
  </si>
  <si>
    <t>FOSTORIA CSD</t>
  </si>
  <si>
    <t>FRANKLIN CSD</t>
  </si>
  <si>
    <t>FREMONT CSD</t>
  </si>
  <si>
    <t>GALION CSD</t>
  </si>
  <si>
    <t>GALLIPOLIS CSD</t>
  </si>
  <si>
    <t>GARFIELD HEIGHTS CSD</t>
  </si>
  <si>
    <t>GENEVA AREA CSD</t>
  </si>
  <si>
    <t>GIRARD CSD</t>
  </si>
  <si>
    <t>GRANDVIEW HEIGHTS CSD</t>
  </si>
  <si>
    <t>WINTON WOODS CSD</t>
  </si>
  <si>
    <t>GREENVILLE CSD</t>
  </si>
  <si>
    <t>HAMILTON CSD</t>
  </si>
  <si>
    <t>HEATH CSD</t>
  </si>
  <si>
    <t>HILLSBORO CSD</t>
  </si>
  <si>
    <t>HURON CSD</t>
  </si>
  <si>
    <t>IRONTON CSD</t>
  </si>
  <si>
    <t>JACKSON CSD</t>
  </si>
  <si>
    <t>KENT CSD</t>
  </si>
  <si>
    <t>KENTON CSD</t>
  </si>
  <si>
    <t>KETTERING CSD</t>
  </si>
  <si>
    <t>LAKEWOOD CSD</t>
  </si>
  <si>
    <t>LANCASTER CSD</t>
  </si>
  <si>
    <t>LEBANON CSD</t>
  </si>
  <si>
    <t>LIMA CSD</t>
  </si>
  <si>
    <t>LOCKLAND CSD</t>
  </si>
  <si>
    <t>LOGAN CSD</t>
  </si>
  <si>
    <t>LONDON CSD</t>
  </si>
  <si>
    <t>LORAIN CSD</t>
  </si>
  <si>
    <t>LOVELAND CSD</t>
  </si>
  <si>
    <t>MADERIA CSD</t>
  </si>
  <si>
    <t>MANSFIELD CSD</t>
  </si>
  <si>
    <t>MAPLE HEIGHTS CSD</t>
  </si>
  <si>
    <t>MARIEMONT CSD</t>
  </si>
  <si>
    <t>MARIETTA CSD</t>
  </si>
  <si>
    <t>MARION CSD</t>
  </si>
  <si>
    <t>MARTINS FERRY CSD</t>
  </si>
  <si>
    <t>MASSILLON CSD</t>
  </si>
  <si>
    <t>MAUMEE CSD</t>
  </si>
  <si>
    <t>MAYFIELD CSD</t>
  </si>
  <si>
    <t>MEDINA CSD</t>
  </si>
  <si>
    <t>MIAMISBURG CSD</t>
  </si>
  <si>
    <t>MIDDLETOWN CSD</t>
  </si>
  <si>
    <t>MOUNT HEALTHY CSD</t>
  </si>
  <si>
    <t>MOUNT VERNON CSD</t>
  </si>
  <si>
    <t>NAPOLEON CSD</t>
  </si>
  <si>
    <t>NELSONVILLE YORK CSD</t>
  </si>
  <si>
    <t>NEWARK CSD</t>
  </si>
  <si>
    <t>NEW BOSTON LSD</t>
  </si>
  <si>
    <t>NEW LEXINGTON CSD</t>
  </si>
  <si>
    <t>NEW PHILADELPHIA CSD</t>
  </si>
  <si>
    <t>NILES CSD</t>
  </si>
  <si>
    <t>NORTH CANTON CSD</t>
  </si>
  <si>
    <t>NORTH COLLEGE HILL CSD</t>
  </si>
  <si>
    <t>NORTH OLMSTED CSD</t>
  </si>
  <si>
    <t>NORTH RIDGEVILLE CSD</t>
  </si>
  <si>
    <t>NORTH ROYALTON CSD</t>
  </si>
  <si>
    <t>NORTON CSD</t>
  </si>
  <si>
    <t>NORWALK CSD</t>
  </si>
  <si>
    <t>NORWOOD CSD</t>
  </si>
  <si>
    <t>OAKWOOD CSD</t>
  </si>
  <si>
    <t>OBERLIN CSD</t>
  </si>
  <si>
    <t>OREGON CSD</t>
  </si>
  <si>
    <t>ORRVILLE CSD</t>
  </si>
  <si>
    <t>PAINESVILLE CSD</t>
  </si>
  <si>
    <t>PARMA CSD</t>
  </si>
  <si>
    <t>PIQUA CSD</t>
  </si>
  <si>
    <t>PORT CLINTON CSD</t>
  </si>
  <si>
    <t>PORTSMOUTH CSD</t>
  </si>
  <si>
    <t>PRINCETON CSD</t>
  </si>
  <si>
    <t>RAVENNA CSD</t>
  </si>
  <si>
    <t>READING CSD</t>
  </si>
  <si>
    <t>ROCKY RIVER CSD</t>
  </si>
  <si>
    <t>ST. BERNARD-ELMWOOD PLACE CSD</t>
  </si>
  <si>
    <t>ST. MARYS CSD</t>
  </si>
  <si>
    <t>SALEM CSD</t>
  </si>
  <si>
    <t>SANDUSKY CSD</t>
  </si>
  <si>
    <t>SHAKER HEIGHTS CSD</t>
  </si>
  <si>
    <t>SHEFFIELD-SHEFFIELD LAKE CSD</t>
  </si>
  <si>
    <t>SHELBY CSD</t>
  </si>
  <si>
    <t>SIDNEY CSD</t>
  </si>
  <si>
    <t>SOUTH EUCLID-LYNDHURST CSD</t>
  </si>
  <si>
    <t>SOUTH WESTERN CSD</t>
  </si>
  <si>
    <t>SPRINGFIELD CSD</t>
  </si>
  <si>
    <t>STEUBENVILLE CSD</t>
  </si>
  <si>
    <t>STOW MUNROE FALLS CSD</t>
  </si>
  <si>
    <t>STRONGSVILLE CSD</t>
  </si>
  <si>
    <t>STRUTHERS CSD</t>
  </si>
  <si>
    <t>SYCAMORE CSD</t>
  </si>
  <si>
    <t>SYLVANIA CSD</t>
  </si>
  <si>
    <t>TALLMADGE CSD</t>
  </si>
  <si>
    <t>TIFFIN CSD</t>
  </si>
  <si>
    <t>TOLEDO CSD</t>
  </si>
  <si>
    <t>TORONTO CSD</t>
  </si>
  <si>
    <t>TROY CSD</t>
  </si>
  <si>
    <t>UPPER ARLINGTON CSD</t>
  </si>
  <si>
    <t>URBANA CSD</t>
  </si>
  <si>
    <t>VANDALIA-BUTLER CSD</t>
  </si>
  <si>
    <t>VAN WERT CSD</t>
  </si>
  <si>
    <t>WADSWORTH CSD</t>
  </si>
  <si>
    <t>WAPAKONETA CSD</t>
  </si>
  <si>
    <t>WARREN CSD</t>
  </si>
  <si>
    <t>WARRENSVILLE HEIGHTS CSD</t>
  </si>
  <si>
    <t>WASHINGTON COURT HOUSE CSD</t>
  </si>
  <si>
    <t>WELLSTON CSD</t>
  </si>
  <si>
    <t>WELLSVILLE CSD</t>
  </si>
  <si>
    <t>WESTERVILLE CSD</t>
  </si>
  <si>
    <t>WEST CARROLLTON CSD</t>
  </si>
  <si>
    <t>WESTLAKE CSD</t>
  </si>
  <si>
    <t>WHITEHALL CSD</t>
  </si>
  <si>
    <t>WICKLIFFE CSD</t>
  </si>
  <si>
    <t>WILLARD CSD</t>
  </si>
  <si>
    <t>WILLOUGHBY-EASTLAKE CSD</t>
  </si>
  <si>
    <t>WILMINGTON CSD</t>
  </si>
  <si>
    <t>WOOSTER CSD</t>
  </si>
  <si>
    <t>WORTHINGTON CSD</t>
  </si>
  <si>
    <t>MANCHESTER LSD (ADAMS CO.)</t>
  </si>
  <si>
    <t>WYOMING CSD</t>
  </si>
  <si>
    <t>XENIA COMMUNITY CSD</t>
  </si>
  <si>
    <t>YOUNGSTOWN CSD</t>
  </si>
  <si>
    <t>ZANESVILLE CSD</t>
  </si>
  <si>
    <t>ADA EVSD</t>
  </si>
  <si>
    <t>AMHERST EVSD</t>
  </si>
  <si>
    <t>BARNESVILLE EVSD</t>
  </si>
  <si>
    <t>BLUFFTON EVSD</t>
  </si>
  <si>
    <t>BRADFORD EVSD</t>
  </si>
  <si>
    <t>BRIDGEPORT EVSD</t>
  </si>
  <si>
    <t>HARRISON-HILLS CSD</t>
  </si>
  <si>
    <t>CALDWELL EVSD</t>
  </si>
  <si>
    <t>CAREY EVSD</t>
  </si>
  <si>
    <t>CARROLLTON EVSD</t>
  </si>
  <si>
    <t>CHAGRIN FALLS EVSD</t>
  </si>
  <si>
    <t>CHESAPEAKE UNION EVSD</t>
  </si>
  <si>
    <t>CLYDE EVSD</t>
  </si>
  <si>
    <t>COLDWATER EVSD</t>
  </si>
  <si>
    <t>COLUMBIANA EVSD</t>
  </si>
  <si>
    <t>COVINGTON EVSD</t>
  </si>
  <si>
    <t>CRESTLINE EVSD</t>
  </si>
  <si>
    <t>CROOKSVILLE EVSD</t>
  </si>
  <si>
    <t>FAIRPORT HARBOR EVSD</t>
  </si>
  <si>
    <t>GEORGETOWN EVSD</t>
  </si>
  <si>
    <t>GIBSONBURG EVSD</t>
  </si>
  <si>
    <t>GRANVILLE EVSD</t>
  </si>
  <si>
    <t>GREENFIELD EVSD</t>
  </si>
  <si>
    <t>HICKSVILLE EVSD</t>
  </si>
  <si>
    <t>HUBBARD EVSD</t>
  </si>
  <si>
    <t>INDIAN HILL EVSD</t>
  </si>
  <si>
    <t>LEETONIA EVSD</t>
  </si>
  <si>
    <t>LISBON EVSD</t>
  </si>
  <si>
    <t>LOUDONVILLE-PERRYSVILLE EVSD</t>
  </si>
  <si>
    <t>MARYSVILLE EVSD</t>
  </si>
  <si>
    <t>MECHANICSBURG EVSD</t>
  </si>
  <si>
    <t>MENTOR EVSD</t>
  </si>
  <si>
    <t>MILFORD EVSD</t>
  </si>
  <si>
    <t>MILTON UNION EVSD</t>
  </si>
  <si>
    <t>MONTPELIER EVSD</t>
  </si>
  <si>
    <t>MOUNT GILEAD EVSD</t>
  </si>
  <si>
    <t>NEWCOMERSTOWN EVSD</t>
  </si>
  <si>
    <t>NEW RICHMOND EVSD</t>
  </si>
  <si>
    <t>NEWTON FALLS EVSD</t>
  </si>
  <si>
    <t>PAULDING EVSD</t>
  </si>
  <si>
    <t>PERRYSBURG EVSD</t>
  </si>
  <si>
    <t>RITTMAN EVSD</t>
  </si>
  <si>
    <t>ROSSFORD EVSD</t>
  </si>
  <si>
    <t>TIPP CITY EVSD</t>
  </si>
  <si>
    <t>UPPER SANDUSKY EVSD</t>
  </si>
  <si>
    <t>VERSAILLES EVSD</t>
  </si>
  <si>
    <t>WAUSEON EVSD</t>
  </si>
  <si>
    <t>WELLINGTON EVSD</t>
  </si>
  <si>
    <t>WINDHAM EVSD</t>
  </si>
  <si>
    <t>YELLOW SPRINGS EVSD</t>
  </si>
  <si>
    <t>ALLEN EAST LSD</t>
  </si>
  <si>
    <t>BATH LSD</t>
  </si>
  <si>
    <t>ELIDA LSD</t>
  </si>
  <si>
    <t>PERRY LSD (ALLEN CO.)</t>
  </si>
  <si>
    <t>SHAWNEE LSD</t>
  </si>
  <si>
    <t>SPENCERVILLE LSD</t>
  </si>
  <si>
    <t>HILLSDALE LSD</t>
  </si>
  <si>
    <t>MAPLETON LSD</t>
  </si>
  <si>
    <t>BUCKEYE LSD (ASHTABULA CO.)</t>
  </si>
  <si>
    <t>GRAND VALLEY LSD</t>
  </si>
  <si>
    <t>JEFFERSON AREA LSD</t>
  </si>
  <si>
    <t>PYMATUNING VALLEY LSD</t>
  </si>
  <si>
    <t>ALEXANDER LSD</t>
  </si>
  <si>
    <t>FEDERAL HOCKING LSD</t>
  </si>
  <si>
    <t>TRIMBLE LSD</t>
  </si>
  <si>
    <t>MINSTER LSD</t>
  </si>
  <si>
    <t>NEW BREMEN LSD</t>
  </si>
  <si>
    <t>NEW KNOXVILLE LSD</t>
  </si>
  <si>
    <t>WAYNESFIELD-GOSHEN LSD</t>
  </si>
  <si>
    <t>ST. CLAIRSVILLE-RICHLAND CSD</t>
  </si>
  <si>
    <t>SHADYSIDE LSD</t>
  </si>
  <si>
    <t>UNION LSD</t>
  </si>
  <si>
    <t>EASTERN LSD (BROWN CO.)</t>
  </si>
  <si>
    <t>FAYETTEVILLE-PERRY LSD</t>
  </si>
  <si>
    <t>WESTERN BROWN LSD</t>
  </si>
  <si>
    <t>RIPLEY-UNION-LEWIS LSD</t>
  </si>
  <si>
    <t>EDGEWOOD CSD</t>
  </si>
  <si>
    <t>FAIRFIELD CSD (BUTLER CO.)</t>
  </si>
  <si>
    <t>LAKOTA LSD (BUTLER CO.)</t>
  </si>
  <si>
    <t>MADISON LSD (BUTLER CO.)</t>
  </si>
  <si>
    <t>NEW MIAMI LSD</t>
  </si>
  <si>
    <t>ROSS LSD</t>
  </si>
  <si>
    <t>TALAWANDA CSD</t>
  </si>
  <si>
    <t>BROWN LSD</t>
  </si>
  <si>
    <t>GRAHAM LSD</t>
  </si>
  <si>
    <t>TRIAD LSD</t>
  </si>
  <si>
    <t>WEST LIBERTY SALEM LSD</t>
  </si>
  <si>
    <t>GREENON LSD (MAD RIVER GREEN)</t>
  </si>
  <si>
    <t>TECUMSEH LSD</t>
  </si>
  <si>
    <t>NORTHEASTERN LSD (CLARK CO.)</t>
  </si>
  <si>
    <t>NORTHWESTERN LSD (CLARK CO.)</t>
  </si>
  <si>
    <t>SOUTHEASTERN LSD</t>
  </si>
  <si>
    <t>CLARK-SHAWNEE LSD</t>
  </si>
  <si>
    <t>BATAVIA LSD</t>
  </si>
  <si>
    <t>BETHEL-TATE LSD</t>
  </si>
  <si>
    <t>CLERMONT-NORTHEASTERN LSD</t>
  </si>
  <si>
    <t>FELICITY-FRANKLIN LSD</t>
  </si>
  <si>
    <t>GOSHEN LSD</t>
  </si>
  <si>
    <t>WEST CLERMONT LSD</t>
  </si>
  <si>
    <t>WILLIAMSBURG LSD</t>
  </si>
  <si>
    <t>BLANCHESTER LSD</t>
  </si>
  <si>
    <t>CLINTON MASSIE LSD</t>
  </si>
  <si>
    <t>EAST CLINTON LSD</t>
  </si>
  <si>
    <t>BEAVER LSD</t>
  </si>
  <si>
    <t>CRESTVIEW LSD (COLUMBIANA CO.)</t>
  </si>
  <si>
    <t>SOUTHERN LSD (COLUMBIANA CO.)</t>
  </si>
  <si>
    <t>UNITED LSD</t>
  </si>
  <si>
    <t>RIDGEWOOD LSD</t>
  </si>
  <si>
    <t>RIVER VIEW LSD</t>
  </si>
  <si>
    <t>BUCKEYE CENTRAL LSD</t>
  </si>
  <si>
    <t>COLONEL CRAWFORD LSD</t>
  </si>
  <si>
    <t>WYNFORD LSD</t>
  </si>
  <si>
    <t>CUYAHOGA HEIGHTS LSD</t>
  </si>
  <si>
    <t>INDEPENDENCE LSD</t>
  </si>
  <si>
    <t>OLMSTED FALLS CSD</t>
  </si>
  <si>
    <t>ORANGE CSD</t>
  </si>
  <si>
    <t>RICHMOND HEIGHTS LSD</t>
  </si>
  <si>
    <t>SOLON CSD</t>
  </si>
  <si>
    <t>ANSONIA LSD</t>
  </si>
  <si>
    <t>ARCANUM-BUTLER LSD</t>
  </si>
  <si>
    <t>FRANKLIN-MONROE LSD</t>
  </si>
  <si>
    <t>MISSISSINAWA VALLEY LSD</t>
  </si>
  <si>
    <t>TRI-VILLAGE LSD</t>
  </si>
  <si>
    <t>AYERSVILLE LSD</t>
  </si>
  <si>
    <t>CENTRAL LSD</t>
  </si>
  <si>
    <t>NORTHEASTERN LSD (DEFIANCE CO.)</t>
  </si>
  <si>
    <t>BIG WALNUT LSD</t>
  </si>
  <si>
    <t>BUCKEYE VALLEY LSD</t>
  </si>
  <si>
    <t>OLENTANGY LSD</t>
  </si>
  <si>
    <t>BERLIN-MILAN LSD</t>
  </si>
  <si>
    <t>KELLEYS ISLAND LSD</t>
  </si>
  <si>
    <t>MARGARETTA LSD</t>
  </si>
  <si>
    <t>PERKINS LSD</t>
  </si>
  <si>
    <t>VERMILION LSD</t>
  </si>
  <si>
    <t>AMANDA-CLEARCREEK LSD</t>
  </si>
  <si>
    <t>BERNE-UNION LSD</t>
  </si>
  <si>
    <t>BLOOM-CARROLL LSD</t>
  </si>
  <si>
    <t>FAIRFIELD UNION LSD</t>
  </si>
  <si>
    <t>LIBERTY-UNION-THURSTON LSD</t>
  </si>
  <si>
    <t>PICKERINGTON LSD</t>
  </si>
  <si>
    <t>WALNUT TWP LSD</t>
  </si>
  <si>
    <t>MIAMI TRACE LSD</t>
  </si>
  <si>
    <t>CANAL WINCHESTER LSD</t>
  </si>
  <si>
    <t>HAMILTON LSD</t>
  </si>
  <si>
    <t>GAHANNA JEFFERSON CSD</t>
  </si>
  <si>
    <t>GROVEPORT-MADISON LSD</t>
  </si>
  <si>
    <t>NEW ALBANY-PLAIN LSD</t>
  </si>
  <si>
    <t>REYNOLDSBURG CSD</t>
  </si>
  <si>
    <t>HILLIARD CSD</t>
  </si>
  <si>
    <t>DUBLIN CSD</t>
  </si>
  <si>
    <t>ARCHBOLD AREA LSD</t>
  </si>
  <si>
    <t>EVERGREEN LSD</t>
  </si>
  <si>
    <t>GORHAM-FAYETTE LSD</t>
  </si>
  <si>
    <t>PETTISVILLE LSD</t>
  </si>
  <si>
    <t>PIKE-DELTA-YORK LSD</t>
  </si>
  <si>
    <t>SWANTON LSD</t>
  </si>
  <si>
    <t>BERKSHIRE LSD</t>
  </si>
  <si>
    <t>CARDINAL LSD</t>
  </si>
  <si>
    <t>CHARDON LSD</t>
  </si>
  <si>
    <t>KENSTON LSD</t>
  </si>
  <si>
    <t>LEDGEMONT LSD</t>
  </si>
  <si>
    <t>NEWBURY LSD</t>
  </si>
  <si>
    <t>WEST GEAUGA LSD</t>
  </si>
  <si>
    <t>BEAVERCREEK CSD</t>
  </si>
  <si>
    <t>CEDAR CLIFF LSD</t>
  </si>
  <si>
    <t>GREENEVIEW LSD</t>
  </si>
  <si>
    <t>BELLBROOK SUGARCREEK LSD</t>
  </si>
  <si>
    <t>ROLLING HILLS LSD</t>
  </si>
  <si>
    <t>FINNEYTOWN LSD</t>
  </si>
  <si>
    <t>FOREST HILLS LSD</t>
  </si>
  <si>
    <t>NORTHWEST LSD (HAMILTON CO.)</t>
  </si>
  <si>
    <t>OAK HILLS LSD</t>
  </si>
  <si>
    <t>SOUTHWEST LSD (HAMILTON CO.)</t>
  </si>
  <si>
    <t>THREE RIVERS LSD</t>
  </si>
  <si>
    <t>ARCADIA LSD</t>
  </si>
  <si>
    <t>ARLINGTON LSD</t>
  </si>
  <si>
    <t>CORY-RAWSON LSD</t>
  </si>
  <si>
    <t>LIBERTY BENTON LSD</t>
  </si>
  <si>
    <t>MC COMB LSD</t>
  </si>
  <si>
    <t>VAN BUREN LSD</t>
  </si>
  <si>
    <t>VANLUE LSD</t>
  </si>
  <si>
    <t>HARDIN-NORTHERN LSD</t>
  </si>
  <si>
    <t>RIDGEMONT LSD</t>
  </si>
  <si>
    <t>RIVERDALE LSD</t>
  </si>
  <si>
    <t>UPPER SCIOTO VALLEY LSD</t>
  </si>
  <si>
    <t>CONOTTON VALLEY LSD</t>
  </si>
  <si>
    <t>HOLGATE LSD</t>
  </si>
  <si>
    <t>LIBERTY CENTER LSD</t>
  </si>
  <si>
    <t>PATRICK HENRY LSD</t>
  </si>
  <si>
    <t>BRIGHT LSD</t>
  </si>
  <si>
    <t>FAIRFIELD LSD (HIGHLAND CO.)</t>
  </si>
  <si>
    <t>LYNCHBURG CLAY LSD</t>
  </si>
  <si>
    <t>EAST HOLMES LSD</t>
  </si>
  <si>
    <t>WEST HOLMES LSD</t>
  </si>
  <si>
    <t>MONROEVILLE LSD</t>
  </si>
  <si>
    <t>NEW LONDON LSD</t>
  </si>
  <si>
    <t>SOUTH CENTRAL LSD</t>
  </si>
  <si>
    <t>WESTERN RESERVE LSD (HURON CO.)</t>
  </si>
  <si>
    <t>OAK HILL UNION LSD</t>
  </si>
  <si>
    <t>BUCKEYE LSD (JEFFERSON CO.)</t>
  </si>
  <si>
    <t>EDISON LSD</t>
  </si>
  <si>
    <t>INDIAN CREEK LSD</t>
  </si>
  <si>
    <t>CENTERBURG LSD</t>
  </si>
  <si>
    <t>DANVILLE LSD</t>
  </si>
  <si>
    <t>EAST KNOX LSD</t>
  </si>
  <si>
    <t>FREDERICKTOWN LSD</t>
  </si>
  <si>
    <t>KIRTLAND LSD</t>
  </si>
  <si>
    <t>MADISON LSD (LAKE CO.)</t>
  </si>
  <si>
    <t>RIVERSIDE LSD</t>
  </si>
  <si>
    <t>PERRY LSD (LAKE CO.)</t>
  </si>
  <si>
    <t>DAWSON-BRYANT LSD</t>
  </si>
  <si>
    <t>FAIRLAND LSD</t>
  </si>
  <si>
    <t>ROCK HILL LSD</t>
  </si>
  <si>
    <t>SOUTH POINT LSD</t>
  </si>
  <si>
    <t>SYMMES VALLEY LSD</t>
  </si>
  <si>
    <t>JOHNSTOWN MONROE LSD</t>
  </si>
  <si>
    <t>LAKEWOOD LSD</t>
  </si>
  <si>
    <t>LICKING HEIGHTS LSD</t>
  </si>
  <si>
    <t>LICKING VALLEY LSD</t>
  </si>
  <si>
    <t>NORTH FORK LSD</t>
  </si>
  <si>
    <t>NORTHRIDGE LSD ( LICKING COUNTY )</t>
  </si>
  <si>
    <t>SOUTHWEST LICKING LSD</t>
  </si>
  <si>
    <t>BENJAMIN LOGAN LSD</t>
  </si>
  <si>
    <t>INDIAN LAKE LSD</t>
  </si>
  <si>
    <t>AVON LSD</t>
  </si>
  <si>
    <t>AVON LAKE CSD</t>
  </si>
  <si>
    <t>CLEARVIEW LSD</t>
  </si>
  <si>
    <t>COLUMBIA LSD</t>
  </si>
  <si>
    <t>FIRELANDS LSD</t>
  </si>
  <si>
    <t>KEYSTONE LSD</t>
  </si>
  <si>
    <t>MIDVIEW LSD</t>
  </si>
  <si>
    <t>ANTHONY WAYNE LSD</t>
  </si>
  <si>
    <t>OTTAWA HILLS LSD</t>
  </si>
  <si>
    <t>SPRINGFIELD LSD (LUCAS CO.)</t>
  </si>
  <si>
    <t>WASHINGTON LSD (LUCAS CO.)</t>
  </si>
  <si>
    <t>JEFFERSON LSD (MADISON CO.)</t>
  </si>
  <si>
    <t>JONATHAN ALDER LSD</t>
  </si>
  <si>
    <t>MADISON PLAINS LSD</t>
  </si>
  <si>
    <t>AUSTINTOWN LSD</t>
  </si>
  <si>
    <t>BOARDMAN LSD</t>
  </si>
  <si>
    <t>CANFIELD LSD</t>
  </si>
  <si>
    <t>JACKSON MILTON LSD</t>
  </si>
  <si>
    <t>LOWELLVILLE LSD</t>
  </si>
  <si>
    <t>POLAND LSD</t>
  </si>
  <si>
    <t>SEBRING LSD</t>
  </si>
  <si>
    <t>SOUTH RANGE LSD</t>
  </si>
  <si>
    <t>SPRINGFIELD LSD (MAHONING CO.)</t>
  </si>
  <si>
    <t>WEST BRANCH LSD</t>
  </si>
  <si>
    <t>WESTERN RESERVE LSD (MAHONING CO.)</t>
  </si>
  <si>
    <t>ELGIN LSD</t>
  </si>
  <si>
    <t>PLEASANT LSD</t>
  </si>
  <si>
    <t>RIDGEDALE LSD</t>
  </si>
  <si>
    <t>RIVER VALLEY LSD</t>
  </si>
  <si>
    <t>BLACK RIVER LSD</t>
  </si>
  <si>
    <t>BUCKEYE LSD (MEDINA CO.)</t>
  </si>
  <si>
    <t>CLOVERLEAF LSD</t>
  </si>
  <si>
    <t>HIGHLAND LSD (MEDINA CO.)</t>
  </si>
  <si>
    <t>EASTERN LSD (MEIGS CO.)</t>
  </si>
  <si>
    <t>MEIGS LSD</t>
  </si>
  <si>
    <t>SOUTHERN LSD (MEIGS CO.)</t>
  </si>
  <si>
    <t>MARION LSD</t>
  </si>
  <si>
    <t>PARKWAY LSD</t>
  </si>
  <si>
    <t>ST. HENRY-CONSOLIDATED LSD</t>
  </si>
  <si>
    <t>FT. RECOVERY LSD</t>
  </si>
  <si>
    <t>BETHEL LSD</t>
  </si>
  <si>
    <t>MIAMI EAST LSD</t>
  </si>
  <si>
    <t>NEWTON LSD</t>
  </si>
  <si>
    <t>SWITZERLAND OF OHIO LSD</t>
  </si>
  <si>
    <t>BROOKVILLE LSD</t>
  </si>
  <si>
    <t>JEFFERSON LSD (MONTGOMERY CO.)</t>
  </si>
  <si>
    <t>TROTWOOD-MADISON CSD</t>
  </si>
  <si>
    <t>MAD RIVER LSD</t>
  </si>
  <si>
    <t>NEW LEBANON LSD</t>
  </si>
  <si>
    <t>NORTHMONT CSD</t>
  </si>
  <si>
    <t>NORTHRIDGE LSD (MONTGOMERY CO.)</t>
  </si>
  <si>
    <t>VALLEY VIEW LSD</t>
  </si>
  <si>
    <t>HUBER HEIGHTS CSD</t>
  </si>
  <si>
    <t>MORGAN LSD</t>
  </si>
  <si>
    <t>CARDINGTON-LINCOLN LSD</t>
  </si>
  <si>
    <t>HIGHLAND LSD (MORROW CO.)</t>
  </si>
  <si>
    <t>NORTHMOR LSD</t>
  </si>
  <si>
    <t>EAST MUSKINGUM LSD</t>
  </si>
  <si>
    <t>FRANKLIN LSD</t>
  </si>
  <si>
    <t>MAYSVILLE LSD</t>
  </si>
  <si>
    <t>TRI-VALLEY LSD</t>
  </si>
  <si>
    <t>WEST MUSKINGUM LSD</t>
  </si>
  <si>
    <t>NOBLE LSD</t>
  </si>
  <si>
    <t>BENTON-CARROLL-SALEM LSD</t>
  </si>
  <si>
    <t>DANBURY LSD</t>
  </si>
  <si>
    <t>GENOA AREA LSD</t>
  </si>
  <si>
    <t>MIDDLE BASS LSD</t>
  </si>
  <si>
    <t>NORTH BASS LSD</t>
  </si>
  <si>
    <t>PUT IN BAY LSD</t>
  </si>
  <si>
    <t>ANTWERP LSD</t>
  </si>
  <si>
    <t>WAYNE TRACE LSD</t>
  </si>
  <si>
    <t>NORTHERN LSD</t>
  </si>
  <si>
    <t>SOUTHERN LSD (PERRY CO.)</t>
  </si>
  <si>
    <t>LOGAN ELM LSD</t>
  </si>
  <si>
    <t>TEAYS VALLEY LSD</t>
  </si>
  <si>
    <t>WESTFALL LSD</t>
  </si>
  <si>
    <t>EASTERN LSD (PIKE CO.)</t>
  </si>
  <si>
    <t>SCIOTO VALLEY LSD (PIKE CO.)</t>
  </si>
  <si>
    <t>WAVERLY CSD</t>
  </si>
  <si>
    <t>WESTERN LSD</t>
  </si>
  <si>
    <t>AURORA CSD</t>
  </si>
  <si>
    <t>CRESTWOOD LSD</t>
  </si>
  <si>
    <t>FIELD LSD</t>
  </si>
  <si>
    <t>JAMES A. GARFIELD LSD</t>
  </si>
  <si>
    <t>ROOTSTOWN LSD</t>
  </si>
  <si>
    <t>SOUTHEAST LSD (PORTAGE CO.)</t>
  </si>
  <si>
    <t>STREETSBORO CSD</t>
  </si>
  <si>
    <t>WATERLOO LSD</t>
  </si>
  <si>
    <t>NATIONAL TRAIL LSD</t>
  </si>
  <si>
    <t>PREBLE-SHAWNEE LSD</t>
  </si>
  <si>
    <t>TWIN VALLEY LSD</t>
  </si>
  <si>
    <t>COLUMBUS GROVE LSD</t>
  </si>
  <si>
    <t>CONTINENTAL LSD</t>
  </si>
  <si>
    <t>JENNINGS LSD</t>
  </si>
  <si>
    <t>KALIDA LSD</t>
  </si>
  <si>
    <t>LEIPSIC LSD</t>
  </si>
  <si>
    <t>MILLER CITY-NEW CLEVELAND LSD</t>
  </si>
  <si>
    <t>OTTAWA-GLANDORF LSD</t>
  </si>
  <si>
    <t>OTTOVILLE LSD</t>
  </si>
  <si>
    <t>PANDORA-GILBOA LSD</t>
  </si>
  <si>
    <t>CLEAR FORK VALLEY LSD</t>
  </si>
  <si>
    <t>CRESTVIEW LSD (RICHLAND CO.)</t>
  </si>
  <si>
    <t>LEXINGTON LSD</t>
  </si>
  <si>
    <t>LUCAS LSD</t>
  </si>
  <si>
    <t>MADISON LSD (RICHLAND CO.)</t>
  </si>
  <si>
    <t>PLYMOUTH LSD</t>
  </si>
  <si>
    <t>ONTARIO LSD</t>
  </si>
  <si>
    <t>ADENA LSD</t>
  </si>
  <si>
    <t>HUNTINGTON LSD</t>
  </si>
  <si>
    <t>PAINT VALLEY LSD</t>
  </si>
  <si>
    <t>SOUTHEASTERN LSD (ROSS CO)</t>
  </si>
  <si>
    <t>UNION-SCIOTO LSD</t>
  </si>
  <si>
    <t>ZANE TRACE LSD</t>
  </si>
  <si>
    <t>LAKOTA LSD (SANDUSKY CO.)</t>
  </si>
  <si>
    <t>WOODMORE LSD</t>
  </si>
  <si>
    <t>BLOOM/VERNON LSD</t>
  </si>
  <si>
    <t>CLAY LSD</t>
  </si>
  <si>
    <t>GREEN LSD (SCIOTO CO.)</t>
  </si>
  <si>
    <t>MINFORD LSD</t>
  </si>
  <si>
    <t>NORTHWEST LSD (SCIOTO CO.)</t>
  </si>
  <si>
    <t>VALLEY LSD</t>
  </si>
  <si>
    <t>WASHINGTON/NILE LSD</t>
  </si>
  <si>
    <t>WHEELERSBURG LSD</t>
  </si>
  <si>
    <t>SENECA EAST LSD</t>
  </si>
  <si>
    <t>BETTSVILLE LSD</t>
  </si>
  <si>
    <t>HOPEWELL-LOUDON LSD</t>
  </si>
  <si>
    <t>NEW RIEGEL LSD</t>
  </si>
  <si>
    <t>OLD FORT LSD</t>
  </si>
  <si>
    <t>ANNA LSD</t>
  </si>
  <si>
    <t>BOTKINS LSD</t>
  </si>
  <si>
    <t>FAIRLAWN LSD</t>
  </si>
  <si>
    <t>FORT LORAMIE LSD</t>
  </si>
  <si>
    <t>HARDIN-HOUSTON LSD</t>
  </si>
  <si>
    <t>JACKSON CENTER LSD</t>
  </si>
  <si>
    <t>RUSSIA LSD</t>
  </si>
  <si>
    <t>CANTON LSD</t>
  </si>
  <si>
    <t>FAIRLESS LSD</t>
  </si>
  <si>
    <t>JACKSON LSD</t>
  </si>
  <si>
    <t>LAKE LSD (STARK CO.)</t>
  </si>
  <si>
    <t>LOUISVILLE CSD</t>
  </si>
  <si>
    <t>MARLINGTON LSD</t>
  </si>
  <si>
    <t>MINERVA LSD</t>
  </si>
  <si>
    <t>NORTHWEST LSD (STARK CO.)</t>
  </si>
  <si>
    <t>OSNABURG LSD</t>
  </si>
  <si>
    <t>PERRY LSD (STARK CO.)</t>
  </si>
  <si>
    <t>PLAIN LSD (STARK CO.)</t>
  </si>
  <si>
    <t>SANDY VALLEY LSD</t>
  </si>
  <si>
    <t>TUSLAW LSD</t>
  </si>
  <si>
    <t>WOODRIDGE LSD</t>
  </si>
  <si>
    <t>COPLEY-FAIRLAWN CSD</t>
  </si>
  <si>
    <t>COVENTRY LSD</t>
  </si>
  <si>
    <t>MANCHESTER LSD</t>
  </si>
  <si>
    <t>GREEN LSD (SUMMIT CO.)</t>
  </si>
  <si>
    <t>HUDSON CSD</t>
  </si>
  <si>
    <t>MOGADORE LSD</t>
  </si>
  <si>
    <t>NORDONIA HILLS CSD</t>
  </si>
  <si>
    <t>REVERE LSD</t>
  </si>
  <si>
    <t>SPRINGFIELD LSD (SUMMIT CO.)</t>
  </si>
  <si>
    <t>TWINSBURG CSD</t>
  </si>
  <si>
    <t>BLOOMFIELD-MESPO LSD</t>
  </si>
  <si>
    <t>BRISTOL LSD</t>
  </si>
  <si>
    <t>BROOKFIELD LSD</t>
  </si>
  <si>
    <t>CHAMPION LSD</t>
  </si>
  <si>
    <t>MATHEWS LSD</t>
  </si>
  <si>
    <t>HOWLAND LSD</t>
  </si>
  <si>
    <t>JOSEPH-BADGER LSD</t>
  </si>
  <si>
    <t>LAKEVIEW LSD</t>
  </si>
  <si>
    <t>LIBERTY LSD</t>
  </si>
  <si>
    <t>LORDSTOWN LSD</t>
  </si>
  <si>
    <t>MAPLEWOOD LSD</t>
  </si>
  <si>
    <t>MC DONALD LSD</t>
  </si>
  <si>
    <t>SOUTHINGTON LSD</t>
  </si>
  <si>
    <t>LABRAE LSD</t>
  </si>
  <si>
    <t>WEATHERSFIELD LSD</t>
  </si>
  <si>
    <t>GARAWAY LSD</t>
  </si>
  <si>
    <t>INDIAN VALLEY LSD</t>
  </si>
  <si>
    <t>STRASBURG-FRANKLIN LSD</t>
  </si>
  <si>
    <t>TUSCARAWAS VALLEY LSD</t>
  </si>
  <si>
    <t>FAIRBANKS LSD</t>
  </si>
  <si>
    <t>NORTH UNION LSD</t>
  </si>
  <si>
    <t>CRESTVIEW LSD (VAN WERT CO.)</t>
  </si>
  <si>
    <t>LINCOLNVIEW LSD</t>
  </si>
  <si>
    <t>VINTON LSD</t>
  </si>
  <si>
    <t>CARLISLE LSD</t>
  </si>
  <si>
    <t>SPRINGBORO COMMUNITY SD</t>
  </si>
  <si>
    <t>KINGS LSD</t>
  </si>
  <si>
    <t>LITTLE MIAMI LSD</t>
  </si>
  <si>
    <t>MASON CSD</t>
  </si>
  <si>
    <t>WAYNE LSD</t>
  </si>
  <si>
    <t>FORT FRYE LSD</t>
  </si>
  <si>
    <t>FRONTIER LSD</t>
  </si>
  <si>
    <t>WARREN LSD</t>
  </si>
  <si>
    <t>WOLF CREEK LSD</t>
  </si>
  <si>
    <t>CHIPPEWA LSD</t>
  </si>
  <si>
    <t>DALTON LSD</t>
  </si>
  <si>
    <t>GREENE LSD</t>
  </si>
  <si>
    <t>NORTH CENTRAL LSD (WAYNE CO.)</t>
  </si>
  <si>
    <t>NORTHWESTERN LSD (WAYNE CO.)</t>
  </si>
  <si>
    <t>SOUTHEAST LSD (WAYNE CO.)</t>
  </si>
  <si>
    <t>TRIWAY LSD</t>
  </si>
  <si>
    <t>EDGERTON LSD</t>
  </si>
  <si>
    <t>EDON-NORTHWEST LSD</t>
  </si>
  <si>
    <t>MILLCREEK-WEST UNITY LSD</t>
  </si>
  <si>
    <t>NORTH CENTRAL LSD (WILLIAMS CO.)</t>
  </si>
  <si>
    <t>STRYKER LSD</t>
  </si>
  <si>
    <t>EASTWOOD LSD</t>
  </si>
  <si>
    <t>ELMWOOD LSD</t>
  </si>
  <si>
    <t>LAKE LSD (WOOD CO.)</t>
  </si>
  <si>
    <t>NORTH BALTIMORE LSD</t>
  </si>
  <si>
    <t>NORTHWOOD LSD</t>
  </si>
  <si>
    <t>OTSEGO LSD</t>
  </si>
  <si>
    <t>MOHAWK LSD</t>
  </si>
  <si>
    <t>OHIO VALLEY LSD</t>
  </si>
  <si>
    <t>COLLEGE CORNER LSD</t>
  </si>
  <si>
    <t>GALLIA COUNTY LSD</t>
  </si>
  <si>
    <t>EAST GUERNSEY LSD</t>
  </si>
  <si>
    <t>TRI COUNTY NORTH LSD</t>
  </si>
  <si>
    <t>MONROE LSD</t>
  </si>
  <si>
    <t>Raw Data - column A</t>
  </si>
  <si>
    <t>Raw Data - column M</t>
  </si>
  <si>
    <t>RCV IRN</t>
  </si>
  <si>
    <t>column H</t>
  </si>
  <si>
    <t>This calculation uses the countifs function</t>
  </si>
  <si>
    <t>Building</t>
  </si>
  <si>
    <t>Grade</t>
  </si>
  <si>
    <t>KG</t>
  </si>
  <si>
    <t>Grand Total</t>
  </si>
  <si>
    <t>SFPR Line a2</t>
  </si>
  <si>
    <t>Economic Disadvantaged Percentage:  (e10/a7)</t>
  </si>
  <si>
    <t>PBDD</t>
  </si>
  <si>
    <t>CTID</t>
  </si>
  <si>
    <t>CTOP</t>
  </si>
  <si>
    <t>Middle Name</t>
  </si>
  <si>
    <t>Apollo</t>
  </si>
  <si>
    <t>Southern Hills</t>
  </si>
  <si>
    <t>Ashtabula County Technical and Career Center</t>
  </si>
  <si>
    <t>Belmont-Harrison</t>
  </si>
  <si>
    <t>Butler Technology &amp; Career Development Schools</t>
  </si>
  <si>
    <t>Columbiana County</t>
  </si>
  <si>
    <t>Cuyahoga Valley Career Center</t>
  </si>
  <si>
    <t>Polaris</t>
  </si>
  <si>
    <t>Four County Career Center</t>
  </si>
  <si>
    <t>Delaware Area Career Center</t>
  </si>
  <si>
    <t>Eastland-Fairfield Career/Tech</t>
  </si>
  <si>
    <t>EHOVE Career Center</t>
  </si>
  <si>
    <t>Greene County Vocational School District</t>
  </si>
  <si>
    <t>Great Oaks Career Campuses</t>
  </si>
  <si>
    <t>Jefferson County</t>
  </si>
  <si>
    <t>Knox County JVSD</t>
  </si>
  <si>
    <t>Auburn</t>
  </si>
  <si>
    <t>Lawrence County</t>
  </si>
  <si>
    <t>Career and Technology Educational Centers</t>
  </si>
  <si>
    <t>Lorain County JVS</t>
  </si>
  <si>
    <t>Mahoning Co Career &amp; Tech Ctr</t>
  </si>
  <si>
    <t>Miami Valley Career Tech</t>
  </si>
  <si>
    <t>Mid-East Career and Technology Centers</t>
  </si>
  <si>
    <t>Ohio Hi-Point Career Center</t>
  </si>
  <si>
    <t>Penta Career Center - District</t>
  </si>
  <si>
    <t>Pike County Area</t>
  </si>
  <si>
    <t>Maplewood Career Center</t>
  </si>
  <si>
    <t>Pioneer Career &amp; Technology</t>
  </si>
  <si>
    <t>Pickaway-Ross County JVSD</t>
  </si>
  <si>
    <t>Vanguard-Sentinel Career &amp; Technology Centers</t>
  </si>
  <si>
    <t>Warren County Vocational School</t>
  </si>
  <si>
    <t>Scioto County Career Technical Center</t>
  </si>
  <si>
    <t>Springfield-Clark County</t>
  </si>
  <si>
    <t>Tri-County Career Center</t>
  </si>
  <si>
    <t>Trumbull Career &amp; Tech Ctr</t>
  </si>
  <si>
    <t>Buckeye</t>
  </si>
  <si>
    <t>Vantage Career Center</t>
  </si>
  <si>
    <t>Washington County Career Center</t>
  </si>
  <si>
    <t>Wayne County JVSD</t>
  </si>
  <si>
    <t>Stark County Area</t>
  </si>
  <si>
    <t>Ashland County-West Holmes</t>
  </si>
  <si>
    <t>Gallia-Jackson-Vinton</t>
  </si>
  <si>
    <t>Medina County Joint Vocational School District</t>
  </si>
  <si>
    <t>Upper Valley Career Center</t>
  </si>
  <si>
    <t>U S Grant</t>
  </si>
  <si>
    <t>Portage Lakes</t>
  </si>
  <si>
    <t>Tolles Career &amp; Technical Center</t>
  </si>
  <si>
    <t>Coshocton County</t>
  </si>
  <si>
    <t>Tri-Rivers</t>
  </si>
  <si>
    <t>"OTHER ADJUSTMENTS"</t>
  </si>
  <si>
    <t>Special Ed -Other In</t>
  </si>
  <si>
    <t>VOED-Other In</t>
  </si>
  <si>
    <t>Special Ed-Other Out</t>
  </si>
  <si>
    <t>VOED-Other Out</t>
  </si>
  <si>
    <t>BDD ADJUSTMENT</t>
  </si>
  <si>
    <t>Flat Amount</t>
  </si>
  <si>
    <t>Cat Amount</t>
  </si>
  <si>
    <t>Funded Amount</t>
  </si>
  <si>
    <r>
      <rPr>
        <b/>
        <sz val="11"/>
        <color theme="1"/>
        <rFont val="Calibri"/>
        <family val="2"/>
        <scheme val="minor"/>
      </rPr>
      <t>Enter</t>
    </r>
    <r>
      <rPr>
        <sz val="11"/>
        <color theme="1"/>
        <rFont val="Calibri"/>
        <family val="2"/>
        <scheme val="minor"/>
      </rPr>
      <t xml:space="preserve"> Your State Share Index in cell below</t>
    </r>
  </si>
  <si>
    <t>Not Available</t>
  </si>
  <si>
    <t>AA4266623</t>
  </si>
  <si>
    <t>FTED-001</t>
  </si>
  <si>
    <t>FT0000</t>
  </si>
  <si>
    <t>**</t>
  </si>
  <si>
    <t>N</t>
  </si>
  <si>
    <t>FULL</t>
  </si>
  <si>
    <t xml:space="preserve">Regular </t>
  </si>
  <si>
    <t>AC8271282</t>
  </si>
  <si>
    <t>AG1709453</t>
  </si>
  <si>
    <t>PS</t>
  </si>
  <si>
    <t>AG2185005</t>
  </si>
  <si>
    <t>AG4822032</t>
  </si>
  <si>
    <t>AG8427921</t>
  </si>
  <si>
    <t>AJ4949639</t>
  </si>
  <si>
    <t>AL7862843</t>
  </si>
  <si>
    <t>AM1462992</t>
  </si>
  <si>
    <t>AM5796589</t>
  </si>
  <si>
    <t>AO1455954</t>
  </si>
  <si>
    <t>AO4035952</t>
  </si>
  <si>
    <t>AO5078559</t>
  </si>
  <si>
    <t>AP3043524</t>
  </si>
  <si>
    <t>AQ3249060</t>
  </si>
  <si>
    <t>AR8694524</t>
  </si>
  <si>
    <t>AV2205214</t>
  </si>
  <si>
    <t>AV9369281</t>
  </si>
  <si>
    <t>AZ7320221</t>
  </si>
  <si>
    <t>BB9235354</t>
  </si>
  <si>
    <t>BC8072266</t>
  </si>
  <si>
    <t>Y</t>
  </si>
  <si>
    <t>BD8325796</t>
  </si>
  <si>
    <t>BF9923138</t>
  </si>
  <si>
    <t>BG4694355</t>
  </si>
  <si>
    <t>BG8997722</t>
  </si>
  <si>
    <t>E-School</t>
  </si>
  <si>
    <t>BH2756269</t>
  </si>
  <si>
    <t>BH4996463</t>
  </si>
  <si>
    <t>BH8807212</t>
  </si>
  <si>
    <t>BH9415923</t>
  </si>
  <si>
    <t>BI2861436</t>
  </si>
  <si>
    <t>BI7459631</t>
  </si>
  <si>
    <t>BI7893838</t>
  </si>
  <si>
    <t>BJ9007926</t>
  </si>
  <si>
    <t>BM1473493</t>
  </si>
  <si>
    <t>BM9954261</t>
  </si>
  <si>
    <t>BN1767250</t>
  </si>
  <si>
    <t>BN6780716</t>
  </si>
  <si>
    <t>BP4915392</t>
  </si>
  <si>
    <t>BP6661433</t>
  </si>
  <si>
    <t>BR3188820</t>
  </si>
  <si>
    <t>BR6349211</t>
  </si>
  <si>
    <t>BR9549994</t>
  </si>
  <si>
    <t>BV6015489</t>
  </si>
  <si>
    <t>BW3586816</t>
  </si>
  <si>
    <t>BX1771927</t>
  </si>
  <si>
    <t>PART</t>
  </si>
  <si>
    <t>BX2375664</t>
  </si>
  <si>
    <t>BX2413875</t>
  </si>
  <si>
    <t>BX3515543</t>
  </si>
  <si>
    <t>BX3747374</t>
  </si>
  <si>
    <t>BX6944995</t>
  </si>
  <si>
    <t>BX8108904</t>
  </si>
  <si>
    <t>BX8229162</t>
  </si>
  <si>
    <t>BY2647632</t>
  </si>
  <si>
    <t>BY6982139</t>
  </si>
  <si>
    <t>BY7407819</t>
  </si>
  <si>
    <t>BY9163274</t>
  </si>
  <si>
    <t>BZ2290735</t>
  </si>
  <si>
    <t>BZ3980856</t>
  </si>
  <si>
    <t>BZ6123524</t>
  </si>
  <si>
    <t>BZ9975221</t>
  </si>
  <si>
    <t>CA4821796</t>
  </si>
  <si>
    <t>CA8038609</t>
  </si>
  <si>
    <t>CB4445284</t>
  </si>
  <si>
    <t>CB5022663</t>
  </si>
  <si>
    <t>CB6643236</t>
  </si>
  <si>
    <t>CC3632154</t>
  </si>
  <si>
    <t>CC3747269</t>
  </si>
  <si>
    <t>CC6426525</t>
  </si>
  <si>
    <t>CF4510540</t>
  </si>
  <si>
    <t>CH7286569</t>
  </si>
  <si>
    <t>CI7109501</t>
  </si>
  <si>
    <t>CJ1848035</t>
  </si>
  <si>
    <t>CK3972664</t>
  </si>
  <si>
    <t>CK6084127</t>
  </si>
  <si>
    <t>CK9572237</t>
  </si>
  <si>
    <t>CP4335571</t>
  </si>
  <si>
    <t>CP5508578</t>
  </si>
  <si>
    <t>CQ1968433</t>
  </si>
  <si>
    <t>CS2679489</t>
  </si>
  <si>
    <t>CS9466214</t>
  </si>
  <si>
    <t>CT3681285</t>
  </si>
  <si>
    <t>CU5573938</t>
  </si>
  <si>
    <t>CU7301541</t>
  </si>
  <si>
    <t>CV4828595</t>
  </si>
  <si>
    <t>CW3252957</t>
  </si>
  <si>
    <t>CW8554233</t>
  </si>
  <si>
    <t>CX4777612</t>
  </si>
  <si>
    <t>CY4890453</t>
  </si>
  <si>
    <t>DB7213818</t>
  </si>
  <si>
    <t>DC5077888</t>
  </si>
  <si>
    <t>DE1695873</t>
  </si>
  <si>
    <t>DG1118087</t>
  </si>
  <si>
    <t>DG6256089</t>
  </si>
  <si>
    <t>DG8226405</t>
  </si>
  <si>
    <t>DR5277311</t>
  </si>
  <si>
    <t>DR9409597</t>
  </si>
  <si>
    <t>DS3938052</t>
  </si>
  <si>
    <t>DS4217505</t>
  </si>
  <si>
    <t>DS8376512</t>
  </si>
  <si>
    <t>DT4951913</t>
  </si>
  <si>
    <t>DU2332703</t>
  </si>
  <si>
    <t>DU3826383</t>
  </si>
  <si>
    <t>DU8700011</t>
  </si>
  <si>
    <t>DV8387529</t>
  </si>
  <si>
    <t>DW2586491</t>
  </si>
  <si>
    <t>DX2279148</t>
  </si>
  <si>
    <t>DX7551312</t>
  </si>
  <si>
    <t>DY3476145</t>
  </si>
  <si>
    <t>DZ6694095</t>
  </si>
  <si>
    <t>EA6001148</t>
  </si>
  <si>
    <t>EC1796647</t>
  </si>
  <si>
    <t>ED3646087</t>
  </si>
  <si>
    <t>ED8793000</t>
  </si>
  <si>
    <t>EE5693318</t>
  </si>
  <si>
    <t>EE7637485</t>
  </si>
  <si>
    <t>EF2521952</t>
  </si>
  <si>
    <t>EF4465536</t>
  </si>
  <si>
    <t>EF7929522</t>
  </si>
  <si>
    <t>EF8830946</t>
  </si>
  <si>
    <t>EG6173652</t>
  </si>
  <si>
    <t>EH3013312</t>
  </si>
  <si>
    <t>EI7596861</t>
  </si>
  <si>
    <t>EI8018862</t>
  </si>
  <si>
    <t>EJ2915194</t>
  </si>
  <si>
    <t>EM1372040</t>
  </si>
  <si>
    <t>EM7099453</t>
  </si>
  <si>
    <t>EN2730747</t>
  </si>
  <si>
    <t>EN3597699</t>
  </si>
  <si>
    <t>EN7189444</t>
  </si>
  <si>
    <t>EO2735414</t>
  </si>
  <si>
    <t>ER4845488</t>
  </si>
  <si>
    <t>ES3248010</t>
  </si>
  <si>
    <t>ES8812665</t>
  </si>
  <si>
    <t>ET2429801</t>
  </si>
  <si>
    <t>EU3154830</t>
  </si>
  <si>
    <t>EV5211786</t>
  </si>
  <si>
    <t>EX2096579</t>
  </si>
  <si>
    <t>EX7566301</t>
  </si>
  <si>
    <t>EZ6704063</t>
  </si>
  <si>
    <t>EZ9503874</t>
  </si>
  <si>
    <t>FA6709278</t>
  </si>
  <si>
    <t>FA6931794</t>
  </si>
  <si>
    <t>FA8952730</t>
  </si>
  <si>
    <t>FB9031169</t>
  </si>
  <si>
    <t>FF1219991</t>
  </si>
  <si>
    <t>FG5010059</t>
  </si>
  <si>
    <t>FG5966122</t>
  </si>
  <si>
    <t>FG6277678</t>
  </si>
  <si>
    <t>FG8343228</t>
  </si>
  <si>
    <t>FH9090546</t>
  </si>
  <si>
    <t>FI1868402</t>
  </si>
  <si>
    <t>FL4372243</t>
  </si>
  <si>
    <t>FM4705411</t>
  </si>
  <si>
    <t>FM8897047</t>
  </si>
  <si>
    <t>FN8495909</t>
  </si>
  <si>
    <t>FO3426505</t>
  </si>
  <si>
    <t>FQ3937525</t>
  </si>
  <si>
    <t>FQ5825387</t>
  </si>
  <si>
    <t>FS8199181</t>
  </si>
  <si>
    <t>FT3438894</t>
  </si>
  <si>
    <t>FU8725715</t>
  </si>
  <si>
    <t>FX8234092</t>
  </si>
  <si>
    <t>L</t>
  </si>
  <si>
    <t>FX8368106</t>
  </si>
  <si>
    <t>FZ6863356</t>
  </si>
  <si>
    <t>FZ9397011</t>
  </si>
  <si>
    <t>FZ9403797</t>
  </si>
  <si>
    <t>GD9094108</t>
  </si>
  <si>
    <t>GE8770252</t>
  </si>
  <si>
    <t>GE9981877</t>
  </si>
  <si>
    <t>GF6778065</t>
  </si>
  <si>
    <t>GJ1122831</t>
  </si>
  <si>
    <t>GK9119600</t>
  </si>
  <si>
    <t>GO1316260</t>
  </si>
  <si>
    <t>GS7360549</t>
  </si>
  <si>
    <t>GT2355510</t>
  </si>
  <si>
    <t>GT7565637</t>
  </si>
  <si>
    <t>GV1819221</t>
  </si>
  <si>
    <t>GW5927464</t>
  </si>
  <si>
    <t>GX1725139</t>
  </si>
  <si>
    <t>GY2546211</t>
  </si>
  <si>
    <t>GY6992372</t>
  </si>
  <si>
    <t>HA4590663</t>
  </si>
  <si>
    <t>HC5335230</t>
  </si>
  <si>
    <t>HE6957630</t>
  </si>
  <si>
    <t>HG2943005</t>
  </si>
  <si>
    <t>HG3434417</t>
  </si>
  <si>
    <t>HI6847349</t>
  </si>
  <si>
    <t>HI9187454</t>
  </si>
  <si>
    <t>HJ2236117</t>
  </si>
  <si>
    <t>HJ8436079</t>
  </si>
  <si>
    <t>HK3629910</t>
  </si>
  <si>
    <t>HL4583563</t>
  </si>
  <si>
    <t>HM9533473</t>
  </si>
  <si>
    <t>HN4536144</t>
  </si>
  <si>
    <t>HN7390450</t>
  </si>
  <si>
    <t>HN8610666</t>
  </si>
  <si>
    <t>HP1557677</t>
  </si>
  <si>
    <t>HP2971066</t>
  </si>
  <si>
    <t>HP4733035</t>
  </si>
  <si>
    <t>HP7082288</t>
  </si>
  <si>
    <t>HT6878789</t>
  </si>
  <si>
    <t>HT9442634</t>
  </si>
  <si>
    <t>HU6941539</t>
  </si>
  <si>
    <t>HU9084908</t>
  </si>
  <si>
    <t>HV2079781</t>
  </si>
  <si>
    <t>HW2558402</t>
  </si>
  <si>
    <t>HX7806494</t>
  </si>
  <si>
    <t>HY7204813</t>
  </si>
  <si>
    <t>IB2455320</t>
  </si>
  <si>
    <t>IB7567598</t>
  </si>
  <si>
    <t>ID8353797</t>
  </si>
  <si>
    <t>ID8529920</t>
  </si>
  <si>
    <t>IG9421092</t>
  </si>
  <si>
    <t>II4652776</t>
  </si>
  <si>
    <t>IJ6570475</t>
  </si>
  <si>
    <t>IJ6745253</t>
  </si>
  <si>
    <t>IK2671264</t>
  </si>
  <si>
    <t>IK4808610</t>
  </si>
  <si>
    <t>IK5324341</t>
  </si>
  <si>
    <t>IL1859976</t>
  </si>
  <si>
    <t>IL3636388</t>
  </si>
  <si>
    <t>IL4752339</t>
  </si>
  <si>
    <t>IL4856828</t>
  </si>
  <si>
    <t>IL6474831</t>
  </si>
  <si>
    <t>IL9183940</t>
  </si>
  <si>
    <t>IL9644190</t>
  </si>
  <si>
    <t>IM9568300</t>
  </si>
  <si>
    <t>IM9703577</t>
  </si>
  <si>
    <t>IM9739579</t>
  </si>
  <si>
    <t>IN7077442</t>
  </si>
  <si>
    <t>IO1006047</t>
  </si>
  <si>
    <t>IO4017394</t>
  </si>
  <si>
    <t>IQ8308842</t>
  </si>
  <si>
    <t>IQ8309708</t>
  </si>
  <si>
    <t>IQ8313976</t>
  </si>
  <si>
    <t>IQ8635673</t>
  </si>
  <si>
    <t>IR2896503</t>
  </si>
  <si>
    <t>IR8513220</t>
  </si>
  <si>
    <t>IR8809490</t>
  </si>
  <si>
    <t>IS4051385</t>
  </si>
  <si>
    <t>IS4054289</t>
  </si>
  <si>
    <t>IS4061485</t>
  </si>
  <si>
    <t>IS8296194</t>
  </si>
  <si>
    <t>IT1387398</t>
  </si>
  <si>
    <t>IT7781485</t>
  </si>
  <si>
    <t>IU1982410</t>
  </si>
  <si>
    <t>IU4986606</t>
  </si>
  <si>
    <t>IU5119739</t>
  </si>
  <si>
    <t>IV1011699</t>
  </si>
  <si>
    <t>IV7504473</t>
  </si>
  <si>
    <t>IW2375176</t>
  </si>
  <si>
    <t>IW3283488</t>
  </si>
  <si>
    <t>IX6653253</t>
  </si>
  <si>
    <t>JB3123891</t>
  </si>
  <si>
    <t>JB4480175</t>
  </si>
  <si>
    <t>JC3624172</t>
  </si>
  <si>
    <t>JC4766313</t>
  </si>
  <si>
    <t>JC6408740</t>
  </si>
  <si>
    <t>JD9445554</t>
  </si>
  <si>
    <t>JD9447564</t>
  </si>
  <si>
    <t>JD9453191</t>
  </si>
  <si>
    <t>JE7316325</t>
  </si>
  <si>
    <t>JE7338706</t>
  </si>
  <si>
    <t>JE7410311</t>
  </si>
  <si>
    <t>JE7640582</t>
  </si>
  <si>
    <t>JE7740312</t>
  </si>
  <si>
    <t>JE7760806</t>
  </si>
  <si>
    <t>JF9047450</t>
  </si>
  <si>
    <t>JG1614260</t>
  </si>
  <si>
    <t>JG1676433</t>
  </si>
  <si>
    <t>JG1898722</t>
  </si>
  <si>
    <t>JG1934956</t>
  </si>
  <si>
    <t>JG6920226</t>
  </si>
  <si>
    <t>JG7486539</t>
  </si>
  <si>
    <t>JG7489164</t>
  </si>
  <si>
    <t>JG7492676</t>
  </si>
  <si>
    <t>JG7493548</t>
  </si>
  <si>
    <t>JG7496818</t>
  </si>
  <si>
    <t>JG7498702</t>
  </si>
  <si>
    <t>JG7499541</t>
  </si>
  <si>
    <t>JG7500320</t>
  </si>
  <si>
    <t>JG7501987</t>
  </si>
  <si>
    <t>JG7506908</t>
  </si>
  <si>
    <t>JG7521815</t>
  </si>
  <si>
    <t>JG7522748</t>
  </si>
  <si>
    <t>JG7523682</t>
  </si>
  <si>
    <t>JG7525918</t>
  </si>
  <si>
    <t>JG7526179</t>
  </si>
  <si>
    <t>JG7528476</t>
  </si>
  <si>
    <t>JG7531496</t>
  </si>
  <si>
    <t>JG7536963</t>
  </si>
  <si>
    <t>JG7537786</t>
  </si>
  <si>
    <t>JG7540299</t>
  </si>
  <si>
    <t>JG7544132</t>
  </si>
  <si>
    <t>JG7546771</t>
  </si>
  <si>
    <t>JG7548522</t>
  </si>
  <si>
    <t>JG7550515</t>
  </si>
  <si>
    <t>JG7561748</t>
  </si>
  <si>
    <t>JG7567182</t>
  </si>
  <si>
    <t>JG7569242</t>
  </si>
  <si>
    <t>JG7570715</t>
  </si>
  <si>
    <t>JG7574961</t>
  </si>
  <si>
    <t>JG7576696</t>
  </si>
  <si>
    <t>JG7587739</t>
  </si>
  <si>
    <t>JG7590230</t>
  </si>
  <si>
    <t>JG7592599</t>
  </si>
  <si>
    <t>JG7593339</t>
  </si>
  <si>
    <t>JG7595525</t>
  </si>
  <si>
    <t>JG7597568</t>
  </si>
  <si>
    <t>JG7599914</t>
  </si>
  <si>
    <t>JG7601499</t>
  </si>
  <si>
    <t>JG7603376</t>
  </si>
  <si>
    <t>JG7604894</t>
  </si>
  <si>
    <t>JG7606154</t>
  </si>
  <si>
    <t>JG7607919</t>
  </si>
  <si>
    <t>JG7612304</t>
  </si>
  <si>
    <t>JG7614556</t>
  </si>
  <si>
    <t>JG7622909</t>
  </si>
  <si>
    <t>JG7624361</t>
  </si>
  <si>
    <t>JG7628893</t>
  </si>
  <si>
    <t>JG7631847</t>
  </si>
  <si>
    <t>JG7642246</t>
  </si>
  <si>
    <t>JG7645520</t>
  </si>
  <si>
    <t>JG7650585</t>
  </si>
  <si>
    <t>JG7653899</t>
  </si>
  <si>
    <t>JG7655931</t>
  </si>
  <si>
    <t>JG7656429</t>
  </si>
  <si>
    <t>JG7657815</t>
  </si>
  <si>
    <t>JH4755318</t>
  </si>
  <si>
    <t>JH4761906</t>
  </si>
  <si>
    <t>JH4762961</t>
  </si>
  <si>
    <t>JH4764183</t>
  </si>
  <si>
    <t>JH4767312</t>
  </si>
  <si>
    <t>JH4771768</t>
  </si>
  <si>
    <t>JH4772358</t>
  </si>
  <si>
    <t>JH4773959</t>
  </si>
  <si>
    <t>JH4774671</t>
  </si>
  <si>
    <t>JH4776985</t>
  </si>
  <si>
    <t>JH4779315</t>
  </si>
  <si>
    <t>JH4782273</t>
  </si>
  <si>
    <t>JH4785600</t>
  </si>
  <si>
    <t>JH4786203</t>
  </si>
  <si>
    <t>JH4789787</t>
  </si>
  <si>
    <t>JH4790389</t>
  </si>
  <si>
    <t>JH4791880</t>
  </si>
  <si>
    <t>JH4792482</t>
  </si>
  <si>
    <t>JH4793166</t>
  </si>
  <si>
    <t>JH4794871</t>
  </si>
  <si>
    <t>JH4795689</t>
  </si>
  <si>
    <t>JH4796507</t>
  </si>
  <si>
    <t>JH4798834</t>
  </si>
  <si>
    <t>JH4799933</t>
  </si>
  <si>
    <t>JH4800144</t>
  </si>
  <si>
    <t>JH4803764</t>
  </si>
  <si>
    <t>JH4804256</t>
  </si>
  <si>
    <t>JH4805636</t>
  </si>
  <si>
    <t>JH4808644</t>
  </si>
  <si>
    <t>JH4809351</t>
  </si>
  <si>
    <t>JH4810947</t>
  </si>
  <si>
    <t>JH4812361</t>
  </si>
  <si>
    <t>JH4813957</t>
  </si>
  <si>
    <t>JH4816506</t>
  </si>
  <si>
    <t>JH4818483</t>
  </si>
  <si>
    <t>JH4820877</t>
  </si>
  <si>
    <t>JH4822496</t>
  </si>
  <si>
    <t>JH4824114</t>
  </si>
  <si>
    <t>JH4825368</t>
  </si>
  <si>
    <t>JH4827844</t>
  </si>
  <si>
    <t>JH4828491</t>
  </si>
  <si>
    <t>JH4829137</t>
  </si>
  <si>
    <t>JH4831581</t>
  </si>
  <si>
    <t>JI7035233</t>
  </si>
  <si>
    <t>JK1458330</t>
  </si>
  <si>
    <t>JK2048220</t>
  </si>
  <si>
    <t>JK2095763</t>
  </si>
  <si>
    <t>JK7312847</t>
  </si>
  <si>
    <t>JL6560873</t>
  </si>
  <si>
    <t>JL6668645</t>
  </si>
  <si>
    <t>JL6704666</t>
  </si>
  <si>
    <t>JL6752176</t>
  </si>
  <si>
    <t>JL6775489</t>
  </si>
  <si>
    <t>JL6798349</t>
  </si>
  <si>
    <t>JL6913565</t>
  </si>
  <si>
    <t>JM4570869</t>
  </si>
  <si>
    <t>JM4648869</t>
  </si>
  <si>
    <t>JM4695547</t>
  </si>
  <si>
    <t>JM4705669</t>
  </si>
  <si>
    <t>JM4734552</t>
  </si>
  <si>
    <t>JM4743149</t>
  </si>
  <si>
    <t>JM4770662</t>
  </si>
  <si>
    <t>JN9948882</t>
  </si>
  <si>
    <t>JO1099424</t>
  </si>
  <si>
    <t>JO1114518</t>
  </si>
  <si>
    <t>JO1151339</t>
  </si>
  <si>
    <t>JO1163389</t>
  </si>
  <si>
    <t>JO1173212</t>
  </si>
  <si>
    <t>JO1209215</t>
  </si>
  <si>
    <t>JO1256850</t>
  </si>
  <si>
    <t>JO1307304</t>
  </si>
  <si>
    <t>JP4000545</t>
  </si>
  <si>
    <t>JP4014544</t>
  </si>
  <si>
    <t>JP4045418</t>
  </si>
  <si>
    <t>JS3394412</t>
  </si>
  <si>
    <t>JS7209514</t>
  </si>
  <si>
    <t>JS7239343</t>
  </si>
  <si>
    <t>JS7284728</t>
  </si>
  <si>
    <t>JS7317170</t>
  </si>
  <si>
    <t>JT4670881</t>
  </si>
  <si>
    <t>JU5088322</t>
  </si>
  <si>
    <t>JU6238338</t>
  </si>
  <si>
    <t>JU7828525</t>
  </si>
  <si>
    <t>JV6728806</t>
  </si>
  <si>
    <t>JV9156916</t>
  </si>
  <si>
    <t>JW4278859</t>
  </si>
  <si>
    <t>JW5117919</t>
  </si>
  <si>
    <t>JW7008274</t>
  </si>
  <si>
    <t>JX4373069</t>
  </si>
  <si>
    <t>JX7407861</t>
  </si>
  <si>
    <t>JX7869764</t>
  </si>
  <si>
    <t>JY1016635</t>
  </si>
  <si>
    <t>JY1421629</t>
  </si>
  <si>
    <t>JY2057241</t>
  </si>
  <si>
    <t>JY8041854</t>
  </si>
  <si>
    <t>JZ3284211</t>
  </si>
  <si>
    <t>JZ3677781</t>
  </si>
  <si>
    <t>KA2425910</t>
  </si>
  <si>
    <t>KA4789815</t>
  </si>
  <si>
    <t>KA4845424</t>
  </si>
  <si>
    <t>KD1958088</t>
  </si>
  <si>
    <t>KD3530724</t>
  </si>
  <si>
    <t>KD5447530</t>
  </si>
  <si>
    <t>KH3493722</t>
  </si>
  <si>
    <t>KH4917061</t>
  </si>
  <si>
    <t>KH6741662</t>
  </si>
  <si>
    <t>B&amp;M Comm</t>
  </si>
  <si>
    <t>KJ1336832</t>
  </si>
  <si>
    <t>KJ1342993</t>
  </si>
  <si>
    <t>KJ8220033</t>
  </si>
  <si>
    <t>KJ9773354</t>
  </si>
  <si>
    <t>KL3070560</t>
  </si>
  <si>
    <t>SBDD</t>
  </si>
  <si>
    <t>NONE</t>
  </si>
  <si>
    <t xml:space="preserve">CBDD    </t>
  </si>
  <si>
    <t>KL5381868</t>
  </si>
  <si>
    <t>KL7026937</t>
  </si>
  <si>
    <t>KL8806649</t>
  </si>
  <si>
    <t>KM2788599</t>
  </si>
  <si>
    <t>KM2818628</t>
  </si>
  <si>
    <t>KM8851369</t>
  </si>
  <si>
    <t>KM9548127</t>
  </si>
  <si>
    <t>KM9776189</t>
  </si>
  <si>
    <t>KM9789611</t>
  </si>
  <si>
    <t>KN2109550</t>
  </si>
  <si>
    <t>KN3329971</t>
  </si>
  <si>
    <t>KN4472271</t>
  </si>
  <si>
    <t>KN5728328</t>
  </si>
  <si>
    <t>KN6980637</t>
  </si>
  <si>
    <t>KN7002727</t>
  </si>
  <si>
    <t>KO2337597</t>
  </si>
  <si>
    <t>KO3473574</t>
  </si>
  <si>
    <t>KO5270141</t>
  </si>
  <si>
    <t>KO6246579</t>
  </si>
  <si>
    <t>KO6579344</t>
  </si>
  <si>
    <t>KP2123885</t>
  </si>
  <si>
    <t>KP5614723</t>
  </si>
  <si>
    <t>KQ1572641</t>
  </si>
  <si>
    <t>KQ1585920</t>
  </si>
  <si>
    <t>KQ4459693</t>
  </si>
  <si>
    <t>KR2267268</t>
  </si>
  <si>
    <t>KR2525996</t>
  </si>
  <si>
    <t>KR3643265</t>
  </si>
  <si>
    <t>KR6162368</t>
  </si>
  <si>
    <t>KR6256964</t>
  </si>
  <si>
    <t>KR6820255</t>
  </si>
  <si>
    <t>KR6821992</t>
  </si>
  <si>
    <t>KR6822829</t>
  </si>
  <si>
    <t>KR6823576</t>
  </si>
  <si>
    <t>KR6824535</t>
  </si>
  <si>
    <t>KR6827662</t>
  </si>
  <si>
    <t>KR6828748</t>
  </si>
  <si>
    <t>KR6829589</t>
  </si>
  <si>
    <t>KR6830421</t>
  </si>
  <si>
    <t>KR6834675</t>
  </si>
  <si>
    <t>KR6835987</t>
  </si>
  <si>
    <t>KR6836218</t>
  </si>
  <si>
    <t>KR6838990</t>
  </si>
  <si>
    <t>KR6840320</t>
  </si>
  <si>
    <t>KR6841643</t>
  </si>
  <si>
    <t>KR6843279</t>
  </si>
  <si>
    <t>KR6844602</t>
  </si>
  <si>
    <t>KR6847156</t>
  </si>
  <si>
    <t>KR6848592</t>
  </si>
  <si>
    <t>KR6849302</t>
  </si>
  <si>
    <t>KR6850902</t>
  </si>
  <si>
    <t>KR6852111</t>
  </si>
  <si>
    <t>KR6854644</t>
  </si>
  <si>
    <t>KR6855137</t>
  </si>
  <si>
    <t>KR6856950</t>
  </si>
  <si>
    <t>KR6857285</t>
  </si>
  <si>
    <t>KR6858873</t>
  </si>
  <si>
    <t>KR6859887</t>
  </si>
  <si>
    <t>KR6861567</t>
  </si>
  <si>
    <t>KR6863536</t>
  </si>
  <si>
    <t>KR6866660</t>
  </si>
  <si>
    <t>KR6867866</t>
  </si>
  <si>
    <t>KR6868902</t>
  </si>
  <si>
    <t>KR6869987</t>
  </si>
  <si>
    <t>KR6871656</t>
  </si>
  <si>
    <t>KR6872766</t>
  </si>
  <si>
    <t>KR6873674</t>
  </si>
  <si>
    <t>KR6875748</t>
  </si>
  <si>
    <t>KR6876400</t>
  </si>
  <si>
    <t>KR6877245</t>
  </si>
  <si>
    <t>KR6879988</t>
  </si>
  <si>
    <t>KR6880326</t>
  </si>
  <si>
    <t>KR6881949</t>
  </si>
  <si>
    <t>KR6882590</t>
  </si>
  <si>
    <t>KR6883802</t>
  </si>
  <si>
    <t>KR6884534</t>
  </si>
  <si>
    <t>KR6885991</t>
  </si>
  <si>
    <t>KR6886666</t>
  </si>
  <si>
    <t>KR7607808</t>
  </si>
  <si>
    <t>KR8895741</t>
  </si>
  <si>
    <t>KS2235913</t>
  </si>
  <si>
    <t>KS2236731</t>
  </si>
  <si>
    <t>KS2237757</t>
  </si>
  <si>
    <t>KS2238178</t>
  </si>
  <si>
    <t>KS2239552</t>
  </si>
  <si>
    <t>KS2240232</t>
  </si>
  <si>
    <t>KS2241513</t>
  </si>
  <si>
    <t>KS2243252</t>
  </si>
  <si>
    <t>KS2245775</t>
  </si>
  <si>
    <t>KS2246890</t>
  </si>
  <si>
    <t>KS2247641</t>
  </si>
  <si>
    <t>KS2249899</t>
  </si>
  <si>
    <t>KS2250831</t>
  </si>
  <si>
    <t>KS2251969</t>
  </si>
  <si>
    <t>KS2252257</t>
  </si>
  <si>
    <t>KS2253575</t>
  </si>
  <si>
    <t>KS2254625</t>
  </si>
  <si>
    <t>KS2255575</t>
  </si>
  <si>
    <t>KS2256839</t>
  </si>
  <si>
    <t>KS2260136</t>
  </si>
  <si>
    <t>KS2261654</t>
  </si>
  <si>
    <t>KS2262454</t>
  </si>
  <si>
    <t>KS2268731</t>
  </si>
  <si>
    <t>KS2269189</t>
  </si>
  <si>
    <t>KS2271502</t>
  </si>
  <si>
    <t>KS2274801</t>
  </si>
  <si>
    <t>KS2275691</t>
  </si>
  <si>
    <t>KS2276849</t>
  </si>
  <si>
    <t>KS2277870</t>
  </si>
  <si>
    <t>KS2280871</t>
  </si>
  <si>
    <t>KS2281754</t>
  </si>
  <si>
    <t>KS2282941</t>
  </si>
  <si>
    <t>KS2283248</t>
  </si>
  <si>
    <t>KS2284772</t>
  </si>
  <si>
    <t>KS2285854</t>
  </si>
  <si>
    <t>KS2286367</t>
  </si>
  <si>
    <t>KS2287482</t>
  </si>
  <si>
    <t>KS3689273</t>
  </si>
  <si>
    <t>KS4021258</t>
  </si>
  <si>
    <t>KS4711996</t>
  </si>
  <si>
    <t>KS8334659</t>
  </si>
  <si>
    <t>KT1591537</t>
  </si>
  <si>
    <t>KT1695535</t>
  </si>
  <si>
    <t>KT1696390</t>
  </si>
  <si>
    <t>KT2443279</t>
  </si>
  <si>
    <t>KT6405840</t>
  </si>
  <si>
    <t>KT7568552</t>
  </si>
  <si>
    <t>KT8983910</t>
  </si>
  <si>
    <t>KT8986750</t>
  </si>
  <si>
    <t>KT9003916</t>
  </si>
  <si>
    <t>KT9015130</t>
  </si>
  <si>
    <t>KT9025787</t>
  </si>
  <si>
    <t>KT9028259</t>
  </si>
  <si>
    <t>KT9030154</t>
  </si>
  <si>
    <t>KT9031144</t>
  </si>
  <si>
    <t>KT9032816</t>
  </si>
  <si>
    <t>KT9045586</t>
  </si>
  <si>
    <t>KT9054972</t>
  </si>
  <si>
    <t>KT9065206</t>
  </si>
  <si>
    <t>KT9071178</t>
  </si>
  <si>
    <t>KT9081250</t>
  </si>
  <si>
    <t>KT9096667</t>
  </si>
  <si>
    <t>KT9100490</t>
  </si>
  <si>
    <t>KT9114614</t>
  </si>
  <si>
    <t>KT9135945</t>
  </si>
  <si>
    <t>KT9154537</t>
  </si>
  <si>
    <t>KU1236323</t>
  </si>
  <si>
    <t>M</t>
  </si>
  <si>
    <t>KU3347498</t>
  </si>
  <si>
    <t>KU4345149</t>
  </si>
  <si>
    <t>KU4427895</t>
  </si>
  <si>
    <t>KU6495783</t>
  </si>
  <si>
    <t>KU7287297</t>
  </si>
  <si>
    <t>KU7614584</t>
  </si>
  <si>
    <t>KU8427139</t>
  </si>
  <si>
    <t>KU8434122</t>
  </si>
  <si>
    <t>KU9701857</t>
  </si>
  <si>
    <t>KV1188908</t>
  </si>
  <si>
    <t>KV1189301</t>
  </si>
  <si>
    <t>KV1202564</t>
  </si>
  <si>
    <t>KV1759071</t>
  </si>
  <si>
    <t>KV3657260</t>
  </si>
  <si>
    <t>KV5424731</t>
  </si>
  <si>
    <t>KW7949634</t>
  </si>
  <si>
    <t>KW7950504</t>
  </si>
  <si>
    <t>KX1332924</t>
  </si>
  <si>
    <t>KX2381437</t>
  </si>
  <si>
    <t>KX3099165</t>
  </si>
  <si>
    <t>KX3667949</t>
  </si>
  <si>
    <t>KX5146361</t>
  </si>
  <si>
    <t>KY8879988</t>
  </si>
  <si>
    <t>KY8890816</t>
  </si>
  <si>
    <t>KY8892248</t>
  </si>
  <si>
    <t>LD1148426</t>
  </si>
  <si>
    <t>LD4198939</t>
  </si>
  <si>
    <t>LE4943243</t>
  </si>
  <si>
    <t>LE5737767</t>
  </si>
  <si>
    <t>LF2019336</t>
  </si>
  <si>
    <t>LF4402009</t>
  </si>
  <si>
    <t>LF5012228</t>
  </si>
  <si>
    <t>LF5017908</t>
  </si>
  <si>
    <t>LF5029330</t>
  </si>
  <si>
    <t>LH6223849</t>
  </si>
  <si>
    <t>LH9854541</t>
  </si>
  <si>
    <t>LH9896849</t>
  </si>
  <si>
    <t>LH9905522</t>
  </si>
  <si>
    <t>LJ2419398</t>
  </si>
  <si>
    <t>LJ3717810</t>
  </si>
  <si>
    <t>LK1696534</t>
  </si>
  <si>
    <t>LK1751855</t>
  </si>
  <si>
    <t>LL3332717</t>
  </si>
  <si>
    <t>LM1299931</t>
  </si>
  <si>
    <t>LM1309256</t>
  </si>
  <si>
    <t>LM1314392</t>
  </si>
  <si>
    <t>LM6150134</t>
  </si>
  <si>
    <t>LN4133144</t>
  </si>
  <si>
    <t>LO7939456</t>
  </si>
  <si>
    <t>LP4799083</t>
  </si>
  <si>
    <t>LQ1867572</t>
  </si>
  <si>
    <t>LQ9725238</t>
  </si>
  <si>
    <t>LR4187952</t>
  </si>
  <si>
    <t>LW1750922</t>
  </si>
  <si>
    <t>LX6095772</t>
  </si>
  <si>
    <t>LX6454657</t>
  </si>
  <si>
    <t>LZ2076915</t>
  </si>
  <si>
    <t>LZ6496481</t>
  </si>
  <si>
    <t>MA1276103</t>
  </si>
  <si>
    <t>MA2366570</t>
  </si>
  <si>
    <t>MA7423573</t>
  </si>
  <si>
    <t>MD6296999</t>
  </si>
  <si>
    <t>ME5464815</t>
  </si>
  <si>
    <t>ME9347952</t>
  </si>
  <si>
    <t>MF5998759</t>
  </si>
  <si>
    <t>MG4200157</t>
  </si>
  <si>
    <t>MG9106064</t>
  </si>
  <si>
    <t>MH2758191</t>
  </si>
  <si>
    <t>MI3569318</t>
  </si>
  <si>
    <t>MI5928774</t>
  </si>
  <si>
    <t>MK1253628</t>
  </si>
  <si>
    <t>MK2162455</t>
  </si>
  <si>
    <t>MK2957945</t>
  </si>
  <si>
    <t>MK3036591</t>
  </si>
  <si>
    <t>ML8389056</t>
  </si>
  <si>
    <t>MO3790464</t>
  </si>
  <si>
    <t>MO9812812</t>
  </si>
  <si>
    <t>MQ8899488</t>
  </si>
  <si>
    <t>MS9312356</t>
  </si>
  <si>
    <t>MU2696076</t>
  </si>
  <si>
    <t>MU9017124</t>
  </si>
  <si>
    <t>MV7631309</t>
  </si>
  <si>
    <t>MV9265953</t>
  </si>
  <si>
    <t>MW3653195</t>
  </si>
  <si>
    <t>MW4893078</t>
  </si>
  <si>
    <t>MY1314853</t>
  </si>
  <si>
    <t>NA5406175</t>
  </si>
  <si>
    <t>NB2043220</t>
  </si>
  <si>
    <t>NB2056355</t>
  </si>
  <si>
    <t>NB2059907</t>
  </si>
  <si>
    <t>NC3695838</t>
  </si>
  <si>
    <t>NC6433356</t>
  </si>
  <si>
    <t>ND4401035</t>
  </si>
  <si>
    <t>ND7312134</t>
  </si>
  <si>
    <t>NE6895719</t>
  </si>
  <si>
    <t>NF2007635</t>
  </si>
  <si>
    <t>NG4224162</t>
  </si>
  <si>
    <t>NG8701311</t>
  </si>
  <si>
    <t>NG8715214</t>
  </si>
  <si>
    <t>NH2296269</t>
  </si>
  <si>
    <t>NH6979549</t>
  </si>
  <si>
    <t>NH7002103</t>
  </si>
  <si>
    <t>NI6219435</t>
  </si>
  <si>
    <t>NJ4824265</t>
  </si>
  <si>
    <t>NL3338228</t>
  </si>
  <si>
    <t>NL8129930</t>
  </si>
  <si>
    <t>NL8168913</t>
  </si>
  <si>
    <t>NM4083181</t>
  </si>
  <si>
    <t>NM5562703</t>
  </si>
  <si>
    <t>NN4349421</t>
  </si>
  <si>
    <t>NO3286873</t>
  </si>
  <si>
    <t>NO3542803</t>
  </si>
  <si>
    <t>NP2742629</t>
  </si>
  <si>
    <t>NQ4965949</t>
  </si>
  <si>
    <t>NQ6930146</t>
  </si>
  <si>
    <t>NQ7833968</t>
  </si>
  <si>
    <t>NR6202212</t>
  </si>
  <si>
    <t>NR8303176</t>
  </si>
  <si>
    <t>NR9667995</t>
  </si>
  <si>
    <t>NS2465470</t>
  </si>
  <si>
    <t>NU4378655</t>
  </si>
  <si>
    <t>NU4380936</t>
  </si>
  <si>
    <t>NU4381632</t>
  </si>
  <si>
    <t>NU4382328</t>
  </si>
  <si>
    <t>NU4384911</t>
  </si>
  <si>
    <t>NU4386866</t>
  </si>
  <si>
    <t>NU4387844</t>
  </si>
  <si>
    <t>NU4388821</t>
  </si>
  <si>
    <t>NU4389799</t>
  </si>
  <si>
    <t>NU4390208</t>
  </si>
  <si>
    <t>NU4391401</t>
  </si>
  <si>
    <t>NU4392594</t>
  </si>
  <si>
    <t>NU7976483</t>
  </si>
  <si>
    <t>NU8558179</t>
  </si>
  <si>
    <t>NU8564140</t>
  </si>
  <si>
    <t>NV2604794</t>
  </si>
  <si>
    <t>NV3236739</t>
  </si>
  <si>
    <t>NV3239997</t>
  </si>
  <si>
    <t>NV3240787</t>
  </si>
  <si>
    <t>NV3241578</t>
  </si>
  <si>
    <t>NV3243478</t>
  </si>
  <si>
    <t>NV3244550</t>
  </si>
  <si>
    <t>NV3245621</t>
  </si>
  <si>
    <t>NV3246693</t>
  </si>
  <si>
    <t>NV3247764</t>
  </si>
  <si>
    <t>NV3250274</t>
  </si>
  <si>
    <t>NV3251560</t>
  </si>
  <si>
    <t>NV3252847</t>
  </si>
  <si>
    <t>NV3253246</t>
  </si>
  <si>
    <t>NV3254532</t>
  </si>
  <si>
    <t>NV3255819</t>
  </si>
  <si>
    <t>NV3256217</t>
  </si>
  <si>
    <t>NV3257322</t>
  </si>
  <si>
    <t>NV3259570</t>
  </si>
  <si>
    <t>NV3260250</t>
  </si>
  <si>
    <t>NV3262497</t>
  </si>
  <si>
    <t>NV3265283</t>
  </si>
  <si>
    <t>NV3266178</t>
  </si>
  <si>
    <t>NV3267961</t>
  </si>
  <si>
    <t>NV3268856</t>
  </si>
  <si>
    <t>NV3269751</t>
  </si>
  <si>
    <t>NV3272921</t>
  </si>
  <si>
    <t>NV3274385</t>
  </si>
  <si>
    <t>NV3275562</t>
  </si>
  <si>
    <t>NV3276738</t>
  </si>
  <si>
    <t>NV3277914</t>
  </si>
  <si>
    <t>NV3278599</t>
  </si>
  <si>
    <t>NV3279169</t>
  </si>
  <si>
    <t>NV3280627</t>
  </si>
  <si>
    <t>NV3281196</t>
  </si>
  <si>
    <t>NV3282654</t>
  </si>
  <si>
    <t>NV3283223</t>
  </si>
  <si>
    <t>NV3284681</t>
  </si>
  <si>
    <t>NV3285250</t>
  </si>
  <si>
    <t>NV3286643</t>
  </si>
  <si>
    <t>NV3288212</t>
  </si>
  <si>
    <t>NV3290669</t>
  </si>
  <si>
    <t>NV3291454</t>
  </si>
  <si>
    <t>NV3292133</t>
  </si>
  <si>
    <t>NV3293199</t>
  </si>
  <si>
    <t>NV3295331</t>
  </si>
  <si>
    <t>NV3297463</t>
  </si>
  <si>
    <t>NV3298529</t>
  </si>
  <si>
    <t>NV3299595</t>
  </si>
  <si>
    <t>NV3300120</t>
  </si>
  <si>
    <t>NV3301451</t>
  </si>
  <si>
    <t>NV3302782</t>
  </si>
  <si>
    <t>NV3303224</t>
  </si>
  <si>
    <t>NV3305886</t>
  </si>
  <si>
    <t>NV3306328</t>
  </si>
  <si>
    <t>NV3307333</t>
  </si>
  <si>
    <t>NV3308945</t>
  </si>
  <si>
    <t>NV3309669</t>
  </si>
  <si>
    <t>NV3310393</t>
  </si>
  <si>
    <t>NV3311117</t>
  </si>
  <si>
    <t>NV3312729</t>
  </si>
  <si>
    <t>NV3313453</t>
  </si>
  <si>
    <t>NV3314177</t>
  </si>
  <si>
    <t>NV3315745</t>
  </si>
  <si>
    <t>NV3316685</t>
  </si>
  <si>
    <t>NV3317624</t>
  </si>
  <si>
    <t>NV6364357</t>
  </si>
  <si>
    <t>NY2457103</t>
  </si>
  <si>
    <t>NY4639893</t>
  </si>
  <si>
    <t>NY4645857</t>
  </si>
  <si>
    <t>NY4646426</t>
  </si>
  <si>
    <t>NY8894077</t>
  </si>
  <si>
    <t>NZ2268456</t>
  </si>
  <si>
    <t>NZ5465526</t>
  </si>
  <si>
    <t>NZ5515428</t>
  </si>
  <si>
    <t>NZ8179928</t>
  </si>
  <si>
    <t>NZ8181966</t>
  </si>
  <si>
    <t>NZ8183806</t>
  </si>
  <si>
    <t>NZ8184613</t>
  </si>
  <si>
    <t>NZ8185419</t>
  </si>
  <si>
    <t>NZ8187920</t>
  </si>
  <si>
    <t>NZ8189533</t>
  </si>
  <si>
    <t>OA1874994</t>
  </si>
  <si>
    <t>OA1875200</t>
  </si>
  <si>
    <t>OA1877387</t>
  </si>
  <si>
    <t>OA1879575</t>
  </si>
  <si>
    <t>OA1880668</t>
  </si>
  <si>
    <t>OA1884208</t>
  </si>
  <si>
    <t>OA1885583</t>
  </si>
  <si>
    <t>OA1888820</t>
  </si>
  <si>
    <t>OA1889307</t>
  </si>
  <si>
    <t>OA1891200</t>
  </si>
  <si>
    <t>OA1892790</t>
  </si>
  <si>
    <t>OA1893492</t>
  </si>
  <si>
    <t>OA1897346</t>
  </si>
  <si>
    <t>OA1898329</t>
  </si>
  <si>
    <t>OA1899313</t>
  </si>
  <si>
    <t>OA1901280</t>
  </si>
  <si>
    <t>OA1902263</t>
  </si>
  <si>
    <t>OA1904230</t>
  </si>
  <si>
    <t>OA1905845</t>
  </si>
  <si>
    <t>OA1907486</t>
  </si>
  <si>
    <t>OA1910392</t>
  </si>
  <si>
    <t>OA1911657</t>
  </si>
  <si>
    <t>OA1912142</t>
  </si>
  <si>
    <t>OA1916285</t>
  </si>
  <si>
    <t>OA1917764</t>
  </si>
  <si>
    <t>OA1920839</t>
  </si>
  <si>
    <t>OA1924331</t>
  </si>
  <si>
    <t>OA1927571</t>
  </si>
  <si>
    <t>OA1928708</t>
  </si>
  <si>
    <t>OA1929846</t>
  </si>
  <si>
    <t>OA2077653</t>
  </si>
  <si>
    <t>OA2297553</t>
  </si>
  <si>
    <t>OA2303165</t>
  </si>
  <si>
    <t>OA5076566</t>
  </si>
  <si>
    <t>OB3266553</t>
  </si>
  <si>
    <t>OB3268818</t>
  </si>
  <si>
    <t>OB3269619</t>
  </si>
  <si>
    <t>OB3271967</t>
  </si>
  <si>
    <t>OB3272984</t>
  </si>
  <si>
    <t>OB3273967</t>
  </si>
  <si>
    <t>OB3274376</t>
  </si>
  <si>
    <t>OB3275674</t>
  </si>
  <si>
    <t>OB3558078</t>
  </si>
  <si>
    <t>OB3920845</t>
  </si>
  <si>
    <t>OB7165628</t>
  </si>
  <si>
    <t>OB9027252</t>
  </si>
  <si>
    <t>OC1206603</t>
  </si>
  <si>
    <t>OD5121550</t>
  </si>
  <si>
    <t>OD5831903</t>
  </si>
  <si>
    <t>OD6186402</t>
  </si>
  <si>
    <t>OE5581742</t>
  </si>
  <si>
    <t>OF3334358</t>
  </si>
  <si>
    <t>OF4014384</t>
  </si>
  <si>
    <t>OF6512720</t>
  </si>
  <si>
    <t>OF6513731</t>
  </si>
  <si>
    <t>OF6514742</t>
  </si>
  <si>
    <t>OF6515752</t>
  </si>
  <si>
    <t>OF6516763</t>
  </si>
  <si>
    <t>OF6517774</t>
  </si>
  <si>
    <t>OG3011471</t>
  </si>
  <si>
    <t>OH1332968</t>
  </si>
  <si>
    <t>OH6007670</t>
  </si>
  <si>
    <t>OH9682221</t>
  </si>
  <si>
    <t>OH9683844</t>
  </si>
  <si>
    <t>OJ1981115</t>
  </si>
  <si>
    <t>OJ3944005</t>
  </si>
  <si>
    <t>OK1052405</t>
  </si>
  <si>
    <t>OK4694323</t>
  </si>
  <si>
    <t>OK7778386</t>
  </si>
  <si>
    <t>OK7840954</t>
  </si>
  <si>
    <t>OK8142967</t>
  </si>
  <si>
    <t>OK9153097</t>
  </si>
  <si>
    <t>OK9490676</t>
  </si>
  <si>
    <t>OL6198953</t>
  </si>
  <si>
    <t>OL8056114</t>
  </si>
  <si>
    <t>OM2406713</t>
  </si>
  <si>
    <t>OM6144399</t>
  </si>
  <si>
    <t>OM7346990</t>
  </si>
  <si>
    <t>OM7358162</t>
  </si>
  <si>
    <t>OM7362976</t>
  </si>
  <si>
    <t>OM7394283</t>
  </si>
  <si>
    <t>OM7417126</t>
  </si>
  <si>
    <t>OM7420628</t>
  </si>
  <si>
    <t>OM7428525</t>
  </si>
  <si>
    <t>OM7438157</t>
  </si>
  <si>
    <t>OM7449958</t>
  </si>
  <si>
    <t>OM7471698</t>
  </si>
  <si>
    <t>OM7476535</t>
  </si>
  <si>
    <t>OM7517242</t>
  </si>
  <si>
    <t>OM7531363</t>
  </si>
  <si>
    <t>OM7551433</t>
  </si>
  <si>
    <t>OM7575934</t>
  </si>
  <si>
    <t>OM7582711</t>
  </si>
  <si>
    <t>OM7583495</t>
  </si>
  <si>
    <t>OM7607713</t>
  </si>
  <si>
    <t>OM7609590</t>
  </si>
  <si>
    <t>OM7628970</t>
  </si>
  <si>
    <t>OM7629606</t>
  </si>
  <si>
    <t>OM7638434</t>
  </si>
  <si>
    <t>OM7640908</t>
  </si>
  <si>
    <t>OM7661550</t>
  </si>
  <si>
    <t>OM7664991</t>
  </si>
  <si>
    <t>OM7665185</t>
  </si>
  <si>
    <t>OM7672944</t>
  </si>
  <si>
    <t>OM7682169</t>
  </si>
  <si>
    <t>OM7718853</t>
  </si>
  <si>
    <t>OM7763981</t>
  </si>
  <si>
    <t>OM7791672</t>
  </si>
  <si>
    <t>OM7792302</t>
  </si>
  <si>
    <t>OM7797281</t>
  </si>
  <si>
    <t>OM7841804</t>
  </si>
  <si>
    <t>OM7858965</t>
  </si>
  <si>
    <t>OM7861874</t>
  </si>
  <si>
    <t>OM7906818</t>
  </si>
  <si>
    <t>OM7915172</t>
  </si>
  <si>
    <t>OM7927562</t>
  </si>
  <si>
    <t>OM7935323</t>
  </si>
  <si>
    <t>OM7939485</t>
  </si>
  <si>
    <t>OM7961132</t>
  </si>
  <si>
    <t>OM8000538</t>
  </si>
  <si>
    <t>OM8010343</t>
  </si>
  <si>
    <t>OM8019675</t>
  </si>
  <si>
    <t>OM8025682</t>
  </si>
  <si>
    <t>OM8028948</t>
  </si>
  <si>
    <t>ON7404949</t>
  </si>
  <si>
    <t>ON7405949</t>
  </si>
  <si>
    <t>ON8672501</t>
  </si>
  <si>
    <t>ON9603859</t>
  </si>
  <si>
    <t>OO6392892</t>
  </si>
  <si>
    <t>OO6890482</t>
  </si>
  <si>
    <t>OP2574814</t>
  </si>
  <si>
    <t>OP6797169</t>
  </si>
  <si>
    <t>OP7540566</t>
  </si>
  <si>
    <t>OR2961944</t>
  </si>
  <si>
    <t>OR6208934</t>
  </si>
  <si>
    <t>OS4828507</t>
  </si>
  <si>
    <t>OS5215282</t>
  </si>
  <si>
    <t>OU2810614</t>
  </si>
  <si>
    <t>OU3086440</t>
  </si>
  <si>
    <t>OU3935451</t>
  </si>
  <si>
    <t>OU5397264</t>
  </si>
  <si>
    <t>OV1878613</t>
  </si>
  <si>
    <t>OV1896924</t>
  </si>
  <si>
    <t>OV1970768</t>
  </si>
  <si>
    <t>OV2069517</t>
  </si>
  <si>
    <t>OV7527353</t>
  </si>
  <si>
    <t>OV7706800</t>
  </si>
  <si>
    <t>OW4366175</t>
  </si>
  <si>
    <t xml:space="preserve">STEM    </t>
  </si>
  <si>
    <t>OX3575332</t>
  </si>
  <si>
    <t>OX3743973</t>
  </si>
  <si>
    <t>OX4247926</t>
  </si>
  <si>
    <t>OX5911139</t>
  </si>
  <si>
    <t>OX6442458</t>
  </si>
  <si>
    <t>OX7783606</t>
  </si>
  <si>
    <t>OY3112774</t>
  </si>
  <si>
    <t>OY3583389</t>
  </si>
  <si>
    <t>OY5466660</t>
  </si>
  <si>
    <t>OY6347254</t>
  </si>
  <si>
    <t>OZ1220773</t>
  </si>
  <si>
    <t>OZ2716465</t>
  </si>
  <si>
    <t>OZ4328836</t>
  </si>
  <si>
    <t>OZ4331759</t>
  </si>
  <si>
    <t>OZ9508949</t>
  </si>
  <si>
    <t>OZ9918756</t>
  </si>
  <si>
    <t>OZ9919298</t>
  </si>
  <si>
    <t>PA1840398</t>
  </si>
  <si>
    <t>PA5383177</t>
  </si>
  <si>
    <t>PA5593172</t>
  </si>
  <si>
    <t>PA7162698</t>
  </si>
  <si>
    <t>PA7163743</t>
  </si>
  <si>
    <t>PA7271215</t>
  </si>
  <si>
    <t>PA8374949</t>
  </si>
  <si>
    <t>PA8714414</t>
  </si>
  <si>
    <t>PA8735674</t>
  </si>
  <si>
    <t>PA8743254</t>
  </si>
  <si>
    <t>PA8776992</t>
  </si>
  <si>
    <t>PA9942264</t>
  </si>
  <si>
    <t>PB1701409</t>
  </si>
  <si>
    <t>PB1706791</t>
  </si>
  <si>
    <t>PB1834125</t>
  </si>
  <si>
    <t>PB1838538</t>
  </si>
  <si>
    <t>PB3776205</t>
  </si>
  <si>
    <t>PB3803686</t>
  </si>
  <si>
    <t>PB3900148</t>
  </si>
  <si>
    <t>PB7479327</t>
  </si>
  <si>
    <t>PC4980471</t>
  </si>
  <si>
    <t>PC5913743</t>
  </si>
  <si>
    <t>PC6393530</t>
  </si>
  <si>
    <t>PC9749306</t>
  </si>
  <si>
    <t>PD3355281</t>
  </si>
  <si>
    <t>PD3625612</t>
  </si>
  <si>
    <t>PE5061610</t>
  </si>
  <si>
    <t>PE5616190</t>
  </si>
  <si>
    <t>PF1362511</t>
  </si>
  <si>
    <t>PF5120723</t>
  </si>
  <si>
    <t>PF6837471</t>
  </si>
  <si>
    <t>PF6852229</t>
  </si>
  <si>
    <t>PG2040615</t>
  </si>
  <si>
    <t>PG3194935</t>
  </si>
  <si>
    <t>PG3195549</t>
  </si>
  <si>
    <t>PG3197665</t>
  </si>
  <si>
    <t>PG3198781</t>
  </si>
  <si>
    <t>PG3199897</t>
  </si>
  <si>
    <t>PG3200125</t>
  </si>
  <si>
    <t>PG3201241</t>
  </si>
  <si>
    <t>PG3204678</t>
  </si>
  <si>
    <t>PG3205121</t>
  </si>
  <si>
    <t>PG3206452</t>
  </si>
  <si>
    <t>PG3208226</t>
  </si>
  <si>
    <t>PG3209557</t>
  </si>
  <si>
    <t>PG3211331</t>
  </si>
  <si>
    <t>PG3212502</t>
  </si>
  <si>
    <t>PG3213226</t>
  </si>
  <si>
    <t>PG3214839</t>
  </si>
  <si>
    <t>PG3217899</t>
  </si>
  <si>
    <t>PG3218624</t>
  </si>
  <si>
    <t>PG3219536</t>
  </si>
  <si>
    <t>PG3221514</t>
  </si>
  <si>
    <t>PG3222503</t>
  </si>
  <si>
    <t>PG3224481</t>
  </si>
  <si>
    <t>PG3225470</t>
  </si>
  <si>
    <t>PG3226685</t>
  </si>
  <si>
    <t>PG3230878</t>
  </si>
  <si>
    <t>PG3231260</t>
  </si>
  <si>
    <t>PG3232531</t>
  </si>
  <si>
    <t>PG3233913</t>
  </si>
  <si>
    <t>PG3234510</t>
  </si>
  <si>
    <t>PG3235995</t>
  </si>
  <si>
    <t>PG3236593</t>
  </si>
  <si>
    <t>PG3237190</t>
  </si>
  <si>
    <t>PG3238675</t>
  </si>
  <si>
    <t>PG3239273</t>
  </si>
  <si>
    <t>PG3241361</t>
  </si>
  <si>
    <t>PG3242240</t>
  </si>
  <si>
    <t>PG3243118</t>
  </si>
  <si>
    <t>PG3244885</t>
  </si>
  <si>
    <t>PG3245764</t>
  </si>
  <si>
    <t>PG3246642</t>
  </si>
  <si>
    <t>PG3247980</t>
  </si>
  <si>
    <t>PG3248186</t>
  </si>
  <si>
    <t>PG3249280</t>
  </si>
  <si>
    <t>PG3250373</t>
  </si>
  <si>
    <t>PG3251467</t>
  </si>
  <si>
    <t>PG3252561</t>
  </si>
  <si>
    <t>PG3254748</t>
  </si>
  <si>
    <t>PG3256721</t>
  </si>
  <si>
    <t>PG3257208</t>
  </si>
  <si>
    <t>PG3258583</t>
  </si>
  <si>
    <t>PG3261820</t>
  </si>
  <si>
    <t>PG3262891</t>
  </si>
  <si>
    <t>PG3263660</t>
  </si>
  <si>
    <t>PG3264428</t>
  </si>
  <si>
    <t>PG3265196</t>
  </si>
  <si>
    <t>PG3267621</t>
  </si>
  <si>
    <t>PG3268389</t>
  </si>
  <si>
    <t>PG3269157</t>
  </si>
  <si>
    <t>PG3270892</t>
  </si>
  <si>
    <t>PG3271876</t>
  </si>
  <si>
    <t>PG3272859</t>
  </si>
  <si>
    <t>PG3273842</t>
  </si>
  <si>
    <t>PG3274826</t>
  </si>
  <si>
    <t>PG3864510</t>
  </si>
  <si>
    <t>PG3865451</t>
  </si>
  <si>
    <t>PG4532767</t>
  </si>
  <si>
    <t>PG8703953</t>
  </si>
  <si>
    <t>PG9459625</t>
  </si>
  <si>
    <t>PG9460862</t>
  </si>
  <si>
    <t>PG9461211</t>
  </si>
  <si>
    <t>PG9462457</t>
  </si>
  <si>
    <t>PG9463975</t>
  </si>
  <si>
    <t>PG9464605</t>
  </si>
  <si>
    <t>PG9466753</t>
  </si>
  <si>
    <t>PG9467383</t>
  </si>
  <si>
    <t>PG9469790</t>
  </si>
  <si>
    <t>PG9470635</t>
  </si>
  <si>
    <t>PG9472326</t>
  </si>
  <si>
    <t>PG9473171</t>
  </si>
  <si>
    <t>PG9474904</t>
  </si>
  <si>
    <t>PG9475749</t>
  </si>
  <si>
    <t>PG9477228</t>
  </si>
  <si>
    <t>PG9478354</t>
  </si>
  <si>
    <t>PG9479481</t>
  </si>
  <si>
    <t>PG9480607</t>
  </si>
  <si>
    <t>PG9481733</t>
  </si>
  <si>
    <t>PG9482860</t>
  </si>
  <si>
    <t>PG9483986</t>
  </si>
  <si>
    <t>PH1262903</t>
  </si>
  <si>
    <t>PH1264284</t>
  </si>
  <si>
    <t>PH1393521</t>
  </si>
  <si>
    <t>PH1397917</t>
  </si>
  <si>
    <t>PH1398608</t>
  </si>
  <si>
    <t>PH1399299</t>
  </si>
  <si>
    <t>PH1400878</t>
  </si>
  <si>
    <t>PH1401569</t>
  </si>
  <si>
    <t>PH1402260</t>
  </si>
  <si>
    <t>PH1404589</t>
  </si>
  <si>
    <t>PH1405545</t>
  </si>
  <si>
    <t>PH1406501</t>
  </si>
  <si>
    <t>PH1407457</t>
  </si>
  <si>
    <t>PH1408412</t>
  </si>
  <si>
    <t>PH1928343</t>
  </si>
  <si>
    <t>PH1930448</t>
  </si>
  <si>
    <t>PH1931944</t>
  </si>
  <si>
    <t>PH1934176</t>
  </si>
  <si>
    <t>PH1936711</t>
  </si>
  <si>
    <t>PH1937534</t>
  </si>
  <si>
    <t>PH1938358</t>
  </si>
  <si>
    <t>PH1943625</t>
  </si>
  <si>
    <t>PH1944730</t>
  </si>
  <si>
    <t>PH1948154</t>
  </si>
  <si>
    <t>PH1949540</t>
  </si>
  <si>
    <t>PH1952810</t>
  </si>
  <si>
    <t>PH1955675</t>
  </si>
  <si>
    <t>PH1964711</t>
  </si>
  <si>
    <t>PH1966699</t>
  </si>
  <si>
    <t>PH1970393</t>
  </si>
  <si>
    <t>PH1977489</t>
  </si>
  <si>
    <t>PH1978142</t>
  </si>
  <si>
    <t>PH1979682</t>
  </si>
  <si>
    <t>PH4434896</t>
  </si>
  <si>
    <t>PH4435428</t>
  </si>
  <si>
    <t>PH5680860</t>
  </si>
  <si>
    <t>PH7868967</t>
  </si>
  <si>
    <t>PI3278555</t>
  </si>
  <si>
    <t>PJ2404807</t>
  </si>
  <si>
    <t>PJ6017054</t>
  </si>
  <si>
    <t>PK8801892</t>
  </si>
  <si>
    <t>PK8807350</t>
  </si>
  <si>
    <t>PL4114842</t>
  </si>
  <si>
    <t>PL4116952</t>
  </si>
  <si>
    <t>PL4118226</t>
  </si>
  <si>
    <t>PL4119496</t>
  </si>
  <si>
    <t>PL4121148</t>
  </si>
  <si>
    <t>PL4122418</t>
  </si>
  <si>
    <t>PL4635588</t>
  </si>
  <si>
    <t>PM3772658</t>
  </si>
  <si>
    <t>PM5784484</t>
  </si>
  <si>
    <t>PM5785114</t>
  </si>
  <si>
    <t>PM6101099</t>
  </si>
  <si>
    <t>PN4211856</t>
  </si>
  <si>
    <t>PN4215711</t>
  </si>
  <si>
    <t>PN9016540</t>
  </si>
  <si>
    <t>PN9023686</t>
  </si>
  <si>
    <t>PN9487474</t>
  </si>
  <si>
    <t>PO8373208</t>
  </si>
  <si>
    <t>PO8375511</t>
  </si>
  <si>
    <t>PP3476594</t>
  </si>
  <si>
    <t>PP5353897</t>
  </si>
  <si>
    <t>PP7902614</t>
  </si>
  <si>
    <t>PQ4292475</t>
  </si>
  <si>
    <t>PQ4295688</t>
  </si>
  <si>
    <t>PQ4301532</t>
  </si>
  <si>
    <t>PQ4311973</t>
  </si>
  <si>
    <t>PQ4313271</t>
  </si>
  <si>
    <t>PQ4321567</t>
  </si>
  <si>
    <t>PQ4332450</t>
  </si>
  <si>
    <t>PQ4334653</t>
  </si>
  <si>
    <t>PQ4340173</t>
  </si>
  <si>
    <t>PQ4347573</t>
  </si>
  <si>
    <t>PQ8153410</t>
  </si>
  <si>
    <t>PQ8153663</t>
  </si>
  <si>
    <t>PQ8155688</t>
  </si>
  <si>
    <t>PQ8167119</t>
  </si>
  <si>
    <t>PQ8169438</t>
  </si>
  <si>
    <t>PQ8196802</t>
  </si>
  <si>
    <t>PQ8210988</t>
  </si>
  <si>
    <t>PQ8214926</t>
  </si>
  <si>
    <t>PQ8217715</t>
  </si>
  <si>
    <t>PQ8223395</t>
  </si>
  <si>
    <t>PR3651193</t>
  </si>
  <si>
    <t>PR3675720</t>
  </si>
  <si>
    <t>PR3680658</t>
  </si>
  <si>
    <t>PR3683171</t>
  </si>
  <si>
    <t>PR3688401</t>
  </si>
  <si>
    <t>PR3689665</t>
  </si>
  <si>
    <t>PR3693779</t>
  </si>
  <si>
    <t>PR3694437</t>
  </si>
  <si>
    <t>PR3695221</t>
  </si>
  <si>
    <t>PR3701765</t>
  </si>
  <si>
    <t>PR3722176</t>
  </si>
  <si>
    <t>PR3759138</t>
  </si>
  <si>
    <t>PR3765653</t>
  </si>
  <si>
    <t>PR3781559</t>
  </si>
  <si>
    <t>PR3785799</t>
  </si>
  <si>
    <t>PR3788135</t>
  </si>
  <si>
    <t>PR3793789</t>
  </si>
  <si>
    <t>PR3812292</t>
  </si>
  <si>
    <t>PR3818672</t>
  </si>
  <si>
    <t>PR3840233</t>
  </si>
  <si>
    <t>PR3845225</t>
  </si>
  <si>
    <t>PR3846490</t>
  </si>
  <si>
    <t>PR3852455</t>
  </si>
  <si>
    <t>PR3867470</t>
  </si>
  <si>
    <t>PR3868840</t>
  </si>
  <si>
    <t>PR3882425</t>
  </si>
  <si>
    <t>PR3883775</t>
  </si>
  <si>
    <t>PR9562052</t>
  </si>
  <si>
    <t>PT8568691</t>
  </si>
  <si>
    <t>PT8642286</t>
  </si>
  <si>
    <t>PU2145193</t>
  </si>
  <si>
    <t>PU2405846</t>
  </si>
  <si>
    <t>PU5574519</t>
  </si>
  <si>
    <t>PU9238607</t>
  </si>
  <si>
    <t>PW4429147</t>
  </si>
  <si>
    <t>PW8449239</t>
  </si>
  <si>
    <t>PX6079648</t>
  </si>
  <si>
    <t>PX9077621</t>
  </si>
  <si>
    <t>PY6262552</t>
  </si>
  <si>
    <t>PZ2406172</t>
  </si>
  <si>
    <t>PZ2417224</t>
  </si>
  <si>
    <t>PZ8807698</t>
  </si>
  <si>
    <t>QA1220808</t>
  </si>
  <si>
    <t>QA1975433</t>
  </si>
  <si>
    <t>QA4794925</t>
  </si>
  <si>
    <t>QA7461751</t>
  </si>
  <si>
    <t>QA8604543</t>
  </si>
  <si>
    <t>QB2723881</t>
  </si>
  <si>
    <t>QB6907814</t>
  </si>
  <si>
    <t>QB7419617</t>
  </si>
  <si>
    <t>QB8868622</t>
  </si>
  <si>
    <t>QC5334593</t>
  </si>
  <si>
    <t>QC6148651</t>
  </si>
  <si>
    <t>QC8112872</t>
  </si>
  <si>
    <t>QD8100157</t>
  </si>
  <si>
    <t>QF1992315</t>
  </si>
  <si>
    <t>QF1996572</t>
  </si>
  <si>
    <t>QF2000754</t>
  </si>
  <si>
    <t>QF2001577</t>
  </si>
  <si>
    <t>QF2007376</t>
  </si>
  <si>
    <t>QF2008986</t>
  </si>
  <si>
    <t>QF2010737</t>
  </si>
  <si>
    <t>QF2028855</t>
  </si>
  <si>
    <t>QF2031595</t>
  </si>
  <si>
    <t>QF2035399</t>
  </si>
  <si>
    <t>QF2039586</t>
  </si>
  <si>
    <t>QF2045765</t>
  </si>
  <si>
    <t>QF3435571</t>
  </si>
  <si>
    <t>QG2185469</t>
  </si>
  <si>
    <t>QG2188127</t>
  </si>
  <si>
    <t>QG2217509</t>
  </si>
  <si>
    <t>QG2230994</t>
  </si>
  <si>
    <t>QG2232161</t>
  </si>
  <si>
    <t>QG2233950</t>
  </si>
  <si>
    <t>QG2236651</t>
  </si>
  <si>
    <t>QG2237371</t>
  </si>
  <si>
    <t>QG2240718</t>
  </si>
  <si>
    <t>QG2242139</t>
  </si>
  <si>
    <t>QG2244933</t>
  </si>
  <si>
    <t>QG2247347</t>
  </si>
  <si>
    <t>QG2248839</t>
  </si>
  <si>
    <t>QG2260926</t>
  </si>
  <si>
    <t>QG2263848</t>
  </si>
  <si>
    <t>QG2265831</t>
  </si>
  <si>
    <t>QG2279360</t>
  </si>
  <si>
    <t>QG2281183</t>
  </si>
  <si>
    <t>QG2285171</t>
  </si>
  <si>
    <t>QG2289507</t>
  </si>
  <si>
    <t>QG2290275</t>
  </si>
  <si>
    <t>QG2293682</t>
  </si>
  <si>
    <t>QG2296830</t>
  </si>
  <si>
    <t>QG2299367</t>
  </si>
  <si>
    <t>QG2300681</t>
  </si>
  <si>
    <t>QG2301995</t>
  </si>
  <si>
    <t>QG2303735</t>
  </si>
  <si>
    <t>QG2305513</t>
  </si>
  <si>
    <t>QG2314942</t>
  </si>
  <si>
    <t>QG2322194</t>
  </si>
  <si>
    <t>QG2331622</t>
  </si>
  <si>
    <t>QG2336449</t>
  </si>
  <si>
    <t>QG2340409</t>
  </si>
  <si>
    <t>QG2344953</t>
  </si>
  <si>
    <t>QG2347401</t>
  </si>
  <si>
    <t>QG2349693</t>
  </si>
  <si>
    <t>QG2350395</t>
  </si>
  <si>
    <t>QG2353752</t>
  </si>
  <si>
    <t>QG2357618</t>
  </si>
  <si>
    <t>QG2358435</t>
  </si>
  <si>
    <t>QG2359683</t>
  </si>
  <si>
    <t>QG2366681</t>
  </si>
  <si>
    <t>QG2372143</t>
  </si>
  <si>
    <t>QG2382795</t>
  </si>
  <si>
    <t>QG2386429</t>
  </si>
  <si>
    <t>QG2391669</t>
  </si>
  <si>
    <t>QG2392415</t>
  </si>
  <si>
    <t>QG2393458</t>
  </si>
  <si>
    <t>QG2399361</t>
  </si>
  <si>
    <t>QG2402348</t>
  </si>
  <si>
    <t>QG2403640</t>
  </si>
  <si>
    <t>QG2406391</t>
  </si>
  <si>
    <t>QG2412713</t>
  </si>
  <si>
    <t>QG2415414</t>
  </si>
  <si>
    <t>QG2416314</t>
  </si>
  <si>
    <t>QG2419151</t>
  </si>
  <si>
    <t>QG2429549</t>
  </si>
  <si>
    <t>QG2431781</t>
  </si>
  <si>
    <t>QG2436609</t>
  </si>
  <si>
    <t>QG2437989</t>
  </si>
  <si>
    <t>QG2439863</t>
  </si>
  <si>
    <t>QG2440355</t>
  </si>
  <si>
    <t>QG2445245</t>
  </si>
  <si>
    <t>QG2464948</t>
  </si>
  <si>
    <t>QG2468825</t>
  </si>
  <si>
    <t>QG2472289</t>
  </si>
  <si>
    <t>QG2473449</t>
  </si>
  <si>
    <t>QG2476928</t>
  </si>
  <si>
    <t>QG2477140</t>
  </si>
  <si>
    <t>QG2479890</t>
  </si>
  <si>
    <t>QG2483993</t>
  </si>
  <si>
    <t>QG2489451</t>
  </si>
  <si>
    <t>QG2490484</t>
  </si>
  <si>
    <t>QG2497592</t>
  </si>
  <si>
    <t>QG2501735</t>
  </si>
  <si>
    <t>QG2507385</t>
  </si>
  <si>
    <t>QG2508308</t>
  </si>
  <si>
    <t>QG2523188</t>
  </si>
  <si>
    <t>QG4139162</t>
  </si>
  <si>
    <t>QG8998417</t>
  </si>
  <si>
    <t>QG9001347</t>
  </si>
  <si>
    <t>QG9003716</t>
  </si>
  <si>
    <t>QG9016686</t>
  </si>
  <si>
    <t>QG9018272</t>
  </si>
  <si>
    <t>QG9019509</t>
  </si>
  <si>
    <t>QG9024836</t>
  </si>
  <si>
    <t>QG9028397</t>
  </si>
  <si>
    <t>QG9032667</t>
  </si>
  <si>
    <t>QG9033512</t>
  </si>
  <si>
    <t>QG9047569</t>
  </si>
  <si>
    <t>QH4844329</t>
  </si>
  <si>
    <t>QH4845356</t>
  </si>
  <si>
    <t>QH4846384</t>
  </si>
  <si>
    <t>QH4882512</t>
  </si>
  <si>
    <t>QH4935340</t>
  </si>
  <si>
    <t>QH4937113</t>
  </si>
  <si>
    <t>QH4938444</t>
  </si>
  <si>
    <t>QH4954488</t>
  </si>
  <si>
    <t>QH4960922</t>
  </si>
  <si>
    <t>QH4966774</t>
  </si>
  <si>
    <t>QH4981172</t>
  </si>
  <si>
    <t>QH5129535</t>
  </si>
  <si>
    <t>QH5686735</t>
  </si>
  <si>
    <t>QH8545305</t>
  </si>
  <si>
    <t>QH8783255</t>
  </si>
  <si>
    <t>QI2780356</t>
  </si>
  <si>
    <t>QI2784658</t>
  </si>
  <si>
    <t>QI2807272</t>
  </si>
  <si>
    <t>QI2810602</t>
  </si>
  <si>
    <t>QI2811712</t>
  </si>
  <si>
    <t>QI2820889</t>
  </si>
  <si>
    <t>QI2821607</t>
  </si>
  <si>
    <t>QI2825726</t>
  </si>
  <si>
    <t>QI2827692</t>
  </si>
  <si>
    <t>QI2832237</t>
  </si>
  <si>
    <t>QI2838637</t>
  </si>
  <si>
    <t>QI2846951</t>
  </si>
  <si>
    <t>QI2847217</t>
  </si>
  <si>
    <t>QI2848371</t>
  </si>
  <si>
    <t>QI2849525</t>
  </si>
  <si>
    <t>QI2864802</t>
  </si>
  <si>
    <t>QI2865829</t>
  </si>
  <si>
    <t>QI2870627</t>
  </si>
  <si>
    <t>QI2877220</t>
  </si>
  <si>
    <t>QI2880713</t>
  </si>
  <si>
    <t>QI2908651</t>
  </si>
  <si>
    <t>QI2945426</t>
  </si>
  <si>
    <t>QI2947557</t>
  </si>
  <si>
    <t>QI2949372</t>
  </si>
  <si>
    <t>QI2982696</t>
  </si>
  <si>
    <t>QI3024225</t>
  </si>
  <si>
    <t>QI3043600</t>
  </si>
  <si>
    <t>QI3046820</t>
  </si>
  <si>
    <t>QI3047823</t>
  </si>
  <si>
    <t>QI3055763</t>
  </si>
  <si>
    <t>QI3059159</t>
  </si>
  <si>
    <t>QI3063241</t>
  </si>
  <si>
    <t>QI3065182</t>
  </si>
  <si>
    <t>QI3075649</t>
  </si>
  <si>
    <t>QI7392874</t>
  </si>
  <si>
    <t>QI7436148</t>
  </si>
  <si>
    <t>QJ3869277</t>
  </si>
  <si>
    <t>QJ4355816</t>
  </si>
  <si>
    <t>QJ5234410</t>
  </si>
  <si>
    <t>QJ9549158</t>
  </si>
  <si>
    <t>QK4165393</t>
  </si>
  <si>
    <t>QL1381569</t>
  </si>
  <si>
    <t>QL3729090</t>
  </si>
  <si>
    <t>QL4564147</t>
  </si>
  <si>
    <t>QL9908535</t>
  </si>
  <si>
    <t>QL9946670</t>
  </si>
  <si>
    <t>QM1085170</t>
  </si>
  <si>
    <t>QM2207214</t>
  </si>
  <si>
    <t>QM9531582</t>
  </si>
  <si>
    <t>QN7681874</t>
  </si>
  <si>
    <t>QN7682779</t>
  </si>
  <si>
    <t>QN7686248</t>
  </si>
  <si>
    <t>QN7687452</t>
  </si>
  <si>
    <t>QN7717978</t>
  </si>
  <si>
    <t>QN7804487</t>
  </si>
  <si>
    <t>QN7834352</t>
  </si>
  <si>
    <t>QN7855809</t>
  </si>
  <si>
    <t>QN7883308</t>
  </si>
  <si>
    <t>QN7924736</t>
  </si>
  <si>
    <t>QN7940745</t>
  </si>
  <si>
    <t>QO2282531</t>
  </si>
  <si>
    <t>QO8703789</t>
  </si>
  <si>
    <t>QO8771643</t>
  </si>
  <si>
    <t>QO8777177</t>
  </si>
  <si>
    <t>QO8779512</t>
  </si>
  <si>
    <t>QO8781428</t>
  </si>
  <si>
    <t>QO8785449</t>
  </si>
  <si>
    <t>QO8815692</t>
  </si>
  <si>
    <t>QO8881168</t>
  </si>
  <si>
    <t>QO8888527</t>
  </si>
  <si>
    <t>QO8889646</t>
  </si>
  <si>
    <t>QQ2612550</t>
  </si>
  <si>
    <t>QQ5524782</t>
  </si>
  <si>
    <t>QQ5586121</t>
  </si>
  <si>
    <t>QR7567216</t>
  </si>
  <si>
    <t>QR8470164</t>
  </si>
  <si>
    <t>QR8472847</t>
  </si>
  <si>
    <t>QR8474797</t>
  </si>
  <si>
    <t>QR8478127</t>
  </si>
  <si>
    <t>QR8489882</t>
  </si>
  <si>
    <t>QR8490909</t>
  </si>
  <si>
    <t>QR8492781</t>
  </si>
  <si>
    <t>QR8495819</t>
  </si>
  <si>
    <t>QR8496240</t>
  </si>
  <si>
    <t>QR8499861</t>
  </si>
  <si>
    <t>QR8500547</t>
  </si>
  <si>
    <t>QR8503485</t>
  </si>
  <si>
    <t>QS9600737</t>
  </si>
  <si>
    <t>QT2363538</t>
  </si>
  <si>
    <t>QT2364152</t>
  </si>
  <si>
    <t>QT9105226</t>
  </si>
  <si>
    <t>QU5536217</t>
  </si>
  <si>
    <t>QU5689714</t>
  </si>
  <si>
    <t>QV3173967</t>
  </si>
  <si>
    <t>QV3174917</t>
  </si>
  <si>
    <t>QV9776301</t>
  </si>
  <si>
    <t>QW6181151</t>
  </si>
  <si>
    <t>QX1472251</t>
  </si>
  <si>
    <t>QX3090461</t>
  </si>
  <si>
    <t>QX3091990</t>
  </si>
  <si>
    <t>QX6591673</t>
  </si>
  <si>
    <t>QY6031115</t>
  </si>
  <si>
    <t>QY6042765</t>
  </si>
  <si>
    <t>QY6073833</t>
  </si>
  <si>
    <t>QY9451116</t>
  </si>
  <si>
    <t>QY9703735</t>
  </si>
  <si>
    <t>QZ4191948</t>
  </si>
  <si>
    <t>QZ5327493</t>
  </si>
  <si>
    <t>QZ7044434</t>
  </si>
  <si>
    <t>RA1520555</t>
  </si>
  <si>
    <t>RA1779277</t>
  </si>
  <si>
    <t>RA3004552</t>
  </si>
  <si>
    <t>RA6494825</t>
  </si>
  <si>
    <t>RA9988773</t>
  </si>
  <si>
    <t>RB2731356</t>
  </si>
  <si>
    <t>RB7805196</t>
  </si>
  <si>
    <t>RC1331896</t>
  </si>
  <si>
    <t>RC5624747</t>
  </si>
  <si>
    <t>RD4555397</t>
  </si>
  <si>
    <t>RE9112267</t>
  </si>
  <si>
    <t>RF1009451</t>
  </si>
  <si>
    <t>RF9387533</t>
  </si>
  <si>
    <t>RG4483741</t>
  </si>
  <si>
    <t>RH9124574</t>
  </si>
  <si>
    <t>RH9135072</t>
  </si>
  <si>
    <t>RI6966633</t>
  </si>
  <si>
    <t>RI7474043</t>
  </si>
  <si>
    <t>RI9666656</t>
  </si>
  <si>
    <t>RJ6175987</t>
  </si>
  <si>
    <t>RJ6176684</t>
  </si>
  <si>
    <t>RJ6377815</t>
  </si>
  <si>
    <t>RJ6463807</t>
  </si>
  <si>
    <t>RK4551946</t>
  </si>
  <si>
    <t>RK8021916</t>
  </si>
  <si>
    <t>RK9695772</t>
  </si>
  <si>
    <t>RL5728251</t>
  </si>
  <si>
    <t>RL5733950</t>
  </si>
  <si>
    <t>RL5749195</t>
  </si>
  <si>
    <t>RL5755805</t>
  </si>
  <si>
    <t>RL5758186</t>
  </si>
  <si>
    <t>RL5764598</t>
  </si>
  <si>
    <t>RL5765377</t>
  </si>
  <si>
    <t>RL5767348</t>
  </si>
  <si>
    <t>RL5774676</t>
  </si>
  <si>
    <t>RL5776438</t>
  </si>
  <si>
    <t>RL5777764</t>
  </si>
  <si>
    <t>RL5782679</t>
  </si>
  <si>
    <t>RL5784871</t>
  </si>
  <si>
    <t>RL5785523</t>
  </si>
  <si>
    <t>RL5886436</t>
  </si>
  <si>
    <t>RM4093648</t>
  </si>
  <si>
    <t>RM4100717</t>
  </si>
  <si>
    <t>RM4122536</t>
  </si>
  <si>
    <t>RM4141634</t>
  </si>
  <si>
    <t>RM4148570</t>
  </si>
  <si>
    <t>RM4157890</t>
  </si>
  <si>
    <t>RM4159766</t>
  </si>
  <si>
    <t>RM4162578</t>
  </si>
  <si>
    <t>RM4165888</t>
  </si>
  <si>
    <t>RM4175761</t>
  </si>
  <si>
    <t>RM4182167</t>
  </si>
  <si>
    <t>RM4183586</t>
  </si>
  <si>
    <t>RM4186256</t>
  </si>
  <si>
    <t>RM4190394</t>
  </si>
  <si>
    <t>RM4198379</t>
  </si>
  <si>
    <t>RM4199737</t>
  </si>
  <si>
    <t>RM4200208</t>
  </si>
  <si>
    <t>RM4205485</t>
  </si>
  <si>
    <t>RM4209115</t>
  </si>
  <si>
    <t>RM4211490</t>
  </si>
  <si>
    <t>RM4213424</t>
  </si>
  <si>
    <t>RM4215357</t>
  </si>
  <si>
    <t>RM4221424</t>
  </si>
  <si>
    <t>RM4223920</t>
  </si>
  <si>
    <t>RM4229728</t>
  </si>
  <si>
    <t>RM4236463</t>
  </si>
  <si>
    <t>RM4248127</t>
  </si>
  <si>
    <t>RM4253165</t>
  </si>
  <si>
    <t>RM4261638</t>
  </si>
  <si>
    <t>RM4264303</t>
  </si>
  <si>
    <t>RM4270771</t>
  </si>
  <si>
    <t>RM4271230</t>
  </si>
  <si>
    <t>RM4272738</t>
  </si>
  <si>
    <t>RM4281245</t>
  </si>
  <si>
    <t>RM4283934</t>
  </si>
  <si>
    <t>RM4295481</t>
  </si>
  <si>
    <t>RM4303314</t>
  </si>
  <si>
    <t>RM4313379</t>
  </si>
  <si>
    <t>RM4319527</t>
  </si>
  <si>
    <t>RM4322404</t>
  </si>
  <si>
    <t>RM4323608</t>
  </si>
  <si>
    <t>RM4326442</t>
  </si>
  <si>
    <t>RM5267453</t>
  </si>
  <si>
    <t>RN1708497</t>
  </si>
  <si>
    <t>RN1766965</t>
  </si>
  <si>
    <t>RN1786375</t>
  </si>
  <si>
    <t>RN1932145</t>
  </si>
  <si>
    <t>RN1954648</t>
  </si>
  <si>
    <t>RN1957131</t>
  </si>
  <si>
    <t>RN1958727</t>
  </si>
  <si>
    <t>RN1973516</t>
  </si>
  <si>
    <t>RN1996240</t>
  </si>
  <si>
    <t>RN1998736</t>
  </si>
  <si>
    <t>RN2012529</t>
  </si>
  <si>
    <t>RN2015768</t>
  </si>
  <si>
    <t>RN2018803</t>
  </si>
  <si>
    <t>RN2023638</t>
  </si>
  <si>
    <t>RN2027264</t>
  </si>
  <si>
    <t>RN2030252</t>
  </si>
  <si>
    <t>RN2036668</t>
  </si>
  <si>
    <t>RN2037569</t>
  </si>
  <si>
    <t>RN2043502</t>
  </si>
  <si>
    <t>RN2053360</t>
  </si>
  <si>
    <t>RN2066662</t>
  </si>
  <si>
    <t>RN2071993</t>
  </si>
  <si>
    <t>RN2072656</t>
  </si>
  <si>
    <t>RN2078934</t>
  </si>
  <si>
    <t>RN2080711</t>
  </si>
  <si>
    <t>RN2084796</t>
  </si>
  <si>
    <t>RN2087294</t>
  </si>
  <si>
    <t>RN2101735</t>
  </si>
  <si>
    <t>RN2103125</t>
  </si>
  <si>
    <t>RN2105428</t>
  </si>
  <si>
    <t>RN2124802</t>
  </si>
  <si>
    <t>RN2126956</t>
  </si>
  <si>
    <t>RN2127145</t>
  </si>
  <si>
    <t>RN2130516</t>
  </si>
  <si>
    <t>RN2171671</t>
  </si>
  <si>
    <t>RN2177887</t>
  </si>
  <si>
    <t>RN2184230</t>
  </si>
  <si>
    <t>RN2186728</t>
  </si>
  <si>
    <t>RN2203349</t>
  </si>
  <si>
    <t>RN2209608</t>
  </si>
  <si>
    <t>RN2228896</t>
  </si>
  <si>
    <t>RN2237769</t>
  </si>
  <si>
    <t>RN2259314</t>
  </si>
  <si>
    <t>RN2293688</t>
  </si>
  <si>
    <t>RN2309871</t>
  </si>
  <si>
    <t>RN2322530</t>
  </si>
  <si>
    <t>RN2345947</t>
  </si>
  <si>
    <t>RN2349220</t>
  </si>
  <si>
    <t>RN2352567</t>
  </si>
  <si>
    <t>RN2357451</t>
  </si>
  <si>
    <t>RN2358379</t>
  </si>
  <si>
    <t>RN2363672</t>
  </si>
  <si>
    <t>RN2366661</t>
  </si>
  <si>
    <t>RN2368219</t>
  </si>
  <si>
    <t>RN2369925</t>
  </si>
  <si>
    <t>RN2374893</t>
  </si>
  <si>
    <t>RN2387671</t>
  </si>
  <si>
    <t>RN2406338</t>
  </si>
  <si>
    <t>RN2412772</t>
  </si>
  <si>
    <t>RN2414275</t>
  </si>
  <si>
    <t>RN2421941</t>
  </si>
  <si>
    <t>RN2424565</t>
  </si>
  <si>
    <t>RN2425190</t>
  </si>
  <si>
    <t>RN2451762</t>
  </si>
  <si>
    <t>RN2454750</t>
  </si>
  <si>
    <t>RN2464482</t>
  </si>
  <si>
    <t>RN2483347</t>
  </si>
  <si>
    <t>RN2491228</t>
  </si>
  <si>
    <t>RN2505828</t>
  </si>
  <si>
    <t>RN2510384</t>
  </si>
  <si>
    <t>RN2514692</t>
  </si>
  <si>
    <t>RN2522234</t>
  </si>
  <si>
    <t>RN2536182</t>
  </si>
  <si>
    <t>RN2537931</t>
  </si>
  <si>
    <t>RN2539399</t>
  </si>
  <si>
    <t>RN2540542</t>
  </si>
  <si>
    <t>RN2566585</t>
  </si>
  <si>
    <t>RN2631814</t>
  </si>
  <si>
    <t>RN2637784</t>
  </si>
  <si>
    <t>RN2638712</t>
  </si>
  <si>
    <t>RN2658861</t>
  </si>
  <si>
    <t>RN2661345</t>
  </si>
  <si>
    <t>RN2688682</t>
  </si>
  <si>
    <t>RN2690511</t>
  </si>
  <si>
    <t>RN3465604</t>
  </si>
  <si>
    <t>RO4193865</t>
  </si>
  <si>
    <t>RO8495716</t>
  </si>
  <si>
    <t>RO9120941</t>
  </si>
  <si>
    <t>RQ9406788</t>
  </si>
  <si>
    <t>RR8180727</t>
  </si>
  <si>
    <t>RR8263503</t>
  </si>
  <si>
    <t>RS2806185</t>
  </si>
  <si>
    <t>RS8812338</t>
  </si>
  <si>
    <t>RS9402959</t>
  </si>
  <si>
    <t>RT2766610</t>
  </si>
  <si>
    <t>RT2768140</t>
  </si>
  <si>
    <t>RT2777572</t>
  </si>
  <si>
    <t>RT2906347</t>
  </si>
  <si>
    <t>RT2923903</t>
  </si>
  <si>
    <t>RT2952401</t>
  </si>
  <si>
    <t>RT2975760</t>
  </si>
  <si>
    <t>RT2976617</t>
  </si>
  <si>
    <t>RT2997485</t>
  </si>
  <si>
    <t>RT2998777</t>
  </si>
  <si>
    <t>RT3096270</t>
  </si>
  <si>
    <t>RT3112130</t>
  </si>
  <si>
    <t>RT3157359</t>
  </si>
  <si>
    <t>RT3185288</t>
  </si>
  <si>
    <t>RT3189162</t>
  </si>
  <si>
    <t>RT3191686</t>
  </si>
  <si>
    <t>RT3192504</t>
  </si>
  <si>
    <t>RT3222789</t>
  </si>
  <si>
    <t>RT3258318</t>
  </si>
  <si>
    <t>RT3264595</t>
  </si>
  <si>
    <t>RT3280153</t>
  </si>
  <si>
    <t>RT3285424</t>
  </si>
  <si>
    <t>RT3304831</t>
  </si>
  <si>
    <t>RT3307996</t>
  </si>
  <si>
    <t>RT3337632</t>
  </si>
  <si>
    <t>RT4693198</t>
  </si>
  <si>
    <t>RT6774597</t>
  </si>
  <si>
    <t>RT6776923</t>
  </si>
  <si>
    <t>RT9953803</t>
  </si>
  <si>
    <t>RU7317878</t>
  </si>
  <si>
    <t>RU7322710</t>
  </si>
  <si>
    <t>RU7333183</t>
  </si>
  <si>
    <t>RU7360536</t>
  </si>
  <si>
    <t>RU7361767</t>
  </si>
  <si>
    <t>RU9541945</t>
  </si>
  <si>
    <t>RV4404589</t>
  </si>
  <si>
    <t>RV4465124</t>
  </si>
  <si>
    <t>RV4768870</t>
  </si>
  <si>
    <t>RW6436811</t>
  </si>
  <si>
    <t>RX4418808</t>
  </si>
  <si>
    <t>RX4419869</t>
  </si>
  <si>
    <t>RX4477569</t>
  </si>
  <si>
    <t>RX4478865</t>
  </si>
  <si>
    <t>RX4538718</t>
  </si>
  <si>
    <t>RX7683098</t>
  </si>
  <si>
    <t>RY2330331</t>
  </si>
  <si>
    <t>RY2427708</t>
  </si>
  <si>
    <t>RZ1439904</t>
  </si>
  <si>
    <t>RZ2015775</t>
  </si>
  <si>
    <t>RZ2047446</t>
  </si>
  <si>
    <t>RZ2063267</t>
  </si>
  <si>
    <t>RZ2150692</t>
  </si>
  <si>
    <t>RZ2156305</t>
  </si>
  <si>
    <t>RZ5320910</t>
  </si>
  <si>
    <t>RZ5495843</t>
  </si>
  <si>
    <t>RZ8813450</t>
  </si>
  <si>
    <t>SA4910962</t>
  </si>
  <si>
    <t>SB1313836</t>
  </si>
  <si>
    <t>SB3590218</t>
  </si>
  <si>
    <t>SB4492511</t>
  </si>
  <si>
    <t>SC1066124</t>
  </si>
  <si>
    <t>SC5585201</t>
  </si>
  <si>
    <t>SD7041671</t>
  </si>
  <si>
    <t>SE8102885</t>
  </si>
  <si>
    <t>SE8106951</t>
  </si>
  <si>
    <t>SE8110517</t>
  </si>
  <si>
    <t>SE9313595</t>
  </si>
  <si>
    <t>SF1796491</t>
  </si>
  <si>
    <t>SF2702949</t>
  </si>
  <si>
    <t>SF3836711</t>
  </si>
  <si>
    <t>SF3846708</t>
  </si>
  <si>
    <t>SF3847945</t>
  </si>
  <si>
    <t>SF8409421</t>
  </si>
  <si>
    <t>SG2588244</t>
  </si>
  <si>
    <t>SG3937528</t>
  </si>
  <si>
    <t>SG4009553</t>
  </si>
  <si>
    <t>SG7543168</t>
  </si>
  <si>
    <t>SG7862890</t>
  </si>
  <si>
    <t>SG8331553</t>
  </si>
  <si>
    <t>SG8746864</t>
  </si>
  <si>
    <t>SG9302193</t>
  </si>
  <si>
    <t>SH6109988</t>
  </si>
  <si>
    <t>SH6593161</t>
  </si>
  <si>
    <t>SH6866778</t>
  </si>
  <si>
    <t>SH7617100</t>
  </si>
  <si>
    <t>SH7931293</t>
  </si>
  <si>
    <t>SI6362809</t>
  </si>
  <si>
    <t>SJ1254289</t>
  </si>
  <si>
    <t>SK3258559</t>
  </si>
  <si>
    <t>SK3338775</t>
  </si>
  <si>
    <t>SK3365437</t>
  </si>
  <si>
    <t>SK3541859</t>
  </si>
  <si>
    <t>SK3661949</t>
  </si>
  <si>
    <t>SK3774146</t>
  </si>
  <si>
    <t>SK3849831</t>
  </si>
  <si>
    <t>SK3880380</t>
  </si>
  <si>
    <t>SK4641830</t>
  </si>
  <si>
    <t>SK4918106</t>
  </si>
  <si>
    <t>SK6404905</t>
  </si>
  <si>
    <t>SK9453832</t>
  </si>
  <si>
    <t>SL3920176</t>
  </si>
  <si>
    <t>SM9062209</t>
  </si>
  <si>
    <t>SN5425345</t>
  </si>
  <si>
    <t>SO4803734</t>
  </si>
  <si>
    <t>SO5416858</t>
  </si>
  <si>
    <t>SO5461769</t>
  </si>
  <si>
    <t>SO5480730</t>
  </si>
  <si>
    <t>SO5774792</t>
  </si>
  <si>
    <t>SO8147698</t>
  </si>
  <si>
    <t>SO8561774</t>
  </si>
  <si>
    <t>SP3480956</t>
  </si>
  <si>
    <t>SQ2024856</t>
  </si>
  <si>
    <t>SR3694308</t>
  </si>
  <si>
    <t>SR8446441</t>
  </si>
  <si>
    <t>SR8490971</t>
  </si>
  <si>
    <t>SR9373921</t>
  </si>
  <si>
    <t>SS5477674</t>
  </si>
  <si>
    <t>SS8198944</t>
  </si>
  <si>
    <t>SS8205979</t>
  </si>
  <si>
    <t>SS8215947</t>
  </si>
  <si>
    <t>SS8221373</t>
  </si>
  <si>
    <t>SS8222870</t>
  </si>
  <si>
    <t>SS8234476</t>
  </si>
  <si>
    <t>SS8262434</t>
  </si>
  <si>
    <t>SS8264423</t>
  </si>
  <si>
    <t>SS8271281</t>
  </si>
  <si>
    <t>SS8273799</t>
  </si>
  <si>
    <t>SS8282899</t>
  </si>
  <si>
    <t>SS8285674</t>
  </si>
  <si>
    <t>SS8306712</t>
  </si>
  <si>
    <t>SS8311199</t>
  </si>
  <si>
    <t>SS8312151</t>
  </si>
  <si>
    <t>SS8324602</t>
  </si>
  <si>
    <t>SS8330365</t>
  </si>
  <si>
    <t>SS8336408</t>
  </si>
  <si>
    <t>SS8348116</t>
  </si>
  <si>
    <t>SS8361308</t>
  </si>
  <si>
    <t>SS8376737</t>
  </si>
  <si>
    <t>SS8398381</t>
  </si>
  <si>
    <t>SS8401546</t>
  </si>
  <si>
    <t>SS8402237</t>
  </si>
  <si>
    <t>SS8418862</t>
  </si>
  <si>
    <t>SS8433662</t>
  </si>
  <si>
    <t>SS8446206</t>
  </si>
  <si>
    <t>SS8457342</t>
  </si>
  <si>
    <t>SS8459137</t>
  </si>
  <si>
    <t>SS8473563</t>
  </si>
  <si>
    <t>SS8477562</t>
  </si>
  <si>
    <t>SS8483516</t>
  </si>
  <si>
    <t>SS8498847</t>
  </si>
  <si>
    <t>SS8501516</t>
  </si>
  <si>
    <t>SS8503294</t>
  </si>
  <si>
    <t>SS8514291</t>
  </si>
  <si>
    <t>SS8517560</t>
  </si>
  <si>
    <t>SS8524722</t>
  </si>
  <si>
    <t>SS8535493</t>
  </si>
  <si>
    <t>SS8536487</t>
  </si>
  <si>
    <t>SS8538476</t>
  </si>
  <si>
    <t>SS8543589</t>
  </si>
  <si>
    <t>SS8566943</t>
  </si>
  <si>
    <t>SS8579710</t>
  </si>
  <si>
    <t>SS8580252</t>
  </si>
  <si>
    <t>SS8581682</t>
  </si>
  <si>
    <t>SS8594130</t>
  </si>
  <si>
    <t>SS8602301</t>
  </si>
  <si>
    <t>SS8617686</t>
  </si>
  <si>
    <t>SS8640523</t>
  </si>
  <si>
    <t>SS8650232</t>
  </si>
  <si>
    <t>SS8651921</t>
  </si>
  <si>
    <t>SS8654608</t>
  </si>
  <si>
    <t>SS8657855</t>
  </si>
  <si>
    <t>SS8663613</t>
  </si>
  <si>
    <t>SS8664977</t>
  </si>
  <si>
    <t>SS8667292</t>
  </si>
  <si>
    <t>SS8674305</t>
  </si>
  <si>
    <t>SS8679534</t>
  </si>
  <si>
    <t>SS8694281</t>
  </si>
  <si>
    <t>SS8704433</t>
  </si>
  <si>
    <t>SS8709925</t>
  </si>
  <si>
    <t>SS8712879</t>
  </si>
  <si>
    <t>SS8717507</t>
  </si>
  <si>
    <t>SS8722398</t>
  </si>
  <si>
    <t>SS8736276</t>
  </si>
  <si>
    <t>SS8745408</t>
  </si>
  <si>
    <t>SS8752948</t>
  </si>
  <si>
    <t>SS8754805</t>
  </si>
  <si>
    <t>SS8755909</t>
  </si>
  <si>
    <t>SS8760545</t>
  </si>
  <si>
    <t>SS8771842</t>
  </si>
  <si>
    <t>SS8774869</t>
  </si>
  <si>
    <t>SS8790829</t>
  </si>
  <si>
    <t>SS8794978</t>
  </si>
  <si>
    <t>SS8812275</t>
  </si>
  <si>
    <t>SS8813142</t>
  </si>
  <si>
    <t>SS8819968</t>
  </si>
  <si>
    <t>SS8822527</t>
  </si>
  <si>
    <t>SS8823758</t>
  </si>
  <si>
    <t>SS8824300</t>
  </si>
  <si>
    <t>SS8830217</t>
  </si>
  <si>
    <t>SS8832359</t>
  </si>
  <si>
    <t>SS8841655</t>
  </si>
  <si>
    <t>SS8847886</t>
  </si>
  <si>
    <t>SS8848925</t>
  </si>
  <si>
    <t>SS8857790</t>
  </si>
  <si>
    <t>SS8874273</t>
  </si>
  <si>
    <t>SS8892169</t>
  </si>
  <si>
    <t>SS8904181</t>
  </si>
  <si>
    <t>SS8907428</t>
  </si>
  <si>
    <t>SS8918469</t>
  </si>
  <si>
    <t>SS8934496</t>
  </si>
  <si>
    <t>SS8939129</t>
  </si>
  <si>
    <t>SS8949308</t>
  </si>
  <si>
    <t>SS8951324</t>
  </si>
  <si>
    <t>SS8952776</t>
  </si>
  <si>
    <t>SS8984397</t>
  </si>
  <si>
    <t>SS8994680</t>
  </si>
  <si>
    <t>SS8999679</t>
  </si>
  <si>
    <t>SS9003444</t>
  </si>
  <si>
    <t>SS9007482</t>
  </si>
  <si>
    <t>SS9016665</t>
  </si>
  <si>
    <t>SS9020424</t>
  </si>
  <si>
    <t>SS9035195</t>
  </si>
  <si>
    <t>SS9036580</t>
  </si>
  <si>
    <t>SS9040348</t>
  </si>
  <si>
    <t>SS9045867</t>
  </si>
  <si>
    <t>SS9054625</t>
  </si>
  <si>
    <t>SS9083222</t>
  </si>
  <si>
    <t>SS9095221</t>
  </si>
  <si>
    <t>SS9100817</t>
  </si>
  <si>
    <t>SS9101359</t>
  </si>
  <si>
    <t>SS9120645</t>
  </si>
  <si>
    <t>SS9121683</t>
  </si>
  <si>
    <t>SS9130439</t>
  </si>
  <si>
    <t>SS9138538</t>
  </si>
  <si>
    <t>SS9144952</t>
  </si>
  <si>
    <t>SS9152736</t>
  </si>
  <si>
    <t>SS9157811</t>
  </si>
  <si>
    <t>SS9169915</t>
  </si>
  <si>
    <t>SS9170717</t>
  </si>
  <si>
    <t>SS9197430</t>
  </si>
  <si>
    <t>SS9224158</t>
  </si>
  <si>
    <t>SS9248166</t>
  </si>
  <si>
    <t>SS9254887</t>
  </si>
  <si>
    <t>SS9263571</t>
  </si>
  <si>
    <t>SS9268578</t>
  </si>
  <si>
    <t>SS9283821</t>
  </si>
  <si>
    <t>SS9284430</t>
  </si>
  <si>
    <t>SS9294317</t>
  </si>
  <si>
    <t>SS9296984</t>
  </si>
  <si>
    <t>SS9304565</t>
  </si>
  <si>
    <t>SS9331791</t>
  </si>
  <si>
    <t>SS9353934</t>
  </si>
  <si>
    <t>SS9365380</t>
  </si>
  <si>
    <t>SS9395509</t>
  </si>
  <si>
    <t>SS9427977</t>
  </si>
  <si>
    <t>SS9428905</t>
  </si>
  <si>
    <t>SS9460622</t>
  </si>
  <si>
    <t>SS9461704</t>
  </si>
  <si>
    <t>SS9463869</t>
  </si>
  <si>
    <t>SS9467386</t>
  </si>
  <si>
    <t>SS9469225</t>
  </si>
  <si>
    <t>SS9485853</t>
  </si>
  <si>
    <t>SS9512966</t>
  </si>
  <si>
    <t>SS9518925</t>
  </si>
  <si>
    <t>SS9539146</t>
  </si>
  <si>
    <t>SS9551640</t>
  </si>
  <si>
    <t>SS9563777</t>
  </si>
  <si>
    <t>SS9572788</t>
  </si>
  <si>
    <t>SS9582623</t>
  </si>
  <si>
    <t>ST1982749</t>
  </si>
  <si>
    <t>ST7589306</t>
  </si>
  <si>
    <t>ST8709052</t>
  </si>
  <si>
    <t>SU1708261</t>
  </si>
  <si>
    <t>SU1709111</t>
  </si>
  <si>
    <t>SU1745621</t>
  </si>
  <si>
    <t>SU1770662</t>
  </si>
  <si>
    <t>SU6980856</t>
  </si>
  <si>
    <t>SU9694689</t>
  </si>
  <si>
    <t>SV5683218</t>
  </si>
  <si>
    <t>SV7905047</t>
  </si>
  <si>
    <t>SV9574636</t>
  </si>
  <si>
    <t>SV9583616</t>
  </si>
  <si>
    <t>SV9677674</t>
  </si>
  <si>
    <t>SV9685525</t>
  </si>
  <si>
    <t>SV9686877</t>
  </si>
  <si>
    <t>SV9690511</t>
  </si>
  <si>
    <t>SV9692328</t>
  </si>
  <si>
    <t>SX1927933</t>
  </si>
  <si>
    <t>SX1928966</t>
  </si>
  <si>
    <t>SX1934870</t>
  </si>
  <si>
    <t>SY2631251</t>
  </si>
  <si>
    <t>SY2665121</t>
  </si>
  <si>
    <t>SY3204240</t>
  </si>
  <si>
    <t>SY5319571</t>
  </si>
  <si>
    <t>SY8771366</t>
  </si>
  <si>
    <t>SZ9448154</t>
  </si>
  <si>
    <t>SZ9523880</t>
  </si>
  <si>
    <t>TA5380253</t>
  </si>
  <si>
    <t>TA5965956</t>
  </si>
  <si>
    <t>TA6021785</t>
  </si>
  <si>
    <t>TA9846980</t>
  </si>
  <si>
    <t>TB4976383</t>
  </si>
  <si>
    <t>TB5014120</t>
  </si>
  <si>
    <t>TB5027134</t>
  </si>
  <si>
    <t>TB5037389</t>
  </si>
  <si>
    <t>TB5045598</t>
  </si>
  <si>
    <t>TB6924450</t>
  </si>
  <si>
    <t>TB9185189</t>
  </si>
  <si>
    <t>TB9335575</t>
  </si>
  <si>
    <t>TC1035834</t>
  </si>
  <si>
    <t>TC5427779</t>
  </si>
  <si>
    <t>TC6755771</t>
  </si>
  <si>
    <t>TC8650557</t>
  </si>
  <si>
    <t>TC8751510</t>
  </si>
  <si>
    <t>TC8752703</t>
  </si>
  <si>
    <t>TD3124708</t>
  </si>
  <si>
    <t>TD5747563</t>
  </si>
  <si>
    <t>TD5780167</t>
  </si>
  <si>
    <t>TE6413756</t>
  </si>
  <si>
    <t>TE6529129</t>
  </si>
  <si>
    <t>TE6558257</t>
  </si>
  <si>
    <t>TE6715668</t>
  </si>
  <si>
    <t>TE6751452</t>
  </si>
  <si>
    <t>TE6885344</t>
  </si>
  <si>
    <t>TE9023401</t>
  </si>
  <si>
    <t>TF5670396</t>
  </si>
  <si>
    <t>TF5674732</t>
  </si>
  <si>
    <t>TF5679790</t>
  </si>
  <si>
    <t>TF5680740</t>
  </si>
  <si>
    <t>TF5726332</t>
  </si>
  <si>
    <t>TF7865270</t>
  </si>
  <si>
    <t>TG1179020</t>
  </si>
  <si>
    <t>TG2891103</t>
  </si>
  <si>
    <t>TG6586016</t>
  </si>
  <si>
    <t>TG6620527</t>
  </si>
  <si>
    <t>TG7613391</t>
  </si>
  <si>
    <t>TG7681517</t>
  </si>
  <si>
    <t>TG7683610</t>
  </si>
  <si>
    <t>TG7687796</t>
  </si>
  <si>
    <t>TG7688399</t>
  </si>
  <si>
    <t>TG7697823</t>
  </si>
  <si>
    <t>TG7699591</t>
  </si>
  <si>
    <t>TG7701359</t>
  </si>
  <si>
    <t>TG7703571</t>
  </si>
  <si>
    <t>TG7707277</t>
  </si>
  <si>
    <t>TG7717875</t>
  </si>
  <si>
    <t>TG7721678</t>
  </si>
  <si>
    <t>TG7723650</t>
  </si>
  <si>
    <t>TG7727593</t>
  </si>
  <si>
    <t>TG7735954</t>
  </si>
  <si>
    <t>TG7743502</t>
  </si>
  <si>
    <t>TG7753277</t>
  </si>
  <si>
    <t>TG7759507</t>
  </si>
  <si>
    <t>TG7763351</t>
  </si>
  <si>
    <t>TG7765990</t>
  </si>
  <si>
    <t>TG7769492</t>
  </si>
  <si>
    <t>TG7770812</t>
  </si>
  <si>
    <t>TG7773882</t>
  </si>
  <si>
    <t>TG7774314</t>
  </si>
  <si>
    <t>TG7787827</t>
  </si>
  <si>
    <t>TG7789121</t>
  </si>
  <si>
    <t>TG7791765</t>
  </si>
  <si>
    <t>TG7793621</t>
  </si>
  <si>
    <t>TG7798260</t>
  </si>
  <si>
    <t>TG7801932</t>
  </si>
  <si>
    <t>TG7805450</t>
  </si>
  <si>
    <t>TG7811718</t>
  </si>
  <si>
    <t>TG7813215</t>
  </si>
  <si>
    <t>TG7816793</t>
  </si>
  <si>
    <t>TG7820984</t>
  </si>
  <si>
    <t>TG7830787</t>
  </si>
  <si>
    <t>TG7832748</t>
  </si>
  <si>
    <t>TG7847278</t>
  </si>
  <si>
    <t>TG7852920</t>
  </si>
  <si>
    <t>TG7855279</t>
  </si>
  <si>
    <t>TG7860691</t>
  </si>
  <si>
    <t>TG7862856</t>
  </si>
  <si>
    <t>TG7865920</t>
  </si>
  <si>
    <t>TG7868924</t>
  </si>
  <si>
    <t>TG7872338</t>
  </si>
  <si>
    <t>TG7874932</t>
  </si>
  <si>
    <t>TG7884337</t>
  </si>
  <si>
    <t>TG7889566</t>
  </si>
  <si>
    <t>TG7894927</t>
  </si>
  <si>
    <t>TG7895899</t>
  </si>
  <si>
    <t>TG7896871</t>
  </si>
  <si>
    <t>TG7901731</t>
  </si>
  <si>
    <t>TG7909908</t>
  </si>
  <si>
    <t>TG7911395</t>
  </si>
  <si>
    <t>TG7915255</t>
  </si>
  <si>
    <t>TG7917629</t>
  </si>
  <si>
    <t>TG7918816</t>
  </si>
  <si>
    <t>TG7921489</t>
  </si>
  <si>
    <t>TG7922692</t>
  </si>
  <si>
    <t>TG7923272</t>
  </si>
  <si>
    <t>TG7924740</t>
  </si>
  <si>
    <t>TG7925321</t>
  </si>
  <si>
    <t>TG7926789</t>
  </si>
  <si>
    <t>TG7930887</t>
  </si>
  <si>
    <t>TG7931467</t>
  </si>
  <si>
    <t>TG7942895</t>
  </si>
  <si>
    <t>TG7946365</t>
  </si>
  <si>
    <t>TG7948988</t>
  </si>
  <si>
    <t>TG7964930</t>
  </si>
  <si>
    <t>TG7969773</t>
  </si>
  <si>
    <t>TG7972977</t>
  </si>
  <si>
    <t>TG7977133</t>
  </si>
  <si>
    <t>TG7980337</t>
  </si>
  <si>
    <t>TG7983842</t>
  </si>
  <si>
    <t>TG7984599</t>
  </si>
  <si>
    <t>TG7985356</t>
  </si>
  <si>
    <t>TG7994835</t>
  </si>
  <si>
    <t>TG7995717</t>
  </si>
  <si>
    <t>TG7996755</t>
  </si>
  <si>
    <t>TG7997794</t>
  </si>
  <si>
    <t>TG7998832</t>
  </si>
  <si>
    <t>TG8001948</t>
  </si>
  <si>
    <t>TG8002986</t>
  </si>
  <si>
    <t>TG8011587</t>
  </si>
  <si>
    <t>TG8016967</t>
  </si>
  <si>
    <t>TG8021148</t>
  </si>
  <si>
    <t>TG8023936</t>
  </si>
  <si>
    <t>TG8024886</t>
  </si>
  <si>
    <t>TG8030587</t>
  </si>
  <si>
    <t>TG8039207</t>
  </si>
  <si>
    <t>TG8050819</t>
  </si>
  <si>
    <t>TG8052924</t>
  </si>
  <si>
    <t>TG8056244</t>
  </si>
  <si>
    <t>TG8058348</t>
  </si>
  <si>
    <t>TG8062557</t>
  </si>
  <si>
    <t>TG8064659</t>
  </si>
  <si>
    <t>TG8072265</t>
  </si>
  <si>
    <t>TG8080553</t>
  </si>
  <si>
    <t>TG8081657</t>
  </si>
  <si>
    <t>TG8082762</t>
  </si>
  <si>
    <t>TG8085187</t>
  </si>
  <si>
    <t>TG8089605</t>
  </si>
  <si>
    <t>TG8090710</t>
  </si>
  <si>
    <t>TG8092919</t>
  </si>
  <si>
    <t>TG8095181</t>
  </si>
  <si>
    <t>TG8099837</t>
  </si>
  <si>
    <t>TG8108377</t>
  </si>
  <si>
    <t>TG8112679</t>
  </si>
  <si>
    <t>TG8114386</t>
  </si>
  <si>
    <t>TG8115683</t>
  </si>
  <si>
    <t>TG8119469</t>
  </si>
  <si>
    <t>TG8121738</t>
  </si>
  <si>
    <t>TG8123120</t>
  </si>
  <si>
    <t>TG8130619</t>
  </si>
  <si>
    <t>TG8133449</t>
  </si>
  <si>
    <t>TG8138308</t>
  </si>
  <si>
    <t>TG8142196</t>
  </si>
  <si>
    <t>TG8143168</t>
  </si>
  <si>
    <t>TG8149522</t>
  </si>
  <si>
    <t>TG8152195</t>
  </si>
  <si>
    <t>TG8153382</t>
  </si>
  <si>
    <t>TG8161744</t>
  </si>
  <si>
    <t>TG8166422</t>
  </si>
  <si>
    <t>TG8168471</t>
  </si>
  <si>
    <t>TG8172569</t>
  </si>
  <si>
    <t>TG8177855</t>
  </si>
  <si>
    <t>TG8184659</t>
  </si>
  <si>
    <t>TG8189639</t>
  </si>
  <si>
    <t>TG8196214</t>
  </si>
  <si>
    <t>TG8198220</t>
  </si>
  <si>
    <t>TG8217780</t>
  </si>
  <si>
    <t>TG9603684</t>
  </si>
  <si>
    <t>TG9606346</t>
  </si>
  <si>
    <t>TG9634927</t>
  </si>
  <si>
    <t>TH6264154</t>
  </si>
  <si>
    <t>TH6494935</t>
  </si>
  <si>
    <t>TH8148493</t>
  </si>
  <si>
    <t>TH9292289</t>
  </si>
  <si>
    <t>TI2971882</t>
  </si>
  <si>
    <t>TI3456926</t>
  </si>
  <si>
    <t>TI6100358</t>
  </si>
  <si>
    <t>TJ2376404</t>
  </si>
  <si>
    <t>TJ3493387</t>
  </si>
  <si>
    <t>TJ3692962</t>
  </si>
  <si>
    <t>TJ4567889</t>
  </si>
  <si>
    <t>TJ5353586</t>
  </si>
  <si>
    <t>TJ5467892</t>
  </si>
  <si>
    <t>TJ5636289</t>
  </si>
  <si>
    <t>TJ5769651</t>
  </si>
  <si>
    <t>TJ9717258</t>
  </si>
  <si>
    <t>TJ9773499</t>
  </si>
  <si>
    <t>TJ9774681</t>
  </si>
  <si>
    <t>TJ9775862</t>
  </si>
  <si>
    <t>TK2558196</t>
  </si>
  <si>
    <t>TK4201639</t>
  </si>
  <si>
    <t>TK4202258</t>
  </si>
  <si>
    <t>TK4666780</t>
  </si>
  <si>
    <t>TK4968142</t>
  </si>
  <si>
    <t>TK6202185</t>
  </si>
  <si>
    <t>TL1243803</t>
  </si>
  <si>
    <t>TL6747532</t>
  </si>
  <si>
    <t>TL6852888</t>
  </si>
  <si>
    <t>TL7128432</t>
  </si>
  <si>
    <t>TL7812939</t>
  </si>
  <si>
    <t>TL9635631</t>
  </si>
  <si>
    <t>TM1489940</t>
  </si>
  <si>
    <t>TM1792922</t>
  </si>
  <si>
    <t>TM1980668</t>
  </si>
  <si>
    <t>TM1988846</t>
  </si>
  <si>
    <t>TM2717911</t>
  </si>
  <si>
    <t>TM3718809</t>
  </si>
  <si>
    <t>TM3958524</t>
  </si>
  <si>
    <t>TM6735455</t>
  </si>
  <si>
    <t>TM6820555</t>
  </si>
  <si>
    <t>TM6862156</t>
  </si>
  <si>
    <t>TM7272981</t>
  </si>
  <si>
    <t>TM7582496</t>
  </si>
  <si>
    <t>TM7737948</t>
  </si>
  <si>
    <t>TM8402866</t>
  </si>
  <si>
    <t>TM8553471</t>
  </si>
  <si>
    <t>TN1511231</t>
  </si>
  <si>
    <t>TN4670590</t>
  </si>
  <si>
    <t>TN4671998</t>
  </si>
  <si>
    <t>TN4672517</t>
  </si>
  <si>
    <t>TN5080016</t>
  </si>
  <si>
    <t>TN5181779</t>
  </si>
  <si>
    <t>TN7585170</t>
  </si>
  <si>
    <t>TN7791226</t>
  </si>
  <si>
    <t>TN8514273</t>
  </si>
  <si>
    <t>TN9067907</t>
  </si>
  <si>
    <t>TN9793264</t>
  </si>
  <si>
    <t>TO2848464</t>
  </si>
  <si>
    <t>TO3153339</t>
  </si>
  <si>
    <t>TO3160725</t>
  </si>
  <si>
    <t>TO4311823</t>
  </si>
  <si>
    <t>TO4454517</t>
  </si>
  <si>
    <t>TO4884926</t>
  </si>
  <si>
    <t>TO6833877</t>
  </si>
  <si>
    <t>TO7045499</t>
  </si>
  <si>
    <t>TO7635383</t>
  </si>
  <si>
    <t>TO7796351</t>
  </si>
  <si>
    <t>TO7799769</t>
  </si>
  <si>
    <t>TO7805138</t>
  </si>
  <si>
    <t>TP1900195</t>
  </si>
  <si>
    <t>TP2247663</t>
  </si>
  <si>
    <t>TP4290931</t>
  </si>
  <si>
    <t>TP4334588</t>
  </si>
  <si>
    <t>TP4335560</t>
  </si>
  <si>
    <t>TP4336533</t>
  </si>
  <si>
    <t>TP5222590</t>
  </si>
  <si>
    <t>TP6449319</t>
  </si>
  <si>
    <t>TP6901527</t>
  </si>
  <si>
    <t>TP7271984</t>
  </si>
  <si>
    <t>TP8358835</t>
  </si>
  <si>
    <t>TP9661701</t>
  </si>
  <si>
    <t>TQ1069340</t>
  </si>
  <si>
    <t>TQ2219694</t>
  </si>
  <si>
    <t>TQ2761889</t>
  </si>
  <si>
    <t>TQ2899864</t>
  </si>
  <si>
    <t>TQ3230536</t>
  </si>
  <si>
    <t>TQ3561449</t>
  </si>
  <si>
    <t>TQ4330821</t>
  </si>
  <si>
    <t>TQ4523988</t>
  </si>
  <si>
    <t>TQ7202933</t>
  </si>
  <si>
    <t>TQ8518563</t>
  </si>
  <si>
    <t>TQ8843276</t>
  </si>
  <si>
    <t>TR1375815</t>
  </si>
  <si>
    <t>TR2441358</t>
  </si>
  <si>
    <t>TR3209988</t>
  </si>
  <si>
    <t>TR3804932</t>
  </si>
  <si>
    <t>TR5190289</t>
  </si>
  <si>
    <t>TR6300404</t>
  </si>
  <si>
    <t>TR6301900</t>
  </si>
  <si>
    <t>TR6411329</t>
  </si>
  <si>
    <t>TR6444693</t>
  </si>
  <si>
    <t>TR6445721</t>
  </si>
  <si>
    <t>TR6492986</t>
  </si>
  <si>
    <t>TR7436448</t>
  </si>
  <si>
    <t>TR8181805</t>
  </si>
  <si>
    <t>TR8656833</t>
  </si>
  <si>
    <t>TR8725940</t>
  </si>
  <si>
    <t>TS1361377</t>
  </si>
  <si>
    <t>TS5660938</t>
  </si>
  <si>
    <t>TS9303491</t>
  </si>
  <si>
    <t>TT1154127</t>
  </si>
  <si>
    <t>TT1210857</t>
  </si>
  <si>
    <t>TT1211250</t>
  </si>
  <si>
    <t>TT3646650</t>
  </si>
  <si>
    <t>TT5130608</t>
  </si>
  <si>
    <t>TT5824738</t>
  </si>
  <si>
    <t>TT7366114</t>
  </si>
  <si>
    <t>TU6785529</t>
  </si>
  <si>
    <t>TV9045331</t>
  </si>
  <si>
    <t>TW3599248</t>
  </si>
  <si>
    <t>TW6760176</t>
  </si>
  <si>
    <t>TX2693899</t>
  </si>
  <si>
    <t>TX6275218</t>
  </si>
  <si>
    <t>TX6298563</t>
  </si>
  <si>
    <t>TX6651195</t>
  </si>
  <si>
    <t>TX6652751</t>
  </si>
  <si>
    <t>TX6653861</t>
  </si>
  <si>
    <t>TX6654842</t>
  </si>
  <si>
    <t>TX6655285</t>
  </si>
  <si>
    <t>TX6657904</t>
  </si>
  <si>
    <t>TX6658411</t>
  </si>
  <si>
    <t>TX6659193</t>
  </si>
  <si>
    <t>TX6660398</t>
  </si>
  <si>
    <t>TX6661655</t>
  </si>
  <si>
    <t>TX6662345</t>
  </si>
  <si>
    <t>TX6663776</t>
  </si>
  <si>
    <t>TX6999437</t>
  </si>
  <si>
    <t>TX8695344</t>
  </si>
  <si>
    <t>TX8745915</t>
  </si>
  <si>
    <t>TX8755571</t>
  </si>
  <si>
    <t>TX8853376</t>
  </si>
  <si>
    <t>TX8924801</t>
  </si>
  <si>
    <t>TX8925439</t>
  </si>
  <si>
    <t>TX8926195</t>
  </si>
  <si>
    <t>TX8927708</t>
  </si>
  <si>
    <t>TX8929661</t>
  </si>
  <si>
    <t>TX8930786</t>
  </si>
  <si>
    <t>TX8931743</t>
  </si>
  <si>
    <t>TX8932699</t>
  </si>
  <si>
    <t>TX8933937</t>
  </si>
  <si>
    <t>TX8934597</t>
  </si>
  <si>
    <t>TX8937702</t>
  </si>
  <si>
    <t>TX8939555</t>
  </si>
  <si>
    <t>TX8940747</t>
  </si>
  <si>
    <t>TX8941380</t>
  </si>
  <si>
    <t>TX8942977</t>
  </si>
  <si>
    <t>TX8945470</t>
  </si>
  <si>
    <t>TX8946338</t>
  </si>
  <si>
    <t>TX8948390</t>
  </si>
  <si>
    <t>TX8950496</t>
  </si>
  <si>
    <t>TX8951549</t>
  </si>
  <si>
    <t>TX8953709</t>
  </si>
  <si>
    <t>TX8954530</t>
  </si>
  <si>
    <t>TX8956460</t>
  </si>
  <si>
    <t>TX8957945</t>
  </si>
  <si>
    <t>TX9009641</t>
  </si>
  <si>
    <t>TX9513696</t>
  </si>
  <si>
    <t>TY2290624</t>
  </si>
  <si>
    <t>TY8969717</t>
  </si>
  <si>
    <t>TY9686983</t>
  </si>
  <si>
    <t>TZ1539183</t>
  </si>
  <si>
    <t>TZ5757755</t>
  </si>
  <si>
    <t>TZ6124759</t>
  </si>
  <si>
    <t>TZ6412116</t>
  </si>
  <si>
    <t>UA4423120</t>
  </si>
  <si>
    <t>UB1692058</t>
  </si>
  <si>
    <t>UB2352901</t>
  </si>
  <si>
    <t>UB8307775</t>
  </si>
  <si>
    <t>UB8397521</t>
  </si>
  <si>
    <t>UB8399599</t>
  </si>
  <si>
    <t>UB8405606</t>
  </si>
  <si>
    <t>UB8496985</t>
  </si>
  <si>
    <t>UB8499553</t>
  </si>
  <si>
    <t>UB8500147</t>
  </si>
  <si>
    <t>UB8501186</t>
  </si>
  <si>
    <t>UB8502703</t>
  </si>
  <si>
    <t>UB8504142</t>
  </si>
  <si>
    <t>UB8506281</t>
  </si>
  <si>
    <t>UB8509273</t>
  </si>
  <si>
    <t>UB8510259</t>
  </si>
  <si>
    <t>UB8511189</t>
  </si>
  <si>
    <t>UB8515710</t>
  </si>
  <si>
    <t>UB8516817</t>
  </si>
  <si>
    <t>UB8769507</t>
  </si>
  <si>
    <t>UB9330418</t>
  </si>
  <si>
    <t>UB9352725</t>
  </si>
  <si>
    <t>UB9980238</t>
  </si>
  <si>
    <t>UC2400751</t>
  </si>
  <si>
    <t>UC2409450</t>
  </si>
  <si>
    <t>UC2410416</t>
  </si>
  <si>
    <t>UC6744733</t>
  </si>
  <si>
    <t>UD2523752</t>
  </si>
  <si>
    <t>UD5431515</t>
  </si>
  <si>
    <t>UD5880737</t>
  </si>
  <si>
    <t>UD5881413</t>
  </si>
  <si>
    <t>UE8042528</t>
  </si>
  <si>
    <t>UF6372830</t>
  </si>
  <si>
    <t>UF7910435</t>
  </si>
  <si>
    <t>UF7912667</t>
  </si>
  <si>
    <t>UG1681406</t>
  </si>
  <si>
    <t>UG7299631</t>
  </si>
  <si>
    <t>UG9078496</t>
  </si>
  <si>
    <t>UH1012132</t>
  </si>
  <si>
    <t>UH1134371</t>
  </si>
  <si>
    <t>UH1161132</t>
  </si>
  <si>
    <t>UH2900389</t>
  </si>
  <si>
    <t>UH6863771</t>
  </si>
  <si>
    <t>UH7392240</t>
  </si>
  <si>
    <t>UH8977786</t>
  </si>
  <si>
    <t>UH9829221</t>
  </si>
  <si>
    <t>UI1103708</t>
  </si>
  <si>
    <t>UI1580668</t>
  </si>
  <si>
    <t>UI1581812</t>
  </si>
  <si>
    <t>UI2771501</t>
  </si>
  <si>
    <t>UJ2551258</t>
  </si>
  <si>
    <t>UJ3525626</t>
  </si>
  <si>
    <t>UJ3662899</t>
  </si>
  <si>
    <t>UJ6785859</t>
  </si>
  <si>
    <t>UK2260118</t>
  </si>
  <si>
    <t>UK4589291</t>
  </si>
  <si>
    <t>UK7597384</t>
  </si>
  <si>
    <t>UK7883651</t>
  </si>
  <si>
    <t>UK8138495</t>
  </si>
  <si>
    <t>UK8735853</t>
  </si>
  <si>
    <t>UK8858328</t>
  </si>
  <si>
    <t>UK8924762</t>
  </si>
  <si>
    <t>UK9080787</t>
  </si>
  <si>
    <t>UK9756822</t>
  </si>
  <si>
    <t>UK9763743</t>
  </si>
  <si>
    <t>UL1331450</t>
  </si>
  <si>
    <t>UL2976763</t>
  </si>
  <si>
    <t>UL4671161</t>
  </si>
  <si>
    <t>UL5109817</t>
  </si>
  <si>
    <t>UL7191650</t>
  </si>
  <si>
    <t>UL7472969</t>
  </si>
  <si>
    <t>UL9681184</t>
  </si>
  <si>
    <t>UM1639909</t>
  </si>
  <si>
    <t>UM6091382</t>
  </si>
  <si>
    <t>UM6931334</t>
  </si>
  <si>
    <t>UM6984947</t>
  </si>
  <si>
    <t>UM8686362</t>
  </si>
  <si>
    <t>UN5625493</t>
  </si>
  <si>
    <t>UN5836613</t>
  </si>
  <si>
    <t>UN6894145</t>
  </si>
  <si>
    <t>UN8817895</t>
  </si>
  <si>
    <t>UN9870147</t>
  </si>
  <si>
    <t>UO2826355</t>
  </si>
  <si>
    <t>UO3226277</t>
  </si>
  <si>
    <t>UO3242835</t>
  </si>
  <si>
    <t>UO4015934</t>
  </si>
  <si>
    <t>UO6873329</t>
  </si>
  <si>
    <t>UO8469760</t>
  </si>
  <si>
    <t>UO9545504</t>
  </si>
  <si>
    <t>UO9779573</t>
  </si>
  <si>
    <t>UP1636167</t>
  </si>
  <si>
    <t>UP2785152</t>
  </si>
  <si>
    <t>UP6670577</t>
  </si>
  <si>
    <t>UP9084670</t>
  </si>
  <si>
    <t>UP9831537</t>
  </si>
  <si>
    <t>UQ2483888</t>
  </si>
  <si>
    <t>UQ3660499</t>
  </si>
  <si>
    <t>UQ6008233</t>
  </si>
  <si>
    <t>UQ6089758</t>
  </si>
  <si>
    <t>UQ7375230</t>
  </si>
  <si>
    <t>UR3306209</t>
  </si>
  <si>
    <t>UR4696428</t>
  </si>
  <si>
    <t>UR4716493</t>
  </si>
  <si>
    <t>UR7663630</t>
  </si>
  <si>
    <t>UR8651479</t>
  </si>
  <si>
    <t>UR9731966</t>
  </si>
  <si>
    <t>US1880641</t>
  </si>
  <si>
    <t>US2188804</t>
  </si>
  <si>
    <t>US3097336</t>
  </si>
  <si>
    <t>US3098228</t>
  </si>
  <si>
    <t>US4114704</t>
  </si>
  <si>
    <t>US4319950</t>
  </si>
  <si>
    <t>US4455738</t>
  </si>
  <si>
    <t>US4838859</t>
  </si>
  <si>
    <t>US5760681</t>
  </si>
  <si>
    <t>US6093604</t>
  </si>
  <si>
    <t>UT1451511</t>
  </si>
  <si>
    <t>UT1766787</t>
  </si>
  <si>
    <t>UT2050254</t>
  </si>
  <si>
    <t>UT3053377</t>
  </si>
  <si>
    <t>UT5955964</t>
  </si>
  <si>
    <t>UT5966763</t>
  </si>
  <si>
    <t>UT6019977</t>
  </si>
  <si>
    <t>UT8027226</t>
  </si>
  <si>
    <t>UT8820817</t>
  </si>
  <si>
    <t>UT8980357</t>
  </si>
  <si>
    <t>UT9360225</t>
  </si>
  <si>
    <t>UU5348588</t>
  </si>
  <si>
    <t>UU5667240</t>
  </si>
  <si>
    <t>UV1338379</t>
  </si>
  <si>
    <t>UV1355116</t>
  </si>
  <si>
    <t>UV1374633</t>
  </si>
  <si>
    <t>UV1796247</t>
  </si>
  <si>
    <t>UV2682577</t>
  </si>
  <si>
    <t>UV5406675</t>
  </si>
  <si>
    <t>UV7745282</t>
  </si>
  <si>
    <t>UV7790415</t>
  </si>
  <si>
    <t>UV9711439</t>
  </si>
  <si>
    <t>UW5065590</t>
  </si>
  <si>
    <t>UW5095675</t>
  </si>
  <si>
    <t>UW5138881</t>
  </si>
  <si>
    <t>UW5145174</t>
  </si>
  <si>
    <t>UW5268609</t>
  </si>
  <si>
    <t>UW5269321</t>
  </si>
  <si>
    <t>UW5270213</t>
  </si>
  <si>
    <t>UW5272454</t>
  </si>
  <si>
    <t>UW5274343</t>
  </si>
  <si>
    <t>UW5275800</t>
  </si>
  <si>
    <t>UW5277872</t>
  </si>
  <si>
    <t>UW5278440</t>
  </si>
  <si>
    <t>UW5279617</t>
  </si>
  <si>
    <t>UW5280537</t>
  </si>
  <si>
    <t>UW5281974</t>
  </si>
  <si>
    <t>UW5282479</t>
  </si>
  <si>
    <t>UW5283558</t>
  </si>
  <si>
    <t>UW5284293</t>
  </si>
  <si>
    <t>UW5285147</t>
  </si>
  <si>
    <t>UW5286290</t>
  </si>
  <si>
    <t>UW5287536</t>
  </si>
  <si>
    <t>UW5288633</t>
  </si>
  <si>
    <t>UW5289325</t>
  </si>
  <si>
    <t>UW5290709</t>
  </si>
  <si>
    <t>UW5291318</t>
  </si>
  <si>
    <t>UW5341357</t>
  </si>
  <si>
    <t>UW5343234</t>
  </si>
  <si>
    <t>UW5351556</t>
  </si>
  <si>
    <t>UW5357538</t>
  </si>
  <si>
    <t>UW5359602</t>
  </si>
  <si>
    <t>UW5379342</t>
  </si>
  <si>
    <t>UW5381799</t>
  </si>
  <si>
    <t>UW5385724</t>
  </si>
  <si>
    <t>UW5386485</t>
  </si>
  <si>
    <t>UW5390485</t>
  </si>
  <si>
    <t>UW5393935</t>
  </si>
  <si>
    <t>UW5400458</t>
  </si>
  <si>
    <t>UW5410533</t>
  </si>
  <si>
    <t>UW5411268</t>
  </si>
  <si>
    <t>UW5415256</t>
  </si>
  <si>
    <t>UW5418342</t>
  </si>
  <si>
    <t>UW5630718</t>
  </si>
  <si>
    <t>UW5636556</t>
  </si>
  <si>
    <t>UW5638208</t>
  </si>
  <si>
    <t>UW5641548</t>
  </si>
  <si>
    <t>UW5646193</t>
  </si>
  <si>
    <t>UW5653715</t>
  </si>
  <si>
    <t>UW5658996</t>
  </si>
  <si>
    <t>UW5661483</t>
  </si>
  <si>
    <t>UW5667267</t>
  </si>
  <si>
    <t>UW5668956</t>
  </si>
  <si>
    <t>UW5673655</t>
  </si>
  <si>
    <t>UW5675222</t>
  </si>
  <si>
    <t>UW5683285</t>
  </si>
  <si>
    <t>UW5689908</t>
  </si>
  <si>
    <t>UW5691208</t>
  </si>
  <si>
    <t>UW5692119</t>
  </si>
  <si>
    <t>UW5693918</t>
  </si>
  <si>
    <t>UW5793752</t>
  </si>
  <si>
    <t>UW5797684</t>
  </si>
  <si>
    <t>UW5799948</t>
  </si>
  <si>
    <t>UW5801368</t>
  </si>
  <si>
    <t>UW5802450</t>
  </si>
  <si>
    <t>UW5803478</t>
  </si>
  <si>
    <t>UW5804198</t>
  </si>
  <si>
    <t>UW5812965</t>
  </si>
  <si>
    <t>UW5815831</t>
  </si>
  <si>
    <t>UW5816527</t>
  </si>
  <si>
    <t>UW5817401</t>
  </si>
  <si>
    <t>UW5827342</t>
  </si>
  <si>
    <t>UW5831147</t>
  </si>
  <si>
    <t>UW5836443</t>
  </si>
  <si>
    <t>UW5839291</t>
  </si>
  <si>
    <t>UW5840645</t>
  </si>
  <si>
    <t>UW5844451</t>
  </si>
  <si>
    <t>UW5846428</t>
  </si>
  <si>
    <t>UW5849796</t>
  </si>
  <si>
    <t>UW5851848</t>
  </si>
  <si>
    <t>UW5852293</t>
  </si>
  <si>
    <t>UW5855419</t>
  </si>
  <si>
    <t>UW5865870</t>
  </si>
  <si>
    <t>UW5866658</t>
  </si>
  <si>
    <t>UW5871634</t>
  </si>
  <si>
    <t>UW5875595</t>
  </si>
  <si>
    <t>UW5878842</t>
  </si>
  <si>
    <t>UW5936415</t>
  </si>
  <si>
    <t>UW5941986</t>
  </si>
  <si>
    <t>UW5942816</t>
  </si>
  <si>
    <t>UW5944533</t>
  </si>
  <si>
    <t>UW5945682</t>
  </si>
  <si>
    <t>UW5946267</t>
  </si>
  <si>
    <t>UW5947180</t>
  </si>
  <si>
    <t>UW5948178</t>
  </si>
  <si>
    <t>UW5949574</t>
  </si>
  <si>
    <t>UW5951166</t>
  </si>
  <si>
    <t>UW5953901</t>
  </si>
  <si>
    <t>UW5955729</t>
  </si>
  <si>
    <t>UW5958392</t>
  </si>
  <si>
    <t>UW5961736</t>
  </si>
  <si>
    <t>UW5963588</t>
  </si>
  <si>
    <t>UW5966136</t>
  </si>
  <si>
    <t>UW5968803</t>
  </si>
  <si>
    <t>UW5969448</t>
  </si>
  <si>
    <t>UW6162696</t>
  </si>
  <si>
    <t>UW6164995</t>
  </si>
  <si>
    <t>UW6473691</t>
  </si>
  <si>
    <t>UW6737635</t>
  </si>
  <si>
    <t>UW6740467</t>
  </si>
  <si>
    <t>UW6741113</t>
  </si>
  <si>
    <t>UW6742303</t>
  </si>
  <si>
    <t>UW6749634</t>
  </si>
  <si>
    <t>UW6751159</t>
  </si>
  <si>
    <t>UW6752252</t>
  </si>
  <si>
    <t>UW7019955</t>
  </si>
  <si>
    <t>UW7023337</t>
  </si>
  <si>
    <t>UW7236619</t>
  </si>
  <si>
    <t>UW7244352</t>
  </si>
  <si>
    <t>UW7910606</t>
  </si>
  <si>
    <t>UW8016133</t>
  </si>
  <si>
    <t>UW8085433</t>
  </si>
  <si>
    <t>UW8202374</t>
  </si>
  <si>
    <t>UW8478694</t>
  </si>
  <si>
    <t>UW9501206</t>
  </si>
  <si>
    <t>UX1808621</t>
  </si>
  <si>
    <t>UX6687368</t>
  </si>
  <si>
    <t>UY1970149</t>
  </si>
  <si>
    <t>UZ1417611</t>
  </si>
  <si>
    <t>UZ9694210</t>
  </si>
  <si>
    <t>VA5795814</t>
  </si>
  <si>
    <t>VA7728658</t>
  </si>
  <si>
    <t>VA7729619</t>
  </si>
  <si>
    <t>VA7751889</t>
  </si>
  <si>
    <t>VA7765227</t>
  </si>
  <si>
    <t>VA7780646</t>
  </si>
  <si>
    <t>VA7781480</t>
  </si>
  <si>
    <t>VA7782314</t>
  </si>
  <si>
    <t>VA7801471</t>
  </si>
  <si>
    <t>VB8910574</t>
  </si>
  <si>
    <t>VC4832435</t>
  </si>
  <si>
    <t>VC6719411</t>
  </si>
  <si>
    <t>VC7657264</t>
  </si>
  <si>
    <t>VC7680826</t>
  </si>
  <si>
    <t>VC7727759</t>
  </si>
  <si>
    <t>VD3260730</t>
  </si>
  <si>
    <t>VD3264166</t>
  </si>
  <si>
    <t>VD3267186</t>
  </si>
  <si>
    <t>VD3270231</t>
  </si>
  <si>
    <t>VD3279454</t>
  </si>
  <si>
    <t>VD3280972</t>
  </si>
  <si>
    <t>VD5363738</t>
  </si>
  <si>
    <t>VE3465203</t>
  </si>
  <si>
    <t>VE9342042</t>
  </si>
  <si>
    <t>VE9454182</t>
  </si>
  <si>
    <t>VE9459853</t>
  </si>
  <si>
    <t>VE9527396</t>
  </si>
  <si>
    <t>VE9537796</t>
  </si>
  <si>
    <t>VE9543225</t>
  </si>
  <si>
    <t>VE9565632</t>
  </si>
  <si>
    <t>VE9577727</t>
  </si>
  <si>
    <t>VE9588840</t>
  </si>
  <si>
    <t>VE9596341</t>
  </si>
  <si>
    <t>VF7167407</t>
  </si>
  <si>
    <t>VH9228881</t>
  </si>
  <si>
    <t>VH9245710</t>
  </si>
  <si>
    <t>VH9275189</t>
  </si>
  <si>
    <t>VH9276624</t>
  </si>
  <si>
    <t>VH9289495</t>
  </si>
  <si>
    <t>VH9291153</t>
  </si>
  <si>
    <t>VH9292869</t>
  </si>
  <si>
    <t>VH9297913</t>
  </si>
  <si>
    <t>VI1732967</t>
  </si>
  <si>
    <t>VI3001352</t>
  </si>
  <si>
    <t>VI4234288</t>
  </si>
  <si>
    <t>VJ1999296</t>
  </si>
  <si>
    <t>VJ5740657</t>
  </si>
  <si>
    <t>VJ5741506</t>
  </si>
  <si>
    <t>VJ5742788</t>
  </si>
  <si>
    <t>VJ5743630</t>
  </si>
  <si>
    <t>VJ5744795</t>
  </si>
  <si>
    <t>VJ5763724</t>
  </si>
  <si>
    <t>VJ5764178</t>
  </si>
  <si>
    <t>VJ5765183</t>
  </si>
  <si>
    <t>VJ5804550</t>
  </si>
  <si>
    <t>VJ5880672</t>
  </si>
  <si>
    <t>VJ5961267</t>
  </si>
  <si>
    <t>VJ8200340</t>
  </si>
  <si>
    <t>VK5107843</t>
  </si>
  <si>
    <t>VK6115368</t>
  </si>
  <si>
    <t>VK6886951</t>
  </si>
  <si>
    <t>VK6936585</t>
  </si>
  <si>
    <t>VL4833519</t>
  </si>
  <si>
    <t>VL6697522</t>
  </si>
  <si>
    <t>VM1207806</t>
  </si>
  <si>
    <t>VM2008382</t>
  </si>
  <si>
    <t>VM2095644</t>
  </si>
  <si>
    <t>VM2624522</t>
  </si>
  <si>
    <t>VM2938192</t>
  </si>
  <si>
    <t>VM3712344</t>
  </si>
  <si>
    <t>VM4424775</t>
  </si>
  <si>
    <t>VM5376953</t>
  </si>
  <si>
    <t>VN2761261</t>
  </si>
  <si>
    <t>VO3757973</t>
  </si>
  <si>
    <t>VO4990762</t>
  </si>
  <si>
    <t>VO5075796</t>
  </si>
  <si>
    <t>VP5445536</t>
  </si>
  <si>
    <t>VP8195562</t>
  </si>
  <si>
    <t>VQ2934207</t>
  </si>
  <si>
    <t>VQ6199820</t>
  </si>
  <si>
    <t>VQ6274189</t>
  </si>
  <si>
    <t>VQ8839771</t>
  </si>
  <si>
    <t>VR2007181</t>
  </si>
  <si>
    <t>VR2100526</t>
  </si>
  <si>
    <t>VR9408408</t>
  </si>
  <si>
    <t>VS8283411</t>
  </si>
  <si>
    <t>VT1558361</t>
  </si>
  <si>
    <t>VT2517298</t>
  </si>
  <si>
    <t>VT4288423</t>
  </si>
  <si>
    <t>VU1278676</t>
  </si>
  <si>
    <t>VU1307022</t>
  </si>
  <si>
    <t>VU4880747</t>
  </si>
  <si>
    <t>VU6706192</t>
  </si>
  <si>
    <t>VU6817123</t>
  </si>
  <si>
    <t>VU6838992</t>
  </si>
  <si>
    <t>VU7598363</t>
  </si>
  <si>
    <t>VV1389151</t>
  </si>
  <si>
    <t>VV1469705</t>
  </si>
  <si>
    <t>VV1481261</t>
  </si>
  <si>
    <t>VV1588500</t>
  </si>
  <si>
    <t>VV1589513</t>
  </si>
  <si>
    <t>VV1590334</t>
  </si>
  <si>
    <t>VV1591180</t>
  </si>
  <si>
    <t>VV1592287</t>
  </si>
  <si>
    <t>VV1639221</t>
  </si>
  <si>
    <t>VV1641277</t>
  </si>
  <si>
    <t>VV1642408</t>
  </si>
  <si>
    <t>VV1643724</t>
  </si>
  <si>
    <t>VV1644229</t>
  </si>
  <si>
    <t>VV1645464</t>
  </si>
  <si>
    <t>VV1646236</t>
  </si>
  <si>
    <t>VV1647513</t>
  </si>
  <si>
    <t>VV1648278</t>
  </si>
  <si>
    <t>VV1649496</t>
  </si>
  <si>
    <t>VV1650783</t>
  </si>
  <si>
    <t>VV1651756</t>
  </si>
  <si>
    <t>VV1652377</t>
  </si>
  <si>
    <t>VV1653292</t>
  </si>
  <si>
    <t>VV1654729</t>
  </si>
  <si>
    <t>VV1655956</t>
  </si>
  <si>
    <t>VV1656309</t>
  </si>
  <si>
    <t>VV1658375</t>
  </si>
  <si>
    <t>VV1659743</t>
  </si>
  <si>
    <t>VV1660181</t>
  </si>
  <si>
    <t>VV1662973</t>
  </si>
  <si>
    <t>VV1663644</t>
  </si>
  <si>
    <t>VV1664161</t>
  </si>
  <si>
    <t>VV1666869</t>
  </si>
  <si>
    <t>VV1667291</t>
  </si>
  <si>
    <t>VV1668809</t>
  </si>
  <si>
    <t>VV1669195</t>
  </si>
  <si>
    <t>VV1670304</t>
  </si>
  <si>
    <t>VV1673959</t>
  </si>
  <si>
    <t>VV1674795</t>
  </si>
  <si>
    <t>VV1676329</t>
  </si>
  <si>
    <t>VV1677992</t>
  </si>
  <si>
    <t>VV1678803</t>
  </si>
  <si>
    <t>VV1679738</t>
  </si>
  <si>
    <t>VV1680777</t>
  </si>
  <si>
    <t>VV1681692</t>
  </si>
  <si>
    <t>VV1682885</t>
  </si>
  <si>
    <t>VV1683575</t>
  </si>
  <si>
    <t>VV1684428</t>
  </si>
  <si>
    <t>VV1685720</t>
  </si>
  <si>
    <t>VV1686241</t>
  </si>
  <si>
    <t>VV1687529</t>
  </si>
  <si>
    <t>VV1688217</t>
  </si>
  <si>
    <t>VV1689111</t>
  </si>
  <si>
    <t>VV1690764</t>
  </si>
  <si>
    <t>VV1691133</t>
  </si>
  <si>
    <t>VV1692888</t>
  </si>
  <si>
    <t>VV1693897</t>
  </si>
  <si>
    <t>VV1694735</t>
  </si>
  <si>
    <t>VV1695661</t>
  </si>
  <si>
    <t>VV1696289</t>
  </si>
  <si>
    <t>VV1697988</t>
  </si>
  <si>
    <t>VV1698644</t>
  </si>
  <si>
    <t>VV1700655</t>
  </si>
  <si>
    <t>VV1702948</t>
  </si>
  <si>
    <t>VV1703589</t>
  </si>
  <si>
    <t>VV1704992</t>
  </si>
  <si>
    <t>VV1705856</t>
  </si>
  <si>
    <t>VV2291681</t>
  </si>
  <si>
    <t>VV2296635</t>
  </si>
  <si>
    <t>VV2303634</t>
  </si>
  <si>
    <t>VV2306603</t>
  </si>
  <si>
    <t>VV2391403</t>
  </si>
  <si>
    <t>VV2508890</t>
  </si>
  <si>
    <t>VV2510145</t>
  </si>
  <si>
    <t>VV2521926</t>
  </si>
  <si>
    <t>VV2598757</t>
  </si>
  <si>
    <t>VV2643861</t>
  </si>
  <si>
    <t>VV2652119</t>
  </si>
  <si>
    <t>VV2657502</t>
  </si>
  <si>
    <t>VV2659538</t>
  </si>
  <si>
    <t>VV2660919</t>
  </si>
  <si>
    <t>VV2661764</t>
  </si>
  <si>
    <t>VV2662350</t>
  </si>
  <si>
    <t>VV2663242</t>
  </si>
  <si>
    <t>VV2664899</t>
  </si>
  <si>
    <t>VV2665164</t>
  </si>
  <si>
    <t>VV2666185</t>
  </si>
  <si>
    <t>VV2667717</t>
  </si>
  <si>
    <t>VV2668137</t>
  </si>
  <si>
    <t>VV2669545</t>
  </si>
  <si>
    <t>VV2670271</t>
  </si>
  <si>
    <t>VV2671730</t>
  </si>
  <si>
    <t>VV2672466</t>
  </si>
  <si>
    <t>VV2673737</t>
  </si>
  <si>
    <t>VV2674371</t>
  </si>
  <si>
    <t>VV2675525</t>
  </si>
  <si>
    <t>VV2676470</t>
  </si>
  <si>
    <t>VV2677825</t>
  </si>
  <si>
    <t>VV2678585</t>
  </si>
  <si>
    <t>VV2679627</t>
  </si>
  <si>
    <t>VV2680300</t>
  </si>
  <si>
    <t>VV2681395</t>
  </si>
  <si>
    <t>VV2682261</t>
  </si>
  <si>
    <t>VV2683402</t>
  </si>
  <si>
    <t>VV2684496</t>
  </si>
  <si>
    <t>VV2685402</t>
  </si>
  <si>
    <t>VV2687979</t>
  </si>
  <si>
    <t>VV2688580</t>
  </si>
  <si>
    <t>VV2689350</t>
  </si>
  <si>
    <t>VV2690343</t>
  </si>
  <si>
    <t>VV2691834</t>
  </si>
  <si>
    <t>VV2692529</t>
  </si>
  <si>
    <t>VV2694370</t>
  </si>
  <si>
    <t>VV2695873</t>
  </si>
  <si>
    <t>VV2696539</t>
  </si>
  <si>
    <t>VV2697179</t>
  </si>
  <si>
    <t>VV2698957</t>
  </si>
  <si>
    <t>VV2699971</t>
  </si>
  <si>
    <t>VV2700496</t>
  </si>
  <si>
    <t>VV2701724</t>
  </si>
  <si>
    <t>VV2703154</t>
  </si>
  <si>
    <t>VV2704355</t>
  </si>
  <si>
    <t>VV2705199</t>
  </si>
  <si>
    <t>VV2706364</t>
  </si>
  <si>
    <t>VV2707235</t>
  </si>
  <si>
    <t>VV2709332</t>
  </si>
  <si>
    <t>VV2710903</t>
  </si>
  <si>
    <t>VV2711586</t>
  </si>
  <si>
    <t>VV2712790</t>
  </si>
  <si>
    <t>VV2713485</t>
  </si>
  <si>
    <t>VV2714439</t>
  </si>
  <si>
    <t>VV2715291</t>
  </si>
  <si>
    <t>VV2716139</t>
  </si>
  <si>
    <t>VV2717744</t>
  </si>
  <si>
    <t>VV2719640</t>
  </si>
  <si>
    <t>VV2720516</t>
  </si>
  <si>
    <t>VV2721411</t>
  </si>
  <si>
    <t>VV2723230</t>
  </si>
  <si>
    <t>VV2724802</t>
  </si>
  <si>
    <t>VV2971122</t>
  </si>
  <si>
    <t>VV3177704</t>
  </si>
  <si>
    <t>VV6383129</t>
  </si>
  <si>
    <t>VW3804690</t>
  </si>
  <si>
    <t>VW3808245</t>
  </si>
  <si>
    <t>VW3817673</t>
  </si>
  <si>
    <t>VW4082958</t>
  </si>
  <si>
    <t>VW4461431</t>
  </si>
  <si>
    <t>VW7466699</t>
  </si>
  <si>
    <t>VW8079739</t>
  </si>
  <si>
    <t>VX4260051</t>
  </si>
  <si>
    <t>VX8023445</t>
  </si>
  <si>
    <t>VX9366622</t>
  </si>
  <si>
    <t>VY3132788</t>
  </si>
  <si>
    <t>VY4030371</t>
  </si>
  <si>
    <t>VY5757842</t>
  </si>
  <si>
    <t>VY5764774</t>
  </si>
  <si>
    <t>VY6177435</t>
  </si>
  <si>
    <t>VY6226196</t>
  </si>
  <si>
    <t>VY6269324</t>
  </si>
  <si>
    <t>VY9231797</t>
  </si>
  <si>
    <t>VZ1535133</t>
  </si>
  <si>
    <t>VZ2197145</t>
  </si>
  <si>
    <t>VZ4736841</t>
  </si>
  <si>
    <t>VZ6569439</t>
  </si>
  <si>
    <t>VZ7593310</t>
  </si>
  <si>
    <t>WA7470353</t>
  </si>
  <si>
    <t>WA8551405</t>
  </si>
  <si>
    <t>WB5494931</t>
  </si>
  <si>
    <t>WB9233738</t>
  </si>
  <si>
    <t>WC7822434</t>
  </si>
  <si>
    <t>WD1768708</t>
  </si>
  <si>
    <t>WD1785368</t>
  </si>
  <si>
    <t>WD1786566</t>
  </si>
  <si>
    <t>WE1871359</t>
  </si>
  <si>
    <t>WF1184756</t>
  </si>
  <si>
    <t>WF1706898</t>
  </si>
  <si>
    <t>WF2162643</t>
  </si>
  <si>
    <t>WF5614204</t>
  </si>
  <si>
    <t>WF5834722</t>
  </si>
  <si>
    <t>WF6419554</t>
  </si>
  <si>
    <t>WF8056392</t>
  </si>
  <si>
    <t>WF8190463</t>
  </si>
  <si>
    <t>WG5639576</t>
  </si>
  <si>
    <t>WG5640610</t>
  </si>
  <si>
    <t>WG5641669</t>
  </si>
  <si>
    <t>WG5648325</t>
  </si>
  <si>
    <t>WG6848456</t>
  </si>
  <si>
    <t>WG6852553</t>
  </si>
  <si>
    <t>WG6857288</t>
  </si>
  <si>
    <t>WG8892750</t>
  </si>
  <si>
    <t>WG9432711</t>
  </si>
  <si>
    <t>WH1336466</t>
  </si>
  <si>
    <t>WH1727511</t>
  </si>
  <si>
    <t>WH8969921</t>
  </si>
  <si>
    <t>WI2673915</t>
  </si>
  <si>
    <t>WJ4121967</t>
  </si>
  <si>
    <t>WK4738361</t>
  </si>
  <si>
    <t>WM2768532</t>
  </si>
  <si>
    <t>WO6597553</t>
  </si>
  <si>
    <t>WQ1116816</t>
  </si>
  <si>
    <t>WQ4949527</t>
  </si>
  <si>
    <t>WQ8492178</t>
  </si>
  <si>
    <t>WT6505258</t>
  </si>
  <si>
    <t>WU2184895</t>
  </si>
  <si>
    <t>WV4122744</t>
  </si>
  <si>
    <t>WV9922027</t>
  </si>
  <si>
    <t>WX1151495</t>
  </si>
  <si>
    <t>WZ6741976</t>
  </si>
  <si>
    <t>XA6665612</t>
  </si>
  <si>
    <t>XC4449241</t>
  </si>
  <si>
    <t>XD3021127</t>
  </si>
  <si>
    <t>XE1722190</t>
  </si>
  <si>
    <t>XG4025431</t>
  </si>
  <si>
    <t>XH2861580</t>
  </si>
  <si>
    <t>XJ7030488</t>
  </si>
  <si>
    <t>XJ9796454</t>
  </si>
  <si>
    <t>XM9084970</t>
  </si>
  <si>
    <t>XO8492244</t>
  </si>
  <si>
    <t>XS6968063</t>
  </si>
  <si>
    <t>XT9820199</t>
  </si>
  <si>
    <t>XU2131591</t>
  </si>
  <si>
    <t>XV4148911</t>
  </si>
  <si>
    <t>XW1207248</t>
  </si>
  <si>
    <t>XW2723766</t>
  </si>
  <si>
    <t>XX4596163</t>
  </si>
  <si>
    <t>XX8745684</t>
  </si>
  <si>
    <t>XY6977742</t>
  </si>
  <si>
    <t>XZ8723520</t>
  </si>
  <si>
    <t>YB1592394</t>
  </si>
  <si>
    <t>YE1961016</t>
  </si>
  <si>
    <t>YE8300350</t>
  </si>
  <si>
    <t>YF4693288</t>
  </si>
  <si>
    <t>YG8837453</t>
  </si>
  <si>
    <t>YH7797583</t>
  </si>
  <si>
    <t>YI4634657</t>
  </si>
  <si>
    <t>YI4919840</t>
  </si>
  <si>
    <t>YI7338937</t>
  </si>
  <si>
    <t>YI8489740</t>
  </si>
  <si>
    <t>YJ5319451</t>
  </si>
  <si>
    <t>YN1235268</t>
  </si>
  <si>
    <t>YN9323247</t>
  </si>
  <si>
    <t>YO2973208</t>
  </si>
  <si>
    <t>YQ5808637</t>
  </si>
  <si>
    <t>YU2879835</t>
  </si>
  <si>
    <t>YU5808442</t>
  </si>
  <si>
    <t>YU8309586</t>
  </si>
  <si>
    <t>YV3041088</t>
  </si>
  <si>
    <t>YV5524072</t>
  </si>
  <si>
    <t>YV7012185</t>
  </si>
  <si>
    <t>YY8170820</t>
  </si>
  <si>
    <t>ZA8564518</t>
  </si>
  <si>
    <t>ZB4919502</t>
  </si>
  <si>
    <t>ZD1528216</t>
  </si>
  <si>
    <t>ZF4147586</t>
  </si>
  <si>
    <t>ZH3334379</t>
  </si>
  <si>
    <t>ZI3517735</t>
  </si>
  <si>
    <t>ZK2739690</t>
  </si>
  <si>
    <t>ZK3802976</t>
  </si>
  <si>
    <t>ZK5998016</t>
  </si>
  <si>
    <t>ZL8382710</t>
  </si>
  <si>
    <t>ZM3742771</t>
  </si>
  <si>
    <t>ZP2521365</t>
  </si>
  <si>
    <t>ZR1247685</t>
  </si>
  <si>
    <t>ZR2108192</t>
  </si>
  <si>
    <t>ZU7603316</t>
  </si>
  <si>
    <t>ZZ3954908</t>
  </si>
  <si>
    <t>June #2</t>
  </si>
  <si>
    <t>Student FTE</t>
  </si>
  <si>
    <t>Grant</t>
  </si>
  <si>
    <t>Assistance</t>
  </si>
  <si>
    <t>Literacy</t>
  </si>
  <si>
    <t>Disadvantaged</t>
  </si>
  <si>
    <t>LEP</t>
  </si>
  <si>
    <t>SEC</t>
  </si>
  <si>
    <t>CTE</t>
  </si>
  <si>
    <t>Transport</t>
  </si>
  <si>
    <t>Total Transfer</t>
  </si>
  <si>
    <t>Alternative Education Academy</t>
  </si>
  <si>
    <t>*Bio-Med Science Academy STEM S</t>
  </si>
  <si>
    <t>Electronic Classrm Of Tomorrow</t>
  </si>
  <si>
    <t>Mahoning Unlimited Classroom</t>
  </si>
  <si>
    <t>Ohio Connections Academy</t>
  </si>
  <si>
    <t>Ohio Virtual Academy</t>
  </si>
  <si>
    <t>Summit Academy-Youngstown</t>
  </si>
  <si>
    <t>DISTRICT</t>
  </si>
  <si>
    <t>COUNTY</t>
  </si>
  <si>
    <t>TYPE</t>
  </si>
  <si>
    <t>FTE</t>
  </si>
  <si>
    <t>or RECEIVED</t>
  </si>
  <si>
    <t>JOINTURE</t>
  </si>
  <si>
    <t>GIRARD CITY S.D.</t>
  </si>
  <si>
    <t>TRUMBULL</t>
  </si>
  <si>
    <t>OTH2</t>
  </si>
  <si>
    <t>SALEM CITY S.D.</t>
  </si>
  <si>
    <t>COLUMBIANA</t>
  </si>
  <si>
    <t>YOUNGSTOWN CITY SD</t>
  </si>
  <si>
    <t>MAHONING</t>
  </si>
  <si>
    <t>CTA2</t>
  </si>
  <si>
    <t>YOUNGSTOWN CITY S.D.</t>
  </si>
  <si>
    <t>OTHK</t>
  </si>
  <si>
    <t>SE22</t>
  </si>
  <si>
    <t>COLUMBIANA EX VIL S.</t>
  </si>
  <si>
    <t>LEETONIA EX VIL S.D.</t>
  </si>
  <si>
    <t>BEAVER LOCAL S.D.</t>
  </si>
  <si>
    <t>CRESTVIEW LOCAL S.D.</t>
  </si>
  <si>
    <t>SOUTHERN LOCAL S.D.</t>
  </si>
  <si>
    <t>AUSTINTOWN LOCAL S.D</t>
  </si>
  <si>
    <t>JACKSON-MILTON LOCAL</t>
  </si>
  <si>
    <t>CTA5</t>
  </si>
  <si>
    <t>SOUTH RANGE LOCAL SD</t>
  </si>
  <si>
    <t>SOUTH RANGE LOCAL S.</t>
  </si>
  <si>
    <t>SE32</t>
  </si>
  <si>
    <t>WESTERN RESERVE LOCA</t>
  </si>
  <si>
    <t>SE12</t>
  </si>
  <si>
    <t>LAKEVIEW LOCAL S.D.</t>
  </si>
  <si>
    <t>LORDSTOWN LOCAL S.D.</t>
  </si>
  <si>
    <t>MCDONALD LOCAL S.D.</t>
  </si>
  <si>
    <t>WEATHERSFIELD LOCAL</t>
  </si>
  <si>
    <t>SOUTH RANGE LOCAL SD/MAHONING CO CAREER &amp;</t>
  </si>
  <si>
    <t>--------</t>
  </si>
  <si>
    <t>JVSE</t>
  </si>
  <si>
    <t>WESTERN RESERVE LOCA/MAHONING CO CAREER &amp;</t>
  </si>
  <si>
    <t>JVSD</t>
  </si>
  <si>
    <t>TRUMBULL CAREER &amp; TE</t>
  </si>
  <si>
    <t>CTA4</t>
  </si>
  <si>
    <t>WEATHERSFIELD LOCAL /TRUMBULL CAREER &amp; TE</t>
  </si>
  <si>
    <t>44065 Total</t>
  </si>
  <si>
    <t>44735 Total</t>
  </si>
  <si>
    <t>45161 Total</t>
  </si>
  <si>
    <t>45328 Total</t>
  </si>
  <si>
    <t>45443 Total</t>
  </si>
  <si>
    <t>46425 Total</t>
  </si>
  <si>
    <t>46433 Total</t>
  </si>
  <si>
    <t>46441 Total</t>
  </si>
  <si>
    <t>48298 Total</t>
  </si>
  <si>
    <t>48322 Total</t>
  </si>
  <si>
    <t>48363 Total</t>
  </si>
  <si>
    <t>48397 Total</t>
  </si>
  <si>
    <t>50187 Total</t>
  </si>
  <si>
    <t>50203 Total</t>
  </si>
  <si>
    <t>50229 Total</t>
  </si>
  <si>
    <t>50252 Total</t>
  </si>
  <si>
    <t>Trumbull County Career Center</t>
  </si>
  <si>
    <t>Mahoning County Career Center</t>
  </si>
  <si>
    <t>SOUTH RANGE LOCAL S</t>
  </si>
  <si>
    <t>SE</t>
  </si>
  <si>
    <t>STATUS</t>
  </si>
  <si>
    <t>South Range</t>
  </si>
  <si>
    <t>Bldg IRN</t>
  </si>
  <si>
    <t>Emis ID</t>
  </si>
  <si>
    <t>Last Name</t>
  </si>
  <si>
    <t>First Name</t>
  </si>
  <si>
    <t>Total Enroll For This Rec</t>
  </si>
  <si>
    <t>Total For This Cal</t>
  </si>
  <si>
    <t>w</t>
  </si>
  <si>
    <t>x</t>
  </si>
  <si>
    <t>y</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</si>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</sst>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3" formatCode="_(* #,##0.00_);_(* \(#,##0.00\);_(* &quot;-&quot;??_);_(@_)"/>
    <numFmt numFmtId="164" formatCode="0.00000%"/>
    <numFmt numFmtId="165" formatCode="_(* #,##0_);_(* \(#,##0\);_(* &quot;-&quot;??_);_(@_)"/>
    <numFmt numFmtId="166" formatCode="0.000000000"/>
  </numFmts>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7.5"/>
      <color theme="1"/>
      <name val="Arial Unicode MS"/>
      <family val="2"/>
    </font>
    <font>
      <sz val="10.5"/>
      <name val="Calibri"/>
      <family val="2"/>
    </font>
    <font>
      <i/>
      <sz val="10.5"/>
      <name val="Calibri"/>
      <family val="2"/>
    </font>
    <font>
      <sz val="10.5"/>
      <name val="Courier New"/>
      <family val="3"/>
    </font>
    <font>
      <sz val="7.5"/>
      <color theme="1"/>
      <name val="Arial Unicode MS"/>
      <family val="2"/>
    </font>
    <font>
      <u/>
      <sz val="7.5"/>
      <color theme="1"/>
      <name val="Arial Unicode MS"/>
      <family val="2"/>
    </font>
    <font>
      <b/>
      <sz val="14"/>
      <name val="Calibri"/>
      <family val="2"/>
    </font>
    <font>
      <b/>
      <sz val="14"/>
      <color theme="1"/>
      <name val="Calibri"/>
      <family val="2"/>
      <scheme val="minor"/>
    </font>
    <font>
      <b/>
      <sz val="9"/>
      <color indexed="81"/>
      <name val="Tahoma"/>
      <family val="2"/>
    </font>
    <font>
      <sz val="9"/>
      <color indexed="81"/>
      <name val="Tahoma"/>
      <family val="2"/>
    </font>
    <font>
      <sz val="11"/>
      <name val="Calibri"/>
      <family val="2"/>
    </font>
    <font>
      <sz val="11"/>
      <color theme="1"/>
      <name val="Times New Roman"/>
      <family val="1"/>
    </font>
    <font>
      <u/>
      <sz val="11"/>
      <name val="Times New Roman"/>
      <family val="1"/>
    </font>
    <font>
      <b/>
      <u/>
      <sz val="7.5"/>
      <color theme="1"/>
      <name val="Arial Unicode MS"/>
      <family val="2"/>
    </font>
    <font>
      <b/>
      <sz val="16"/>
      <color theme="1"/>
      <name val="Calibri"/>
      <family val="2"/>
      <scheme val="minor"/>
    </font>
    <font>
      <sz val="10"/>
      <color theme="1"/>
      <name val="Arial Unicode MS"/>
      <family val="2"/>
    </font>
    <font>
      <u/>
      <sz val="10"/>
      <color theme="1"/>
      <name val="Arial Unicode MS"/>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style="thick">
        <color auto="1"/>
      </top>
      <bottom style="thick">
        <color auto="1"/>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2">
    <xf numFmtId="0" fontId="0" fillId="0" borderId="0" xfId="0"/>
    <xf numFmtId="0" fontId="0" fillId="0" borderId="0" xfId="0" applyFill="1"/>
    <xf numFmtId="0" fontId="18" fillId="0" borderId="0" xfId="0" applyFont="1" applyAlignment="1">
      <alignment vertical="center"/>
    </xf>
    <xf numFmtId="4" fontId="0" fillId="0" borderId="0" xfId="0" applyNumberFormat="1"/>
    <xf numFmtId="0" fontId="0" fillId="0" borderId="0" xfId="0" applyAlignment="1">
      <alignment horizontal="center"/>
    </xf>
    <xf numFmtId="0" fontId="19" fillId="0" borderId="0" xfId="0" applyFont="1" applyFill="1" applyAlignment="1" applyProtection="1">
      <alignment horizontal="center"/>
      <protection hidden="1"/>
    </xf>
    <xf numFmtId="0" fontId="19" fillId="0" borderId="0" xfId="0" applyFont="1" applyFill="1" applyAlignment="1" applyProtection="1">
      <alignment vertical="center"/>
      <protection hidden="1"/>
    </xf>
    <xf numFmtId="0" fontId="0" fillId="0" borderId="0" xfId="0" applyAlignment="1" applyProtection="1">
      <alignment vertical="center"/>
      <protection hidden="1"/>
    </xf>
    <xf numFmtId="4" fontId="19" fillId="0" borderId="0" xfId="0" applyNumberFormat="1" applyFont="1" applyFill="1" applyProtection="1"/>
    <xf numFmtId="0" fontId="19" fillId="0" borderId="0" xfId="0" applyFont="1" applyFill="1" applyAlignment="1" applyProtection="1">
      <protection hidden="1"/>
    </xf>
    <xf numFmtId="4" fontId="19" fillId="0" borderId="0" xfId="0" applyNumberFormat="1" applyFont="1" applyFill="1" applyAlignment="1" applyProtection="1">
      <alignment horizontal="right"/>
    </xf>
    <xf numFmtId="0" fontId="19" fillId="0" borderId="0" xfId="0" applyFont="1" applyFill="1" applyAlignment="1" applyProtection="1">
      <alignment horizontal="left"/>
      <protection hidden="1"/>
    </xf>
    <xf numFmtId="0" fontId="20" fillId="0" borderId="0" xfId="0" applyFont="1" applyFill="1" applyAlignment="1" applyProtection="1">
      <protection hidden="1"/>
    </xf>
    <xf numFmtId="0" fontId="0" fillId="0" borderId="0" xfId="0" applyAlignment="1" applyProtection="1">
      <protection hidden="1"/>
    </xf>
    <xf numFmtId="0" fontId="0" fillId="0" borderId="0" xfId="0" applyFill="1" applyAlignment="1" applyProtection="1">
      <protection hidden="1"/>
    </xf>
    <xf numFmtId="4" fontId="19" fillId="0" borderId="0" xfId="0" applyNumberFormat="1" applyFont="1" applyFill="1" applyProtection="1">
      <protection hidden="1"/>
    </xf>
    <xf numFmtId="0" fontId="21" fillId="0" borderId="0" xfId="0" applyFont="1" applyFill="1" applyAlignment="1" applyProtection="1">
      <alignment horizontal="center" vertical="center"/>
      <protection hidden="1"/>
    </xf>
    <xf numFmtId="43" fontId="0" fillId="0" borderId="0" xfId="1" applyFont="1"/>
    <xf numFmtId="1" fontId="19" fillId="0" borderId="0" xfId="0" applyNumberFormat="1" applyFont="1" applyFill="1" applyAlignment="1" applyProtection="1">
      <alignment horizontal="center"/>
      <protection hidden="1"/>
    </xf>
    <xf numFmtId="0" fontId="22" fillId="0" borderId="0" xfId="0" applyFont="1" applyAlignment="1">
      <alignment vertical="center"/>
    </xf>
    <xf numFmtId="0" fontId="23" fillId="0" borderId="0" xfId="0" applyFont="1" applyAlignment="1">
      <alignment horizontal="center" vertical="center"/>
    </xf>
    <xf numFmtId="0" fontId="24" fillId="0" borderId="0" xfId="0" applyFont="1" applyFill="1" applyAlignment="1" applyProtection="1">
      <protection hidden="1"/>
    </xf>
    <xf numFmtId="0" fontId="25" fillId="0" borderId="0" xfId="0" applyFont="1"/>
    <xf numFmtId="0" fontId="25" fillId="0" borderId="0" xfId="0" applyFont="1" applyAlignment="1">
      <alignment horizontal="center"/>
    </xf>
    <xf numFmtId="43" fontId="19" fillId="0" borderId="0" xfId="1" applyFont="1" applyFill="1" applyAlignment="1" applyProtection="1">
      <protection hidden="1"/>
    </xf>
    <xf numFmtId="43" fontId="19" fillId="0" borderId="0" xfId="0" applyNumberFormat="1" applyFont="1" applyFill="1" applyAlignment="1" applyProtection="1">
      <protection hidden="1"/>
    </xf>
    <xf numFmtId="4" fontId="19" fillId="0" borderId="0" xfId="0" applyNumberFormat="1" applyFont="1" applyFill="1" applyAlignment="1" applyProtection="1">
      <alignment vertical="center"/>
      <protection hidden="1"/>
    </xf>
    <xf numFmtId="4" fontId="19" fillId="0" borderId="0" xfId="0" applyNumberFormat="1" applyFont="1" applyFill="1" applyAlignment="1" applyProtection="1">
      <protection hidden="1"/>
    </xf>
    <xf numFmtId="43" fontId="0" fillId="0" borderId="0" xfId="1" applyFont="1" applyAlignment="1">
      <alignment horizontal="center"/>
    </xf>
    <xf numFmtId="0" fontId="0" fillId="33" borderId="0" xfId="0" applyFill="1" applyAlignment="1" applyProtection="1">
      <alignment horizontal="center" vertical="center"/>
      <protection hidden="1"/>
    </xf>
    <xf numFmtId="0" fontId="0" fillId="34" borderId="0" xfId="0" applyFill="1" applyAlignment="1" applyProtection="1">
      <alignment horizontal="center" vertical="center"/>
      <protection hidden="1"/>
    </xf>
    <xf numFmtId="2" fontId="19" fillId="0" borderId="0" xfId="0" applyNumberFormat="1" applyFont="1" applyFill="1" applyAlignment="1" applyProtection="1">
      <protection hidden="1"/>
    </xf>
    <xf numFmtId="164" fontId="19" fillId="0" borderId="0" xfId="2" applyNumberFormat="1" applyFont="1" applyFill="1" applyAlignment="1" applyProtection="1">
      <alignment horizontal="right"/>
    </xf>
    <xf numFmtId="0" fontId="0" fillId="0" borderId="0" xfId="0" applyAlignment="1">
      <alignment horizontal="center"/>
    </xf>
    <xf numFmtId="0" fontId="0" fillId="0" borderId="0" xfId="0"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2" fontId="0" fillId="0" borderId="0" xfId="0" applyNumberFormat="1"/>
    <xf numFmtId="0" fontId="16" fillId="0" borderId="0" xfId="0" applyFont="1"/>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xf>
    <xf numFmtId="10" fontId="19" fillId="0" borderId="0" xfId="2" applyNumberFormat="1" applyFont="1" applyFill="1" applyProtection="1"/>
    <xf numFmtId="10" fontId="19" fillId="0" borderId="0" xfId="2" applyNumberFormat="1" applyFont="1" applyFill="1" applyAlignment="1" applyProtection="1">
      <alignment horizontal="right"/>
    </xf>
    <xf numFmtId="10" fontId="0" fillId="0" borderId="0" xfId="2" applyNumberFormat="1" applyFont="1"/>
    <xf numFmtId="4" fontId="19" fillId="35" borderId="0" xfId="0" applyNumberFormat="1" applyFont="1" applyFill="1" applyProtection="1"/>
    <xf numFmtId="0" fontId="24" fillId="0" borderId="0" xfId="0" applyFont="1" applyFill="1" applyAlignment="1" applyProtection="1">
      <alignment horizontal="center"/>
      <protection hidden="1"/>
    </xf>
    <xf numFmtId="0" fontId="0" fillId="0" borderId="10" xfId="0" applyBorder="1" applyAlignment="1">
      <alignment horizontal="center"/>
    </xf>
    <xf numFmtId="0" fontId="0" fillId="0" borderId="0" xfId="0" applyAlignment="1">
      <alignment horizontal="center"/>
    </xf>
    <xf numFmtId="0" fontId="23" fillId="0" borderId="0" xfId="0" applyFont="1" applyAlignment="1">
      <alignment vertical="center"/>
    </xf>
    <xf numFmtId="0" fontId="29" fillId="0" borderId="0" xfId="0" applyFont="1"/>
    <xf numFmtId="0" fontId="30" fillId="0" borderId="0" xfId="0" quotePrefix="1" applyNumberFormat="1" applyFont="1" applyFill="1" applyAlignment="1">
      <alignment horizontal="center"/>
    </xf>
    <xf numFmtId="0" fontId="30" fillId="0" borderId="0" xfId="0" applyNumberFormat="1" applyFont="1" applyFill="1" applyAlignment="1">
      <alignment horizontal="left"/>
    </xf>
    <xf numFmtId="0" fontId="29" fillId="0" borderId="0" xfId="0" applyFont="1" applyBorder="1" applyAlignment="1">
      <alignment vertical="top"/>
    </xf>
    <xf numFmtId="9" fontId="28" fillId="0" borderId="0" xfId="2" applyFont="1" applyFill="1" applyAlignment="1" applyProtection="1">
      <alignment horizontal="center"/>
      <protection hidden="1"/>
    </xf>
    <xf numFmtId="0" fontId="0" fillId="0" borderId="0" xfId="0" applyAlignment="1"/>
    <xf numFmtId="0" fontId="0" fillId="0" borderId="0" xfId="0" applyFont="1" applyFill="1"/>
    <xf numFmtId="8" fontId="0" fillId="0" borderId="0" xfId="0" applyNumberFormat="1"/>
    <xf numFmtId="0" fontId="0" fillId="0" borderId="0" xfId="0" applyAlignment="1">
      <alignment horizontal="center" wrapText="1"/>
    </xf>
    <xf numFmtId="0" fontId="0" fillId="0" borderId="0" xfId="0" applyAlignment="1">
      <alignment horizontal="center"/>
    </xf>
    <xf numFmtId="43" fontId="0" fillId="0" borderId="0" xfId="0" applyNumberFormat="1"/>
    <xf numFmtId="0" fontId="19" fillId="0" borderId="0" xfId="0" applyFont="1" applyFill="1" applyAlignment="1" applyProtection="1">
      <alignment horizontal="center" vertical="center"/>
      <protection hidden="1"/>
    </xf>
    <xf numFmtId="0" fontId="0" fillId="0" borderId="0" xfId="0" applyFill="1" applyAlignment="1" applyProtection="1">
      <alignment horizontal="center"/>
      <protection hidden="1"/>
    </xf>
    <xf numFmtId="0" fontId="0" fillId="0" borderId="0" xfId="0" applyAlignment="1">
      <alignment horizontal="right"/>
    </xf>
    <xf numFmtId="0" fontId="19" fillId="0" borderId="0" xfId="0" applyFont="1" applyFill="1" applyAlignment="1" applyProtection="1">
      <alignment horizontal="right"/>
      <protection hidden="1"/>
    </xf>
    <xf numFmtId="0" fontId="0" fillId="36" borderId="0" xfId="0" applyFill="1" applyAlignment="1" applyProtection="1">
      <alignment horizontal="center" vertical="center"/>
      <protection hidden="1"/>
    </xf>
    <xf numFmtId="0" fontId="31" fillId="0" borderId="0" xfId="0" applyFont="1" applyAlignment="1">
      <alignment vertical="center"/>
    </xf>
    <xf numFmtId="0" fontId="0" fillId="0" borderId="0" xfId="0" applyAlignment="1">
      <alignment horizontal="center"/>
    </xf>
    <xf numFmtId="0" fontId="0" fillId="0" borderId="0" xfId="0" applyNumberFormat="1"/>
    <xf numFmtId="49" fontId="0" fillId="0" borderId="0" xfId="0" applyNumberFormat="1"/>
    <xf numFmtId="0" fontId="32" fillId="0" borderId="0" xfId="0" applyFont="1" applyAlignment="1">
      <alignment horizontal="center"/>
    </xf>
    <xf numFmtId="0" fontId="22" fillId="0" borderId="0" xfId="0" applyFont="1" applyAlignment="1">
      <alignment horizontal="center" vertical="center"/>
    </xf>
    <xf numFmtId="0" fontId="33" fillId="0" borderId="0" xfId="0" applyFont="1" applyAlignment="1">
      <alignment vertical="center"/>
    </xf>
    <xf numFmtId="165" fontId="0" fillId="0" borderId="0" xfId="1" applyNumberFormat="1" applyFont="1"/>
    <xf numFmtId="166" fontId="0" fillId="0" borderId="0" xfId="0" applyNumberFormat="1"/>
    <xf numFmtId="0" fontId="0" fillId="0" borderId="0" xfId="0" applyAlignment="1">
      <alignment horizontal="center"/>
    </xf>
    <xf numFmtId="166" fontId="0" fillId="37" borderId="0" xfId="0" applyNumberFormat="1" applyFill="1"/>
    <xf numFmtId="0" fontId="23" fillId="0" borderId="0" xfId="0" applyFont="1"/>
    <xf numFmtId="0" fontId="22" fillId="0" borderId="0" xfId="0" applyFont="1"/>
    <xf numFmtId="0" fontId="34" fillId="0" borderId="0" xfId="0" applyFont="1" applyAlignment="1">
      <alignment vertical="center"/>
    </xf>
    <xf numFmtId="0" fontId="33" fillId="0" borderId="0" xfId="0" applyFont="1"/>
    <xf numFmtId="0" fontId="0" fillId="0" borderId="0" xfId="0"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54"/>
  <sheetViews>
    <sheetView workbookViewId="0">
      <pane ySplit="1" topLeftCell="A2" activePane="bottomLeft" state="frozen"/>
      <selection pane="bottomLeft" activeCell="B15" sqref="B15"/>
    </sheetView>
  </sheetViews>
  <sheetFormatPr defaultRowHeight="14.4" x14ac:dyDescent="0.3"/>
  <cols>
    <col min="3" max="3" width="4.5546875" bestFit="1" customWidth="1"/>
    <col min="6" max="6" width="11" bestFit="1" customWidth="1"/>
    <col min="7" max="7" width="11.88671875" bestFit="1" customWidth="1"/>
    <col min="15" max="15" width="10.44140625" bestFit="1" customWidth="1"/>
    <col min="18" max="18" width="16.109375" bestFit="1" customWidth="1"/>
    <col min="19" max="19" width="17" bestFit="1" customWidth="1"/>
    <col min="25" max="25" width="25.21875" bestFit="1" customWidth="1"/>
    <col min="26" max="26" width="18" bestFit="1" customWidth="1"/>
  </cols>
  <sheetData>
    <row r="1" spans="1:27" x14ac:dyDescent="0.3">
      <c r="A1" t="s">
        <v>125</v>
      </c>
      <c r="B1" t="s">
        <v>3833</v>
      </c>
      <c r="C1" t="s">
        <v>126</v>
      </c>
      <c r="D1" t="s">
        <v>3834</v>
      </c>
      <c r="E1" t="s">
        <v>3835</v>
      </c>
      <c r="F1" t="s">
        <v>3836</v>
      </c>
      <c r="G1" t="s">
        <v>771</v>
      </c>
      <c r="H1" t="s">
        <v>127</v>
      </c>
      <c r="I1" t="s">
        <v>108</v>
      </c>
      <c r="J1" t="s">
        <v>109</v>
      </c>
      <c r="K1" t="s">
        <v>110</v>
      </c>
      <c r="L1" t="s">
        <v>111</v>
      </c>
      <c r="M1" t="s">
        <v>112</v>
      </c>
      <c r="N1" t="s">
        <v>113</v>
      </c>
      <c r="O1" t="s">
        <v>114</v>
      </c>
      <c r="P1" t="s">
        <v>115</v>
      </c>
      <c r="Q1" t="s">
        <v>116</v>
      </c>
      <c r="R1" t="s">
        <v>117</v>
      </c>
      <c r="S1" t="s">
        <v>118</v>
      </c>
      <c r="T1" t="s">
        <v>119</v>
      </c>
      <c r="U1" t="s">
        <v>120</v>
      </c>
      <c r="V1" t="s">
        <v>121</v>
      </c>
      <c r="W1" t="s">
        <v>122</v>
      </c>
      <c r="X1" t="s">
        <v>123</v>
      </c>
      <c r="Y1" t="s">
        <v>3837</v>
      </c>
      <c r="Z1" t="s">
        <v>3838</v>
      </c>
      <c r="AA1" t="s">
        <v>124</v>
      </c>
    </row>
    <row r="2" spans="1:27" x14ac:dyDescent="0.3">
      <c r="A2" t="str">
        <f t="shared" ref="A2:A65" si="0">"048314"</f>
        <v>048314</v>
      </c>
      <c r="B2" t="s">
        <v>831</v>
      </c>
      <c r="C2" t="s">
        <v>864</v>
      </c>
      <c r="D2" t="s">
        <v>3839</v>
      </c>
      <c r="E2" t="s">
        <v>3840</v>
      </c>
      <c r="F2" t="s">
        <v>3841</v>
      </c>
      <c r="G2" t="s">
        <v>3842</v>
      </c>
      <c r="H2" t="str">
        <f>"142950"</f>
        <v>142950</v>
      </c>
      <c r="I2" t="s">
        <v>833</v>
      </c>
      <c r="J2" t="str">
        <f>"2015-08-17 00:00:00.0"</f>
        <v>2015-08-17 00:00:00.0</v>
      </c>
      <c r="K2" t="s">
        <v>834</v>
      </c>
      <c r="L2" t="s">
        <v>2</v>
      </c>
      <c r="M2" t="str">
        <f t="shared" ref="M2:M65" si="1">"048314"</f>
        <v>048314</v>
      </c>
      <c r="N2">
        <v>0.36956499999999998</v>
      </c>
      <c r="O2">
        <v>0.36956499999999998</v>
      </c>
      <c r="P2" t="str">
        <f>"09"</f>
        <v>09</v>
      </c>
      <c r="Q2" t="s">
        <v>835</v>
      </c>
      <c r="S2" t="s">
        <v>860</v>
      </c>
      <c r="T2" t="s">
        <v>836</v>
      </c>
      <c r="U2" t="str">
        <f>"2015-11-19 00:00:00.0"</f>
        <v>2015-11-19 00:00:00.0</v>
      </c>
      <c r="V2" t="s">
        <v>837</v>
      </c>
      <c r="W2" t="str">
        <f>"142950-142950-**-**"</f>
        <v>142950-142950-**-**</v>
      </c>
      <c r="X2" t="s">
        <v>865</v>
      </c>
      <c r="Y2">
        <v>342.04</v>
      </c>
      <c r="Z2">
        <v>925.52</v>
      </c>
      <c r="AA2" t="str">
        <f>"05/25/2016"</f>
        <v>05/25/2016</v>
      </c>
    </row>
    <row r="3" spans="1:27" x14ac:dyDescent="0.3">
      <c r="A3" t="str">
        <f t="shared" si="0"/>
        <v>048314</v>
      </c>
      <c r="B3" t="s">
        <v>831</v>
      </c>
      <c r="C3" t="s">
        <v>1246</v>
      </c>
      <c r="D3" t="s">
        <v>3839</v>
      </c>
      <c r="E3" t="s">
        <v>3840</v>
      </c>
      <c r="F3" t="s">
        <v>3841</v>
      </c>
      <c r="G3" t="s">
        <v>3842</v>
      </c>
      <c r="H3" t="str">
        <f>"142950"</f>
        <v>142950</v>
      </c>
      <c r="I3" t="s">
        <v>833</v>
      </c>
      <c r="J3" t="str">
        <f>"2015-11-09 00:00:00.0"</f>
        <v>2015-11-09 00:00:00.0</v>
      </c>
      <c r="K3" t="s">
        <v>834</v>
      </c>
      <c r="L3" t="s">
        <v>2</v>
      </c>
      <c r="M3" t="str">
        <f t="shared" si="1"/>
        <v>048314</v>
      </c>
      <c r="N3">
        <v>0.67934799999999995</v>
      </c>
      <c r="O3">
        <v>0.67934799999999995</v>
      </c>
      <c r="P3" t="str">
        <f>"12"</f>
        <v>12</v>
      </c>
      <c r="Q3" t="s">
        <v>835</v>
      </c>
      <c r="S3" t="s">
        <v>836</v>
      </c>
      <c r="T3" t="s">
        <v>836</v>
      </c>
      <c r="U3" t="str">
        <f>"2500-12-31 00:00:00.0"</f>
        <v>2500-12-31 00:00:00.0</v>
      </c>
      <c r="V3" t="s">
        <v>837</v>
      </c>
      <c r="W3" t="str">
        <f>"142950-142950-**-**"</f>
        <v>142950-142950-**-**</v>
      </c>
      <c r="X3" t="s">
        <v>865</v>
      </c>
      <c r="Y3">
        <v>628.75</v>
      </c>
      <c r="Z3">
        <v>925.52</v>
      </c>
      <c r="AA3" t="str">
        <f>"05/25/2016"</f>
        <v>05/25/2016</v>
      </c>
    </row>
    <row r="4" spans="1:27" x14ac:dyDescent="0.3">
      <c r="A4" t="str">
        <f t="shared" si="0"/>
        <v>048314</v>
      </c>
      <c r="B4" t="s">
        <v>831</v>
      </c>
      <c r="C4" t="s">
        <v>1276</v>
      </c>
      <c r="D4" t="s">
        <v>3839</v>
      </c>
      <c r="E4" t="s">
        <v>3840</v>
      </c>
      <c r="F4" t="s">
        <v>3841</v>
      </c>
      <c r="G4" t="s">
        <v>3842</v>
      </c>
      <c r="H4" t="str">
        <f>"000623"</f>
        <v>000623</v>
      </c>
      <c r="I4" t="s">
        <v>833</v>
      </c>
      <c r="J4" t="str">
        <f>"2015-10-22 00:00:00.0"</f>
        <v>2015-10-22 00:00:00.0</v>
      </c>
      <c r="K4" t="s">
        <v>834</v>
      </c>
      <c r="L4" t="s">
        <v>2</v>
      </c>
      <c r="M4" t="str">
        <f t="shared" si="1"/>
        <v>048314</v>
      </c>
      <c r="N4">
        <v>0.80118699999999998</v>
      </c>
      <c r="O4">
        <v>0.80118699999999998</v>
      </c>
      <c r="P4" t="str">
        <f>"06"</f>
        <v>06</v>
      </c>
      <c r="Q4" t="str">
        <f>"15"</f>
        <v>15</v>
      </c>
      <c r="R4" t="str">
        <f>"2"</f>
        <v>2</v>
      </c>
      <c r="S4" t="s">
        <v>860</v>
      </c>
      <c r="T4" t="s">
        <v>836</v>
      </c>
      <c r="U4" t="str">
        <f>"2500-12-31 00:00:00.0"</f>
        <v>2500-12-31 00:00:00.0</v>
      </c>
      <c r="V4" t="s">
        <v>837</v>
      </c>
      <c r="W4" t="str">
        <f>"000623-000623-**-**"</f>
        <v>000623-000623-**-**</v>
      </c>
      <c r="X4" t="s">
        <v>1277</v>
      </c>
      <c r="Y4">
        <v>820.8</v>
      </c>
      <c r="Z4">
        <v>1024.48</v>
      </c>
      <c r="AA4" t="str">
        <f>"06/16/2016"</f>
        <v>06/16/2016</v>
      </c>
    </row>
    <row r="5" spans="1:27" x14ac:dyDescent="0.3">
      <c r="A5" t="str">
        <f t="shared" si="0"/>
        <v>048314</v>
      </c>
      <c r="B5" t="s">
        <v>831</v>
      </c>
      <c r="C5" t="s">
        <v>1276</v>
      </c>
      <c r="D5" t="s">
        <v>3839</v>
      </c>
      <c r="E5" t="s">
        <v>3840</v>
      </c>
      <c r="F5" t="s">
        <v>3841</v>
      </c>
      <c r="G5" t="s">
        <v>3842</v>
      </c>
      <c r="H5" t="str">
        <f>"000623"</f>
        <v>000623</v>
      </c>
      <c r="I5" t="s">
        <v>833</v>
      </c>
      <c r="J5" t="str">
        <f>"2015-09-01 00:00:00.0"</f>
        <v>2015-09-01 00:00:00.0</v>
      </c>
      <c r="K5" t="s">
        <v>834</v>
      </c>
      <c r="L5" t="s">
        <v>2</v>
      </c>
      <c r="M5" t="str">
        <f t="shared" si="1"/>
        <v>048314</v>
      </c>
      <c r="N5">
        <v>0.19881299999999999</v>
      </c>
      <c r="O5">
        <v>0.19881299999999999</v>
      </c>
      <c r="P5" t="str">
        <f>"06"</f>
        <v>06</v>
      </c>
      <c r="Q5" t="s">
        <v>835</v>
      </c>
      <c r="S5" t="s">
        <v>860</v>
      </c>
      <c r="T5" t="s">
        <v>836</v>
      </c>
      <c r="U5" t="str">
        <f>"2015-10-21 00:00:00.0"</f>
        <v>2015-10-21 00:00:00.0</v>
      </c>
      <c r="V5" t="s">
        <v>837</v>
      </c>
      <c r="W5" t="str">
        <f>"000623-000623-**-**"</f>
        <v>000623-000623-**-**</v>
      </c>
      <c r="X5" t="s">
        <v>1277</v>
      </c>
      <c r="Y5">
        <v>203.68</v>
      </c>
      <c r="Z5">
        <v>1024.48</v>
      </c>
      <c r="AA5" t="str">
        <f>"06/08/2016"</f>
        <v>06/08/2016</v>
      </c>
    </row>
    <row r="6" spans="1:27" x14ac:dyDescent="0.3">
      <c r="A6" t="str">
        <f t="shared" si="0"/>
        <v>048314</v>
      </c>
      <c r="B6" t="s">
        <v>831</v>
      </c>
      <c r="C6" t="s">
        <v>1538</v>
      </c>
      <c r="D6" t="s">
        <v>3839</v>
      </c>
      <c r="E6" t="s">
        <v>3840</v>
      </c>
      <c r="F6" t="s">
        <v>3841</v>
      </c>
      <c r="G6" t="s">
        <v>3842</v>
      </c>
      <c r="H6" t="str">
        <f>"143396"</f>
        <v>143396</v>
      </c>
      <c r="I6" t="s">
        <v>833</v>
      </c>
      <c r="J6" t="str">
        <f>"2015-07-01 00:00:00.0"</f>
        <v>2015-07-01 00:00:00.0</v>
      </c>
      <c r="K6" t="s">
        <v>834</v>
      </c>
      <c r="L6" t="s">
        <v>2</v>
      </c>
      <c r="M6" t="str">
        <f t="shared" si="1"/>
        <v>048314</v>
      </c>
      <c r="N6">
        <v>0.52688199999999996</v>
      </c>
      <c r="O6">
        <v>0.52688199999999996</v>
      </c>
      <c r="P6" t="str">
        <f>"02"</f>
        <v>02</v>
      </c>
      <c r="Q6" t="s">
        <v>835</v>
      </c>
      <c r="S6" t="s">
        <v>836</v>
      </c>
      <c r="T6" t="s">
        <v>836</v>
      </c>
      <c r="U6" t="str">
        <f>"2016-01-14 00:00:00.0"</f>
        <v>2016-01-14 00:00:00.0</v>
      </c>
      <c r="V6" t="s">
        <v>837</v>
      </c>
      <c r="W6" t="str">
        <f>"143396-143396-02-**"</f>
        <v>143396-143396-02-**</v>
      </c>
      <c r="X6" t="s">
        <v>865</v>
      </c>
      <c r="Y6">
        <v>588</v>
      </c>
      <c r="Z6">
        <v>1116</v>
      </c>
      <c r="AA6" t="str">
        <f>"05/25/2016"</f>
        <v>05/25/2016</v>
      </c>
    </row>
    <row r="7" spans="1:27" x14ac:dyDescent="0.3">
      <c r="A7" t="str">
        <f t="shared" si="0"/>
        <v>048314</v>
      </c>
      <c r="B7" t="s">
        <v>831</v>
      </c>
      <c r="C7" t="s">
        <v>1782</v>
      </c>
      <c r="D7" t="s">
        <v>3839</v>
      </c>
      <c r="E7" t="s">
        <v>3840</v>
      </c>
      <c r="F7" t="s">
        <v>3841</v>
      </c>
      <c r="G7" t="s">
        <v>3842</v>
      </c>
      <c r="H7" t="str">
        <f>"000236"</f>
        <v>000236</v>
      </c>
      <c r="I7" t="s">
        <v>833</v>
      </c>
      <c r="J7" t="str">
        <f>"2015-08-31 00:00:00.0"</f>
        <v>2015-08-31 00:00:00.0</v>
      </c>
      <c r="K7" t="s">
        <v>834</v>
      </c>
      <c r="L7" t="s">
        <v>2</v>
      </c>
      <c r="M7" t="str">
        <f t="shared" si="1"/>
        <v>048314</v>
      </c>
      <c r="N7">
        <v>1</v>
      </c>
      <c r="O7">
        <v>1</v>
      </c>
      <c r="P7" t="str">
        <f>"10"</f>
        <v>10</v>
      </c>
      <c r="Q7" t="s">
        <v>835</v>
      </c>
      <c r="S7" t="s">
        <v>836</v>
      </c>
      <c r="T7" t="s">
        <v>836</v>
      </c>
      <c r="U7" t="str">
        <f t="shared" ref="U7:U70" si="2">"2500-12-31 00:00:00.0"</f>
        <v>2500-12-31 00:00:00.0</v>
      </c>
      <c r="V7" t="s">
        <v>837</v>
      </c>
      <c r="W7" t="str">
        <f>"000236-000236-**-**"</f>
        <v>000236-000236-**-**</v>
      </c>
      <c r="X7" t="s">
        <v>865</v>
      </c>
      <c r="Y7">
        <v>962.5</v>
      </c>
      <c r="Z7">
        <v>962.5</v>
      </c>
      <c r="AA7" t="str">
        <f>"05/21/2016"</f>
        <v>05/21/2016</v>
      </c>
    </row>
    <row r="8" spans="1:27" x14ac:dyDescent="0.3">
      <c r="A8" t="str">
        <f t="shared" si="0"/>
        <v>048314</v>
      </c>
      <c r="B8" t="s">
        <v>831</v>
      </c>
      <c r="C8" t="s">
        <v>2060</v>
      </c>
      <c r="D8" t="s">
        <v>3839</v>
      </c>
      <c r="E8" t="s">
        <v>3840</v>
      </c>
      <c r="F8" t="s">
        <v>3841</v>
      </c>
      <c r="G8" t="s">
        <v>3842</v>
      </c>
      <c r="H8" t="str">
        <f>"048397"</f>
        <v>048397</v>
      </c>
      <c r="I8" t="s">
        <v>833</v>
      </c>
      <c r="J8" t="str">
        <f t="shared" ref="J8:J14" si="3">"2015-07-01 00:00:00.0"</f>
        <v>2015-07-01 00:00:00.0</v>
      </c>
      <c r="K8" t="s">
        <v>834</v>
      </c>
      <c r="L8" t="s">
        <v>1</v>
      </c>
      <c r="M8" t="str">
        <f t="shared" si="1"/>
        <v>048314</v>
      </c>
      <c r="N8">
        <v>1</v>
      </c>
      <c r="O8">
        <v>1</v>
      </c>
      <c r="P8" t="str">
        <f>"11"</f>
        <v>11</v>
      </c>
      <c r="Q8" t="s">
        <v>835</v>
      </c>
      <c r="S8" t="s">
        <v>860</v>
      </c>
      <c r="T8" t="s">
        <v>836</v>
      </c>
      <c r="U8" t="str">
        <f t="shared" si="2"/>
        <v>2500-12-31 00:00:00.0</v>
      </c>
      <c r="V8" t="s">
        <v>837</v>
      </c>
      <c r="W8" t="str">
        <f>"048397-042333-**-**"</f>
        <v>048397-042333-**-**</v>
      </c>
      <c r="X8" t="s">
        <v>838</v>
      </c>
      <c r="Y8">
        <v>1113.0999999999999</v>
      </c>
      <c r="Z8">
        <v>1113.0999999999999</v>
      </c>
      <c r="AA8" t="str">
        <f>"06/08/2016"</f>
        <v>06/08/2016</v>
      </c>
    </row>
    <row r="9" spans="1:27" x14ac:dyDescent="0.3">
      <c r="A9" t="str">
        <f t="shared" si="0"/>
        <v>048314</v>
      </c>
      <c r="B9" t="s">
        <v>831</v>
      </c>
      <c r="C9" t="s">
        <v>2651</v>
      </c>
      <c r="D9" t="s">
        <v>3839</v>
      </c>
      <c r="E9" t="s">
        <v>3840</v>
      </c>
      <c r="F9" t="s">
        <v>3841</v>
      </c>
      <c r="G9" t="s">
        <v>3842</v>
      </c>
      <c r="H9" t="str">
        <f>"045443"</f>
        <v>045443</v>
      </c>
      <c r="I9" t="s">
        <v>833</v>
      </c>
      <c r="J9" t="str">
        <f t="shared" si="3"/>
        <v>2015-07-01 00:00:00.0</v>
      </c>
      <c r="K9" t="s">
        <v>834</v>
      </c>
      <c r="L9" t="s">
        <v>1</v>
      </c>
      <c r="M9" t="str">
        <f t="shared" si="1"/>
        <v>048314</v>
      </c>
      <c r="N9">
        <v>1</v>
      </c>
      <c r="O9">
        <v>1</v>
      </c>
      <c r="P9" t="str">
        <f>"06"</f>
        <v>06</v>
      </c>
      <c r="Q9" t="s">
        <v>835</v>
      </c>
      <c r="S9" t="s">
        <v>836</v>
      </c>
      <c r="T9" t="s">
        <v>836</v>
      </c>
      <c r="U9" t="str">
        <f t="shared" si="2"/>
        <v>2500-12-31 00:00:00.0</v>
      </c>
      <c r="V9" t="s">
        <v>837</v>
      </c>
      <c r="W9" t="str">
        <f>"045443-028746-**-**"</f>
        <v>045443-028746-**-**</v>
      </c>
      <c r="X9" t="s">
        <v>838</v>
      </c>
      <c r="Y9">
        <v>1116.3900000000001</v>
      </c>
      <c r="Z9">
        <v>1116.3900000000001</v>
      </c>
      <c r="AA9" t="str">
        <f>"05/28/2016"</f>
        <v>05/28/2016</v>
      </c>
    </row>
    <row r="10" spans="1:27" x14ac:dyDescent="0.3">
      <c r="A10" t="str">
        <f t="shared" si="0"/>
        <v>048314</v>
      </c>
      <c r="B10" t="s">
        <v>831</v>
      </c>
      <c r="C10" t="s">
        <v>2622</v>
      </c>
      <c r="D10" t="s">
        <v>3839</v>
      </c>
      <c r="E10" t="s">
        <v>3840</v>
      </c>
      <c r="F10" t="s">
        <v>3841</v>
      </c>
      <c r="G10" t="s">
        <v>3842</v>
      </c>
      <c r="H10" t="str">
        <f>"045328"</f>
        <v>045328</v>
      </c>
      <c r="I10" t="s">
        <v>833</v>
      </c>
      <c r="J10" t="str">
        <f t="shared" si="3"/>
        <v>2015-07-01 00:00:00.0</v>
      </c>
      <c r="K10" t="s">
        <v>834</v>
      </c>
      <c r="L10" t="s">
        <v>1</v>
      </c>
      <c r="M10" t="str">
        <f t="shared" si="1"/>
        <v>048314</v>
      </c>
      <c r="N10">
        <v>1</v>
      </c>
      <c r="O10">
        <v>1</v>
      </c>
      <c r="P10" t="str">
        <f>"06"</f>
        <v>06</v>
      </c>
      <c r="Q10" t="s">
        <v>835</v>
      </c>
      <c r="S10" t="s">
        <v>836</v>
      </c>
      <c r="T10" t="s">
        <v>836</v>
      </c>
      <c r="U10" t="str">
        <f t="shared" si="2"/>
        <v>2500-12-31 00:00:00.0</v>
      </c>
      <c r="V10" t="s">
        <v>837</v>
      </c>
      <c r="W10" t="str">
        <f>"045328-033340-**-**"</f>
        <v>045328-033340-**-**</v>
      </c>
      <c r="X10" t="s">
        <v>838</v>
      </c>
      <c r="Y10">
        <v>1231</v>
      </c>
      <c r="Z10">
        <v>1231</v>
      </c>
      <c r="AA10" t="str">
        <f>"06/04/2016"</f>
        <v>06/04/2016</v>
      </c>
    </row>
    <row r="11" spans="1:27" x14ac:dyDescent="0.3">
      <c r="A11" t="str">
        <f t="shared" si="0"/>
        <v>048314</v>
      </c>
      <c r="B11" t="s">
        <v>831</v>
      </c>
      <c r="C11" t="s">
        <v>3486</v>
      </c>
      <c r="D11" t="s">
        <v>3839</v>
      </c>
      <c r="E11" t="s">
        <v>3840</v>
      </c>
      <c r="F11" t="s">
        <v>3841</v>
      </c>
      <c r="G11" t="s">
        <v>3842</v>
      </c>
      <c r="H11" t="str">
        <f>"014231"</f>
        <v>014231</v>
      </c>
      <c r="I11" t="s">
        <v>833</v>
      </c>
      <c r="J11" t="str">
        <f t="shared" si="3"/>
        <v>2015-07-01 00:00:00.0</v>
      </c>
      <c r="K11" t="s">
        <v>834</v>
      </c>
      <c r="L11" t="s">
        <v>99</v>
      </c>
      <c r="M11" t="str">
        <f t="shared" si="1"/>
        <v>048314</v>
      </c>
      <c r="N11">
        <v>1</v>
      </c>
      <c r="O11">
        <v>1</v>
      </c>
      <c r="P11" t="str">
        <f>"12"</f>
        <v>12</v>
      </c>
      <c r="Q11" t="s">
        <v>835</v>
      </c>
      <c r="S11" t="s">
        <v>836</v>
      </c>
      <c r="T11" t="s">
        <v>836</v>
      </c>
      <c r="U11" t="str">
        <f t="shared" si="2"/>
        <v>2500-12-31 00:00:00.0</v>
      </c>
      <c r="V11" t="s">
        <v>837</v>
      </c>
      <c r="W11" t="str">
        <f>"014231-014231-12-**"</f>
        <v>014231-014231-12-**</v>
      </c>
      <c r="X11" t="s">
        <v>1799</v>
      </c>
      <c r="Y11">
        <v>1187.5</v>
      </c>
      <c r="Z11">
        <v>1187.5</v>
      </c>
      <c r="AA11" t="str">
        <f>"05/25/2016"</f>
        <v>05/25/2016</v>
      </c>
    </row>
    <row r="12" spans="1:27" x14ac:dyDescent="0.3">
      <c r="A12" t="str">
        <f t="shared" si="0"/>
        <v>048314</v>
      </c>
      <c r="B12" t="s">
        <v>831</v>
      </c>
      <c r="C12" t="s">
        <v>3627</v>
      </c>
      <c r="D12" t="s">
        <v>3839</v>
      </c>
      <c r="E12" t="s">
        <v>3840</v>
      </c>
      <c r="F12" t="s">
        <v>3841</v>
      </c>
      <c r="G12" t="s">
        <v>3842</v>
      </c>
      <c r="H12" t="str">
        <f>"142950"</f>
        <v>142950</v>
      </c>
      <c r="I12" t="s">
        <v>833</v>
      </c>
      <c r="J12" t="str">
        <f t="shared" si="3"/>
        <v>2015-07-01 00:00:00.0</v>
      </c>
      <c r="K12" t="s">
        <v>834</v>
      </c>
      <c r="L12" t="s">
        <v>2</v>
      </c>
      <c r="M12" t="str">
        <f t="shared" si="1"/>
        <v>048314</v>
      </c>
      <c r="N12">
        <v>1</v>
      </c>
      <c r="O12">
        <v>1</v>
      </c>
      <c r="P12" t="str">
        <f>"11"</f>
        <v>11</v>
      </c>
      <c r="Q12" t="s">
        <v>835</v>
      </c>
      <c r="S12" t="s">
        <v>860</v>
      </c>
      <c r="T12" t="s">
        <v>836</v>
      </c>
      <c r="U12" t="str">
        <f t="shared" si="2"/>
        <v>2500-12-31 00:00:00.0</v>
      </c>
      <c r="V12" t="s">
        <v>837</v>
      </c>
      <c r="W12" t="str">
        <f>"142950-142950-**-**"</f>
        <v>142950-142950-**-**</v>
      </c>
      <c r="X12" t="s">
        <v>865</v>
      </c>
      <c r="Y12">
        <v>925.52</v>
      </c>
      <c r="Z12">
        <v>925.52</v>
      </c>
      <c r="AA12" t="str">
        <f>"05/25/2016"</f>
        <v>05/25/2016</v>
      </c>
    </row>
    <row r="13" spans="1:27" x14ac:dyDescent="0.3">
      <c r="A13" t="str">
        <f t="shared" si="0"/>
        <v>048314</v>
      </c>
      <c r="B13" t="s">
        <v>831</v>
      </c>
      <c r="C13" t="s">
        <v>3628</v>
      </c>
      <c r="D13" t="s">
        <v>3839</v>
      </c>
      <c r="E13" t="s">
        <v>3840</v>
      </c>
      <c r="F13" t="s">
        <v>3841</v>
      </c>
      <c r="G13" t="s">
        <v>3842</v>
      </c>
      <c r="H13" t="str">
        <f>"142950"</f>
        <v>142950</v>
      </c>
      <c r="I13" t="s">
        <v>833</v>
      </c>
      <c r="J13" t="str">
        <f t="shared" si="3"/>
        <v>2015-07-01 00:00:00.0</v>
      </c>
      <c r="K13" t="s">
        <v>834</v>
      </c>
      <c r="L13" t="s">
        <v>2</v>
      </c>
      <c r="M13" t="str">
        <f t="shared" si="1"/>
        <v>048314</v>
      </c>
      <c r="N13">
        <v>1</v>
      </c>
      <c r="O13">
        <v>1</v>
      </c>
      <c r="P13" t="str">
        <f>"12"</f>
        <v>12</v>
      </c>
      <c r="Q13" t="s">
        <v>835</v>
      </c>
      <c r="S13" t="s">
        <v>860</v>
      </c>
      <c r="T13" t="s">
        <v>836</v>
      </c>
      <c r="U13" t="str">
        <f t="shared" si="2"/>
        <v>2500-12-31 00:00:00.0</v>
      </c>
      <c r="V13" t="s">
        <v>837</v>
      </c>
      <c r="W13" t="str">
        <f>"142950-142950-**-**"</f>
        <v>142950-142950-**-**</v>
      </c>
      <c r="X13" t="s">
        <v>865</v>
      </c>
      <c r="Y13">
        <v>925.52</v>
      </c>
      <c r="Z13">
        <v>925.52</v>
      </c>
      <c r="AA13" t="str">
        <f>"05/25/2016"</f>
        <v>05/25/2016</v>
      </c>
    </row>
    <row r="14" spans="1:27" x14ac:dyDescent="0.3">
      <c r="A14" t="str">
        <f t="shared" si="0"/>
        <v>048314</v>
      </c>
      <c r="B14" t="s">
        <v>831</v>
      </c>
      <c r="C14" t="s">
        <v>3654</v>
      </c>
      <c r="D14" t="s">
        <v>3839</v>
      </c>
      <c r="E14" t="s">
        <v>3840</v>
      </c>
      <c r="F14" t="s">
        <v>3841</v>
      </c>
      <c r="G14" t="s">
        <v>3842</v>
      </c>
      <c r="H14" t="str">
        <f>"045328"</f>
        <v>045328</v>
      </c>
      <c r="I14" t="s">
        <v>833</v>
      </c>
      <c r="J14" t="str">
        <f t="shared" si="3"/>
        <v>2015-07-01 00:00:00.0</v>
      </c>
      <c r="K14" t="s">
        <v>834</v>
      </c>
      <c r="L14" t="s">
        <v>1</v>
      </c>
      <c r="M14" t="str">
        <f t="shared" si="1"/>
        <v>048314</v>
      </c>
      <c r="N14">
        <v>1</v>
      </c>
      <c r="O14">
        <v>1</v>
      </c>
      <c r="P14" t="s">
        <v>764</v>
      </c>
      <c r="Q14" t="s">
        <v>835</v>
      </c>
      <c r="S14" t="s">
        <v>836</v>
      </c>
      <c r="T14" t="s">
        <v>836</v>
      </c>
      <c r="U14" t="str">
        <f t="shared" si="2"/>
        <v>2500-12-31 00:00:00.0</v>
      </c>
      <c r="V14" t="s">
        <v>837</v>
      </c>
      <c r="W14" t="str">
        <f>"045328-008540-**-**"</f>
        <v>045328-008540-**-**</v>
      </c>
      <c r="X14" t="s">
        <v>838</v>
      </c>
      <c r="Y14">
        <v>1142.5</v>
      </c>
      <c r="Z14">
        <v>1142.5</v>
      </c>
      <c r="AA14" t="str">
        <f>"06/04/2016"</f>
        <v>06/04/2016</v>
      </c>
    </row>
    <row r="15" spans="1:27" x14ac:dyDescent="0.3">
      <c r="A15" t="str">
        <f t="shared" si="0"/>
        <v>048314</v>
      </c>
      <c r="B15" t="s">
        <v>831</v>
      </c>
      <c r="C15" t="s">
        <v>3698</v>
      </c>
      <c r="D15" t="s">
        <v>3839</v>
      </c>
      <c r="E15" t="s">
        <v>3840</v>
      </c>
      <c r="F15" t="s">
        <v>3841</v>
      </c>
      <c r="G15" t="s">
        <v>3842</v>
      </c>
      <c r="H15" t="str">
        <f>"014231"</f>
        <v>014231</v>
      </c>
      <c r="I15" t="s">
        <v>833</v>
      </c>
      <c r="J15" t="str">
        <f>"2015-08-06 00:00:00.0"</f>
        <v>2015-08-06 00:00:00.0</v>
      </c>
      <c r="K15" t="s">
        <v>834</v>
      </c>
      <c r="L15" t="s">
        <v>99</v>
      </c>
      <c r="M15" t="str">
        <f t="shared" si="1"/>
        <v>048314</v>
      </c>
      <c r="N15">
        <v>1</v>
      </c>
      <c r="O15">
        <v>1</v>
      </c>
      <c r="P15" t="str">
        <f>"09"</f>
        <v>09</v>
      </c>
      <c r="Q15" t="s">
        <v>835</v>
      </c>
      <c r="S15" t="s">
        <v>836</v>
      </c>
      <c r="T15" t="s">
        <v>836</v>
      </c>
      <c r="U15" t="str">
        <f t="shared" si="2"/>
        <v>2500-12-31 00:00:00.0</v>
      </c>
      <c r="V15" t="s">
        <v>837</v>
      </c>
      <c r="W15" t="str">
        <f>"014231-014231-**-**"</f>
        <v>014231-014231-**-**</v>
      </c>
      <c r="X15" t="s">
        <v>1799</v>
      </c>
      <c r="Y15">
        <v>1237.5</v>
      </c>
      <c r="Z15">
        <v>1237.5</v>
      </c>
      <c r="AA15" t="str">
        <f>"05/25/2016"</f>
        <v>05/25/2016</v>
      </c>
    </row>
    <row r="16" spans="1:27" x14ac:dyDescent="0.3">
      <c r="A16" t="str">
        <f t="shared" si="0"/>
        <v>048314</v>
      </c>
      <c r="B16" t="s">
        <v>831</v>
      </c>
      <c r="C16" t="s">
        <v>3748</v>
      </c>
      <c r="D16" t="s">
        <v>3839</v>
      </c>
      <c r="E16" t="s">
        <v>3840</v>
      </c>
      <c r="F16" t="s">
        <v>3841</v>
      </c>
      <c r="G16" t="s">
        <v>3842</v>
      </c>
      <c r="H16" t="str">
        <f>"014231"</f>
        <v>014231</v>
      </c>
      <c r="I16" t="s">
        <v>833</v>
      </c>
      <c r="J16" t="str">
        <f>"2015-07-01 00:00:00.0"</f>
        <v>2015-07-01 00:00:00.0</v>
      </c>
      <c r="K16" t="s">
        <v>834</v>
      </c>
      <c r="L16" t="s">
        <v>99</v>
      </c>
      <c r="M16" t="str">
        <f t="shared" si="1"/>
        <v>048314</v>
      </c>
      <c r="N16">
        <v>1</v>
      </c>
      <c r="O16">
        <v>1</v>
      </c>
      <c r="P16" t="str">
        <f>"10"</f>
        <v>10</v>
      </c>
      <c r="Q16" t="s">
        <v>835</v>
      </c>
      <c r="S16" t="s">
        <v>836</v>
      </c>
      <c r="T16" t="s">
        <v>836</v>
      </c>
      <c r="U16" t="str">
        <f t="shared" si="2"/>
        <v>2500-12-31 00:00:00.0</v>
      </c>
      <c r="V16" t="s">
        <v>837</v>
      </c>
      <c r="W16" t="str">
        <f>"014231-014231-10-**"</f>
        <v>014231-014231-10-**</v>
      </c>
      <c r="X16" t="s">
        <v>1799</v>
      </c>
      <c r="Y16">
        <v>1231.25</v>
      </c>
      <c r="Z16">
        <v>1231.25</v>
      </c>
      <c r="AA16" t="str">
        <f>"05/25/2016"</f>
        <v>05/25/2016</v>
      </c>
    </row>
    <row r="17" spans="1:27" x14ac:dyDescent="0.3">
      <c r="A17" t="str">
        <f t="shared" si="0"/>
        <v>048314</v>
      </c>
      <c r="B17" t="s">
        <v>831</v>
      </c>
      <c r="C17" t="s">
        <v>1485</v>
      </c>
      <c r="D17" t="s">
        <v>3839</v>
      </c>
      <c r="E17" t="s">
        <v>3840</v>
      </c>
      <c r="F17" t="s">
        <v>3841</v>
      </c>
      <c r="G17" t="s">
        <v>3842</v>
      </c>
      <c r="H17" t="str">
        <f t="shared" ref="H17:H37" si="4">"048314"</f>
        <v>048314</v>
      </c>
      <c r="I17" t="s">
        <v>833</v>
      </c>
      <c r="J17" t="str">
        <f>"2015-08-01 00:00:00.0"</f>
        <v>2015-08-01 00:00:00.0</v>
      </c>
      <c r="K17" t="s">
        <v>834</v>
      </c>
      <c r="L17" t="s">
        <v>0</v>
      </c>
      <c r="M17" t="str">
        <f t="shared" si="1"/>
        <v>048314</v>
      </c>
      <c r="N17">
        <v>1</v>
      </c>
      <c r="O17">
        <v>1</v>
      </c>
      <c r="P17" t="s">
        <v>764</v>
      </c>
      <c r="Q17" t="s">
        <v>835</v>
      </c>
      <c r="S17" t="s">
        <v>860</v>
      </c>
      <c r="T17" t="s">
        <v>836</v>
      </c>
      <c r="U17" t="str">
        <f t="shared" si="2"/>
        <v>2500-12-31 00:00:00.0</v>
      </c>
      <c r="V17" t="s">
        <v>837</v>
      </c>
      <c r="W17" t="str">
        <f t="shared" ref="W17:W29" si="5">"048314-004697-**-**"</f>
        <v>048314-004697-**-**</v>
      </c>
      <c r="X17" t="s">
        <v>838</v>
      </c>
      <c r="Y17">
        <v>1206.25</v>
      </c>
      <c r="Z17">
        <v>1206.25</v>
      </c>
      <c r="AA17" t="str">
        <f t="shared" ref="AA17:AA37" si="6">"06/08/2016"</f>
        <v>06/08/2016</v>
      </c>
    </row>
    <row r="18" spans="1:27" x14ac:dyDescent="0.3">
      <c r="A18" t="str">
        <f t="shared" si="0"/>
        <v>048314</v>
      </c>
      <c r="B18" t="s">
        <v>831</v>
      </c>
      <c r="C18" t="s">
        <v>1014</v>
      </c>
      <c r="D18" t="s">
        <v>3839</v>
      </c>
      <c r="E18" t="s">
        <v>3840</v>
      </c>
      <c r="F18" t="s">
        <v>3841</v>
      </c>
      <c r="G18" t="s">
        <v>3842</v>
      </c>
      <c r="H18" t="str">
        <f t="shared" si="4"/>
        <v>048314</v>
      </c>
      <c r="I18" t="s">
        <v>833</v>
      </c>
      <c r="J18" t="str">
        <f>"2015-08-01 00:00:00.0"</f>
        <v>2015-08-01 00:00:00.0</v>
      </c>
      <c r="K18" t="s">
        <v>834</v>
      </c>
      <c r="L18" t="s">
        <v>0</v>
      </c>
      <c r="M18" t="str">
        <f t="shared" si="1"/>
        <v>048314</v>
      </c>
      <c r="N18">
        <v>1</v>
      </c>
      <c r="O18">
        <v>1</v>
      </c>
      <c r="P18" t="s">
        <v>764</v>
      </c>
      <c r="Q18" t="s">
        <v>835</v>
      </c>
      <c r="S18" t="s">
        <v>836</v>
      </c>
      <c r="T18" t="s">
        <v>836</v>
      </c>
      <c r="U18" t="str">
        <f t="shared" si="2"/>
        <v>2500-12-31 00:00:00.0</v>
      </c>
      <c r="V18" t="s">
        <v>837</v>
      </c>
      <c r="W18" t="str">
        <f t="shared" si="5"/>
        <v>048314-004697-**-**</v>
      </c>
      <c r="X18" t="s">
        <v>838</v>
      </c>
      <c r="Y18">
        <v>1206.25</v>
      </c>
      <c r="Z18">
        <v>1206.25</v>
      </c>
      <c r="AA18" t="str">
        <f t="shared" si="6"/>
        <v>06/08/2016</v>
      </c>
    </row>
    <row r="19" spans="1:27" x14ac:dyDescent="0.3">
      <c r="A19" t="str">
        <f t="shared" si="0"/>
        <v>048314</v>
      </c>
      <c r="B19" t="s">
        <v>831</v>
      </c>
      <c r="C19" t="s">
        <v>1636</v>
      </c>
      <c r="D19" t="s">
        <v>3839</v>
      </c>
      <c r="E19" t="s">
        <v>3840</v>
      </c>
      <c r="F19" t="s">
        <v>3841</v>
      </c>
      <c r="G19" t="s">
        <v>3842</v>
      </c>
      <c r="H19" t="str">
        <f t="shared" si="4"/>
        <v>048314</v>
      </c>
      <c r="I19" t="s">
        <v>833</v>
      </c>
      <c r="J19" t="str">
        <f>"2015-08-01 00:00:00.0"</f>
        <v>2015-08-01 00:00:00.0</v>
      </c>
      <c r="K19" t="s">
        <v>834</v>
      </c>
      <c r="L19" t="s">
        <v>0</v>
      </c>
      <c r="M19" t="str">
        <f t="shared" si="1"/>
        <v>048314</v>
      </c>
      <c r="N19">
        <v>1</v>
      </c>
      <c r="O19">
        <v>1</v>
      </c>
      <c r="P19" t="str">
        <f>"01"</f>
        <v>01</v>
      </c>
      <c r="Q19" t="s">
        <v>835</v>
      </c>
      <c r="S19" t="s">
        <v>836</v>
      </c>
      <c r="T19" t="s">
        <v>836</v>
      </c>
      <c r="U19" t="str">
        <f t="shared" si="2"/>
        <v>2500-12-31 00:00:00.0</v>
      </c>
      <c r="V19" t="s">
        <v>837</v>
      </c>
      <c r="W19" t="str">
        <f t="shared" si="5"/>
        <v>048314-004697-**-**</v>
      </c>
      <c r="X19" t="s">
        <v>838</v>
      </c>
      <c r="Y19">
        <v>1206.25</v>
      </c>
      <c r="Z19">
        <v>1206.25</v>
      </c>
      <c r="AA19" t="str">
        <f t="shared" si="6"/>
        <v>06/08/2016</v>
      </c>
    </row>
    <row r="20" spans="1:27" x14ac:dyDescent="0.3">
      <c r="A20" t="str">
        <f t="shared" si="0"/>
        <v>048314</v>
      </c>
      <c r="B20" t="str">
        <f t="shared" ref="B20:B83" si="7">"004697"</f>
        <v>004697</v>
      </c>
      <c r="C20" t="s">
        <v>3639</v>
      </c>
      <c r="D20" t="s">
        <v>3839</v>
      </c>
      <c r="E20" t="s">
        <v>3840</v>
      </c>
      <c r="F20" t="s">
        <v>3841</v>
      </c>
      <c r="G20" t="s">
        <v>3842</v>
      </c>
      <c r="H20" t="str">
        <f t="shared" si="4"/>
        <v>048314</v>
      </c>
      <c r="I20" t="s">
        <v>833</v>
      </c>
      <c r="J20" t="str">
        <f>"2015-08-01 00:00:00.0"</f>
        <v>2015-08-01 00:00:00.0</v>
      </c>
      <c r="K20" t="s">
        <v>834</v>
      </c>
      <c r="L20" t="s">
        <v>0</v>
      </c>
      <c r="M20" t="str">
        <f t="shared" si="1"/>
        <v>048314</v>
      </c>
      <c r="N20">
        <v>1</v>
      </c>
      <c r="O20">
        <v>1</v>
      </c>
      <c r="P20" t="str">
        <f>"03"</f>
        <v>03</v>
      </c>
      <c r="Q20" t="s">
        <v>835</v>
      </c>
      <c r="S20" t="s">
        <v>836</v>
      </c>
      <c r="T20" t="s">
        <v>836</v>
      </c>
      <c r="U20" t="str">
        <f t="shared" si="2"/>
        <v>2500-12-31 00:00:00.0</v>
      </c>
      <c r="V20" t="s">
        <v>837</v>
      </c>
      <c r="W20" t="str">
        <f t="shared" si="5"/>
        <v>048314-004697-**-**</v>
      </c>
      <c r="X20" t="s">
        <v>838</v>
      </c>
      <c r="Y20">
        <v>1206.25</v>
      </c>
      <c r="Z20">
        <v>1206.25</v>
      </c>
      <c r="AA20" t="str">
        <f t="shared" si="6"/>
        <v>06/08/2016</v>
      </c>
    </row>
    <row r="21" spans="1:27" x14ac:dyDescent="0.3">
      <c r="A21" t="str">
        <f t="shared" si="0"/>
        <v>048314</v>
      </c>
      <c r="B21" t="str">
        <f t="shared" si="7"/>
        <v>004697</v>
      </c>
      <c r="C21" t="s">
        <v>3388</v>
      </c>
      <c r="D21" t="s">
        <v>3839</v>
      </c>
      <c r="E21" t="s">
        <v>3840</v>
      </c>
      <c r="F21" t="s">
        <v>3841</v>
      </c>
      <c r="G21" t="s">
        <v>3842</v>
      </c>
      <c r="H21" t="str">
        <f t="shared" si="4"/>
        <v>048314</v>
      </c>
      <c r="I21" t="s">
        <v>833</v>
      </c>
      <c r="J21" t="str">
        <f>"2015-08-01 00:00:00.0"</f>
        <v>2015-08-01 00:00:00.0</v>
      </c>
      <c r="K21" t="s">
        <v>834</v>
      </c>
      <c r="L21" t="s">
        <v>0</v>
      </c>
      <c r="M21" t="str">
        <f t="shared" si="1"/>
        <v>048314</v>
      </c>
      <c r="N21">
        <v>1</v>
      </c>
      <c r="O21">
        <v>1</v>
      </c>
      <c r="P21" t="s">
        <v>764</v>
      </c>
      <c r="Q21" t="s">
        <v>835</v>
      </c>
      <c r="S21" t="s">
        <v>836</v>
      </c>
      <c r="T21" t="s">
        <v>836</v>
      </c>
      <c r="U21" t="str">
        <f t="shared" si="2"/>
        <v>2500-12-31 00:00:00.0</v>
      </c>
      <c r="V21" t="s">
        <v>837</v>
      </c>
      <c r="W21" t="str">
        <f t="shared" si="5"/>
        <v>048314-004697-**-**</v>
      </c>
      <c r="X21" t="s">
        <v>838</v>
      </c>
      <c r="Y21">
        <v>1206.25</v>
      </c>
      <c r="Z21">
        <v>1206.25</v>
      </c>
      <c r="AA21" t="str">
        <f t="shared" si="6"/>
        <v>06/08/2016</v>
      </c>
    </row>
    <row r="22" spans="1:27" x14ac:dyDescent="0.3">
      <c r="A22" t="str">
        <f t="shared" si="0"/>
        <v>048314</v>
      </c>
      <c r="B22" t="str">
        <f t="shared" si="7"/>
        <v>004697</v>
      </c>
      <c r="C22" t="s">
        <v>3031</v>
      </c>
      <c r="D22" t="s">
        <v>3839</v>
      </c>
      <c r="E22" t="s">
        <v>3840</v>
      </c>
      <c r="F22" t="s">
        <v>3841</v>
      </c>
      <c r="G22" t="s">
        <v>3842</v>
      </c>
      <c r="H22" t="str">
        <f t="shared" si="4"/>
        <v>048314</v>
      </c>
      <c r="I22" t="s">
        <v>833</v>
      </c>
      <c r="J22" t="str">
        <f t="shared" ref="J22:J28" si="8">"2015-07-01 00:00:00.0"</f>
        <v>2015-07-01 00:00:00.0</v>
      </c>
      <c r="K22" t="s">
        <v>834</v>
      </c>
      <c r="L22" t="s">
        <v>0</v>
      </c>
      <c r="M22" t="str">
        <f t="shared" si="1"/>
        <v>048314</v>
      </c>
      <c r="N22">
        <v>1</v>
      </c>
      <c r="O22">
        <v>1</v>
      </c>
      <c r="P22" t="str">
        <f>"01"</f>
        <v>01</v>
      </c>
      <c r="Q22" t="s">
        <v>835</v>
      </c>
      <c r="S22" t="s">
        <v>836</v>
      </c>
      <c r="T22" t="s">
        <v>836</v>
      </c>
      <c r="U22" t="str">
        <f t="shared" si="2"/>
        <v>2500-12-31 00:00:00.0</v>
      </c>
      <c r="V22" t="s">
        <v>837</v>
      </c>
      <c r="W22" t="str">
        <f t="shared" si="5"/>
        <v>048314-004697-**-**</v>
      </c>
      <c r="X22" t="s">
        <v>838</v>
      </c>
      <c r="Y22">
        <v>1206.25</v>
      </c>
      <c r="Z22">
        <v>1206.25</v>
      </c>
      <c r="AA22" t="str">
        <f t="shared" si="6"/>
        <v>06/08/2016</v>
      </c>
    </row>
    <row r="23" spans="1:27" x14ac:dyDescent="0.3">
      <c r="A23" t="str">
        <f t="shared" si="0"/>
        <v>048314</v>
      </c>
      <c r="B23" t="str">
        <f t="shared" si="7"/>
        <v>004697</v>
      </c>
      <c r="C23" t="s">
        <v>978</v>
      </c>
      <c r="D23" t="s">
        <v>3839</v>
      </c>
      <c r="E23" t="s">
        <v>3840</v>
      </c>
      <c r="F23" t="s">
        <v>3841</v>
      </c>
      <c r="G23" t="s">
        <v>3842</v>
      </c>
      <c r="H23" t="str">
        <f t="shared" si="4"/>
        <v>048314</v>
      </c>
      <c r="I23" t="s">
        <v>833</v>
      </c>
      <c r="J23" t="str">
        <f t="shared" si="8"/>
        <v>2015-07-01 00:00:00.0</v>
      </c>
      <c r="K23" t="s">
        <v>834</v>
      </c>
      <c r="L23" t="s">
        <v>0</v>
      </c>
      <c r="M23" t="str">
        <f t="shared" si="1"/>
        <v>048314</v>
      </c>
      <c r="N23">
        <v>1</v>
      </c>
      <c r="O23">
        <v>1</v>
      </c>
      <c r="P23" t="str">
        <f>"01"</f>
        <v>01</v>
      </c>
      <c r="Q23" t="s">
        <v>835</v>
      </c>
      <c r="S23" t="s">
        <v>836</v>
      </c>
      <c r="T23" t="s">
        <v>836</v>
      </c>
      <c r="U23" t="str">
        <f t="shared" si="2"/>
        <v>2500-12-31 00:00:00.0</v>
      </c>
      <c r="V23" t="s">
        <v>837</v>
      </c>
      <c r="W23" t="str">
        <f t="shared" si="5"/>
        <v>048314-004697-**-**</v>
      </c>
      <c r="X23" t="s">
        <v>838</v>
      </c>
      <c r="Y23">
        <v>1206.25</v>
      </c>
      <c r="Z23">
        <v>1206.25</v>
      </c>
      <c r="AA23" t="str">
        <f t="shared" si="6"/>
        <v>06/08/2016</v>
      </c>
    </row>
    <row r="24" spans="1:27" x14ac:dyDescent="0.3">
      <c r="A24" t="str">
        <f t="shared" si="0"/>
        <v>048314</v>
      </c>
      <c r="B24" t="str">
        <f t="shared" si="7"/>
        <v>004697</v>
      </c>
      <c r="C24" t="s">
        <v>3591</v>
      </c>
      <c r="D24" t="s">
        <v>3839</v>
      </c>
      <c r="E24" t="s">
        <v>3840</v>
      </c>
      <c r="F24" t="s">
        <v>3841</v>
      </c>
      <c r="G24" t="s">
        <v>3842</v>
      </c>
      <c r="H24" t="str">
        <f t="shared" si="4"/>
        <v>048314</v>
      </c>
      <c r="I24" t="s">
        <v>833</v>
      </c>
      <c r="J24" t="str">
        <f t="shared" si="8"/>
        <v>2015-07-01 00:00:00.0</v>
      </c>
      <c r="K24" t="s">
        <v>834</v>
      </c>
      <c r="L24" t="s">
        <v>0</v>
      </c>
      <c r="M24" t="str">
        <f t="shared" si="1"/>
        <v>048314</v>
      </c>
      <c r="N24">
        <v>1</v>
      </c>
      <c r="O24">
        <v>1</v>
      </c>
      <c r="P24" t="str">
        <f>"03"</f>
        <v>03</v>
      </c>
      <c r="Q24" t="s">
        <v>835</v>
      </c>
      <c r="S24" t="s">
        <v>836</v>
      </c>
      <c r="T24" t="s">
        <v>836</v>
      </c>
      <c r="U24" t="str">
        <f t="shared" si="2"/>
        <v>2500-12-31 00:00:00.0</v>
      </c>
      <c r="V24" t="s">
        <v>837</v>
      </c>
      <c r="W24" t="str">
        <f t="shared" si="5"/>
        <v>048314-004697-**-**</v>
      </c>
      <c r="X24" t="s">
        <v>838</v>
      </c>
      <c r="Y24">
        <v>1206.25</v>
      </c>
      <c r="Z24">
        <v>1206.25</v>
      </c>
      <c r="AA24" t="str">
        <f t="shared" si="6"/>
        <v>06/08/2016</v>
      </c>
    </row>
    <row r="25" spans="1:27" x14ac:dyDescent="0.3">
      <c r="A25" t="str">
        <f t="shared" si="0"/>
        <v>048314</v>
      </c>
      <c r="B25" t="str">
        <f t="shared" si="7"/>
        <v>004697</v>
      </c>
      <c r="C25" t="s">
        <v>923</v>
      </c>
      <c r="D25" t="s">
        <v>3839</v>
      </c>
      <c r="E25" t="s">
        <v>3840</v>
      </c>
      <c r="F25" t="s">
        <v>3841</v>
      </c>
      <c r="G25" t="s">
        <v>3842</v>
      </c>
      <c r="H25" t="str">
        <f t="shared" si="4"/>
        <v>048314</v>
      </c>
      <c r="I25" t="s">
        <v>833</v>
      </c>
      <c r="J25" t="str">
        <f t="shared" si="8"/>
        <v>2015-07-01 00:00:00.0</v>
      </c>
      <c r="K25" t="s">
        <v>834</v>
      </c>
      <c r="L25" t="s">
        <v>0</v>
      </c>
      <c r="M25" t="str">
        <f t="shared" si="1"/>
        <v>048314</v>
      </c>
      <c r="N25">
        <v>1</v>
      </c>
      <c r="O25">
        <v>1</v>
      </c>
      <c r="P25" t="str">
        <f>"01"</f>
        <v>01</v>
      </c>
      <c r="Q25" t="s">
        <v>835</v>
      </c>
      <c r="S25" t="s">
        <v>836</v>
      </c>
      <c r="T25" t="s">
        <v>836</v>
      </c>
      <c r="U25" t="str">
        <f t="shared" si="2"/>
        <v>2500-12-31 00:00:00.0</v>
      </c>
      <c r="V25" t="s">
        <v>837</v>
      </c>
      <c r="W25" t="str">
        <f t="shared" si="5"/>
        <v>048314-004697-**-**</v>
      </c>
      <c r="X25" t="s">
        <v>838</v>
      </c>
      <c r="Y25">
        <v>1206.25</v>
      </c>
      <c r="Z25">
        <v>1206.25</v>
      </c>
      <c r="AA25" t="str">
        <f t="shared" si="6"/>
        <v>06/08/2016</v>
      </c>
    </row>
    <row r="26" spans="1:27" x14ac:dyDescent="0.3">
      <c r="A26" t="str">
        <f t="shared" si="0"/>
        <v>048314</v>
      </c>
      <c r="B26" t="str">
        <f t="shared" si="7"/>
        <v>004697</v>
      </c>
      <c r="C26" t="s">
        <v>1044</v>
      </c>
      <c r="D26" t="s">
        <v>3839</v>
      </c>
      <c r="E26" t="s">
        <v>3840</v>
      </c>
      <c r="F26" t="s">
        <v>3841</v>
      </c>
      <c r="G26" t="s">
        <v>3842</v>
      </c>
      <c r="H26" t="str">
        <f t="shared" si="4"/>
        <v>048314</v>
      </c>
      <c r="I26" t="s">
        <v>833</v>
      </c>
      <c r="J26" t="str">
        <f t="shared" si="8"/>
        <v>2015-07-01 00:00:00.0</v>
      </c>
      <c r="K26" t="s">
        <v>834</v>
      </c>
      <c r="L26" t="s">
        <v>0</v>
      </c>
      <c r="M26" t="str">
        <f t="shared" si="1"/>
        <v>048314</v>
      </c>
      <c r="N26">
        <v>1</v>
      </c>
      <c r="O26">
        <v>1</v>
      </c>
      <c r="P26" t="str">
        <f>"02"</f>
        <v>02</v>
      </c>
      <c r="Q26" t="s">
        <v>835</v>
      </c>
      <c r="S26" t="s">
        <v>836</v>
      </c>
      <c r="T26" t="s">
        <v>836</v>
      </c>
      <c r="U26" t="str">
        <f t="shared" si="2"/>
        <v>2500-12-31 00:00:00.0</v>
      </c>
      <c r="V26" t="s">
        <v>837</v>
      </c>
      <c r="W26" t="str">
        <f t="shared" si="5"/>
        <v>048314-004697-**-**</v>
      </c>
      <c r="X26" t="s">
        <v>838</v>
      </c>
      <c r="Y26">
        <v>1206.25</v>
      </c>
      <c r="Z26">
        <v>1206.25</v>
      </c>
      <c r="AA26" t="str">
        <f t="shared" si="6"/>
        <v>06/08/2016</v>
      </c>
    </row>
    <row r="27" spans="1:27" x14ac:dyDescent="0.3">
      <c r="A27" t="str">
        <f t="shared" si="0"/>
        <v>048314</v>
      </c>
      <c r="B27" t="str">
        <f t="shared" si="7"/>
        <v>004697</v>
      </c>
      <c r="C27" t="s">
        <v>3255</v>
      </c>
      <c r="D27" t="s">
        <v>3839</v>
      </c>
      <c r="E27" t="s">
        <v>3840</v>
      </c>
      <c r="F27" t="s">
        <v>3841</v>
      </c>
      <c r="G27" t="s">
        <v>3842</v>
      </c>
      <c r="H27" t="str">
        <f t="shared" si="4"/>
        <v>048314</v>
      </c>
      <c r="I27" t="s">
        <v>833</v>
      </c>
      <c r="J27" t="str">
        <f t="shared" si="8"/>
        <v>2015-07-01 00:00:00.0</v>
      </c>
      <c r="K27" t="s">
        <v>834</v>
      </c>
      <c r="L27" t="s">
        <v>0</v>
      </c>
      <c r="M27" t="str">
        <f t="shared" si="1"/>
        <v>048314</v>
      </c>
      <c r="N27">
        <v>1</v>
      </c>
      <c r="O27">
        <v>1</v>
      </c>
      <c r="P27" t="str">
        <f>"04"</f>
        <v>04</v>
      </c>
      <c r="Q27" t="s">
        <v>835</v>
      </c>
      <c r="S27" t="s">
        <v>836</v>
      </c>
      <c r="T27" t="s">
        <v>836</v>
      </c>
      <c r="U27" t="str">
        <f t="shared" si="2"/>
        <v>2500-12-31 00:00:00.0</v>
      </c>
      <c r="V27" t="s">
        <v>837</v>
      </c>
      <c r="W27" t="str">
        <f t="shared" si="5"/>
        <v>048314-004697-**-**</v>
      </c>
      <c r="X27" t="s">
        <v>838</v>
      </c>
      <c r="Y27">
        <v>1206.25</v>
      </c>
      <c r="Z27">
        <v>1206.25</v>
      </c>
      <c r="AA27" t="str">
        <f t="shared" si="6"/>
        <v>06/08/2016</v>
      </c>
    </row>
    <row r="28" spans="1:27" x14ac:dyDescent="0.3">
      <c r="A28" t="str">
        <f t="shared" si="0"/>
        <v>048314</v>
      </c>
      <c r="B28" t="str">
        <f t="shared" si="7"/>
        <v>004697</v>
      </c>
      <c r="C28" t="s">
        <v>3197</v>
      </c>
      <c r="D28" t="s">
        <v>3839</v>
      </c>
      <c r="E28" t="s">
        <v>3840</v>
      </c>
      <c r="F28" t="s">
        <v>3841</v>
      </c>
      <c r="G28" t="s">
        <v>3842</v>
      </c>
      <c r="H28" t="str">
        <f t="shared" si="4"/>
        <v>048314</v>
      </c>
      <c r="I28" t="s">
        <v>833</v>
      </c>
      <c r="J28" t="str">
        <f t="shared" si="8"/>
        <v>2015-07-01 00:00:00.0</v>
      </c>
      <c r="K28" t="s">
        <v>834</v>
      </c>
      <c r="L28" t="s">
        <v>0</v>
      </c>
      <c r="M28" t="str">
        <f t="shared" si="1"/>
        <v>048314</v>
      </c>
      <c r="N28">
        <v>1</v>
      </c>
      <c r="O28">
        <v>1</v>
      </c>
      <c r="P28" t="str">
        <f>"02"</f>
        <v>02</v>
      </c>
      <c r="Q28" t="s">
        <v>835</v>
      </c>
      <c r="S28" t="s">
        <v>836</v>
      </c>
      <c r="T28" t="s">
        <v>836</v>
      </c>
      <c r="U28" t="str">
        <f t="shared" si="2"/>
        <v>2500-12-31 00:00:00.0</v>
      </c>
      <c r="V28" t="s">
        <v>837</v>
      </c>
      <c r="W28" t="str">
        <f t="shared" si="5"/>
        <v>048314-004697-**-**</v>
      </c>
      <c r="X28" t="s">
        <v>838</v>
      </c>
      <c r="Y28">
        <v>1206.25</v>
      </c>
      <c r="Z28">
        <v>1206.25</v>
      </c>
      <c r="AA28" t="str">
        <f t="shared" si="6"/>
        <v>06/08/2016</v>
      </c>
    </row>
    <row r="29" spans="1:27" x14ac:dyDescent="0.3">
      <c r="A29" t="str">
        <f t="shared" si="0"/>
        <v>048314</v>
      </c>
      <c r="B29" t="str">
        <f t="shared" si="7"/>
        <v>004697</v>
      </c>
      <c r="C29" t="s">
        <v>874</v>
      </c>
      <c r="D29" t="s">
        <v>3839</v>
      </c>
      <c r="E29" t="s">
        <v>3840</v>
      </c>
      <c r="F29" t="s">
        <v>3841</v>
      </c>
      <c r="G29" t="s">
        <v>3842</v>
      </c>
      <c r="H29" t="str">
        <f t="shared" si="4"/>
        <v>048314</v>
      </c>
      <c r="I29" t="s">
        <v>833</v>
      </c>
      <c r="J29" t="str">
        <f>"2015-08-01 00:00:00.0"</f>
        <v>2015-08-01 00:00:00.0</v>
      </c>
      <c r="K29" t="s">
        <v>834</v>
      </c>
      <c r="L29" t="s">
        <v>0</v>
      </c>
      <c r="M29" t="str">
        <f t="shared" si="1"/>
        <v>048314</v>
      </c>
      <c r="N29">
        <v>1</v>
      </c>
      <c r="O29">
        <v>1</v>
      </c>
      <c r="P29" t="s">
        <v>764</v>
      </c>
      <c r="Q29" t="s">
        <v>835</v>
      </c>
      <c r="S29" t="s">
        <v>836</v>
      </c>
      <c r="T29" t="s">
        <v>836</v>
      </c>
      <c r="U29" t="str">
        <f t="shared" si="2"/>
        <v>2500-12-31 00:00:00.0</v>
      </c>
      <c r="V29" t="s">
        <v>837</v>
      </c>
      <c r="W29" t="str">
        <f t="shared" si="5"/>
        <v>048314-004697-**-**</v>
      </c>
      <c r="X29" t="s">
        <v>838</v>
      </c>
      <c r="Y29">
        <v>1206.25</v>
      </c>
      <c r="Z29">
        <v>1206.25</v>
      </c>
      <c r="AA29" t="str">
        <f t="shared" si="6"/>
        <v>06/08/2016</v>
      </c>
    </row>
    <row r="30" spans="1:27" x14ac:dyDescent="0.3">
      <c r="A30" t="str">
        <f t="shared" si="0"/>
        <v>048314</v>
      </c>
      <c r="B30" t="str">
        <f t="shared" si="7"/>
        <v>004697</v>
      </c>
      <c r="C30" t="s">
        <v>2311</v>
      </c>
      <c r="D30" t="s">
        <v>3839</v>
      </c>
      <c r="E30" t="s">
        <v>3840</v>
      </c>
      <c r="F30" t="s">
        <v>3841</v>
      </c>
      <c r="G30" t="s">
        <v>3842</v>
      </c>
      <c r="H30" t="str">
        <f t="shared" si="4"/>
        <v>048314</v>
      </c>
      <c r="I30" t="s">
        <v>833</v>
      </c>
      <c r="J30" t="str">
        <f>"2015-07-01 00:00:00.0"</f>
        <v>2015-07-01 00:00:00.0</v>
      </c>
      <c r="K30" t="s">
        <v>834</v>
      </c>
      <c r="L30" t="s">
        <v>0</v>
      </c>
      <c r="M30" t="str">
        <f t="shared" si="1"/>
        <v>048314</v>
      </c>
      <c r="N30">
        <v>1</v>
      </c>
      <c r="O30">
        <v>1</v>
      </c>
      <c r="P30" t="str">
        <f>"05"</f>
        <v>05</v>
      </c>
      <c r="Q30" t="str">
        <f>"10"</f>
        <v>10</v>
      </c>
      <c r="R30" t="str">
        <f>"2"</f>
        <v>2</v>
      </c>
      <c r="S30" t="s">
        <v>860</v>
      </c>
      <c r="T30" t="s">
        <v>860</v>
      </c>
      <c r="U30" t="str">
        <f t="shared" si="2"/>
        <v>2500-12-31 00:00:00.0</v>
      </c>
      <c r="V30" t="s">
        <v>837</v>
      </c>
      <c r="W30" t="str">
        <f>"048314-070417-**-**"</f>
        <v>048314-070417-**-**</v>
      </c>
      <c r="X30" t="s">
        <v>838</v>
      </c>
      <c r="Y30">
        <v>1125</v>
      </c>
      <c r="Z30">
        <v>1125</v>
      </c>
      <c r="AA30" t="str">
        <f t="shared" si="6"/>
        <v>06/08/2016</v>
      </c>
    </row>
    <row r="31" spans="1:27" x14ac:dyDescent="0.3">
      <c r="A31" t="str">
        <f t="shared" si="0"/>
        <v>048314</v>
      </c>
      <c r="B31" t="str">
        <f t="shared" si="7"/>
        <v>004697</v>
      </c>
      <c r="C31" t="s">
        <v>3625</v>
      </c>
      <c r="D31" t="s">
        <v>3839</v>
      </c>
      <c r="E31" t="s">
        <v>3840</v>
      </c>
      <c r="F31" t="s">
        <v>3841</v>
      </c>
      <c r="G31" t="s">
        <v>3842</v>
      </c>
      <c r="H31" t="str">
        <f t="shared" si="4"/>
        <v>048314</v>
      </c>
      <c r="I31" t="s">
        <v>833</v>
      </c>
      <c r="J31" t="str">
        <f>"2015-08-01 00:00:00.0"</f>
        <v>2015-08-01 00:00:00.0</v>
      </c>
      <c r="K31" t="s">
        <v>834</v>
      </c>
      <c r="L31" t="s">
        <v>0</v>
      </c>
      <c r="M31" t="str">
        <f t="shared" si="1"/>
        <v>048314</v>
      </c>
      <c r="N31">
        <v>1</v>
      </c>
      <c r="O31">
        <v>1</v>
      </c>
      <c r="P31" t="str">
        <f>"03"</f>
        <v>03</v>
      </c>
      <c r="Q31" t="s">
        <v>835</v>
      </c>
      <c r="S31" t="s">
        <v>860</v>
      </c>
      <c r="T31" t="s">
        <v>836</v>
      </c>
      <c r="U31" t="str">
        <f t="shared" si="2"/>
        <v>2500-12-31 00:00:00.0</v>
      </c>
      <c r="V31" t="s">
        <v>837</v>
      </c>
      <c r="W31" t="str">
        <f>"048314-004697-**-**"</f>
        <v>048314-004697-**-**</v>
      </c>
      <c r="X31" t="s">
        <v>838</v>
      </c>
      <c r="Y31">
        <v>1206.25</v>
      </c>
      <c r="Z31">
        <v>1206.25</v>
      </c>
      <c r="AA31" t="str">
        <f t="shared" si="6"/>
        <v>06/08/2016</v>
      </c>
    </row>
    <row r="32" spans="1:27" x14ac:dyDescent="0.3">
      <c r="A32" t="str">
        <f t="shared" si="0"/>
        <v>048314</v>
      </c>
      <c r="B32" t="str">
        <f t="shared" si="7"/>
        <v>004697</v>
      </c>
      <c r="C32" t="s">
        <v>3733</v>
      </c>
      <c r="D32" t="s">
        <v>3839</v>
      </c>
      <c r="E32" t="s">
        <v>3840</v>
      </c>
      <c r="F32" t="s">
        <v>3841</v>
      </c>
      <c r="G32" t="s">
        <v>3842</v>
      </c>
      <c r="H32" t="str">
        <f t="shared" si="4"/>
        <v>048314</v>
      </c>
      <c r="I32" t="s">
        <v>833</v>
      </c>
      <c r="J32" t="str">
        <f t="shared" ref="J32:J37" si="9">"2015-07-01 00:00:00.0"</f>
        <v>2015-07-01 00:00:00.0</v>
      </c>
      <c r="K32" t="s">
        <v>834</v>
      </c>
      <c r="L32" t="s">
        <v>0</v>
      </c>
      <c r="M32" t="str">
        <f t="shared" si="1"/>
        <v>048314</v>
      </c>
      <c r="N32">
        <v>1</v>
      </c>
      <c r="O32">
        <v>1</v>
      </c>
      <c r="P32" t="str">
        <f>"01"</f>
        <v>01</v>
      </c>
      <c r="Q32" t="s">
        <v>835</v>
      </c>
      <c r="S32" t="s">
        <v>860</v>
      </c>
      <c r="T32" t="s">
        <v>836</v>
      </c>
      <c r="U32" t="str">
        <f t="shared" si="2"/>
        <v>2500-12-31 00:00:00.0</v>
      </c>
      <c r="V32" t="s">
        <v>837</v>
      </c>
      <c r="W32" t="str">
        <f>"048314-004697-**-**"</f>
        <v>048314-004697-**-**</v>
      </c>
      <c r="X32" t="s">
        <v>838</v>
      </c>
      <c r="Y32">
        <v>1206.25</v>
      </c>
      <c r="Z32">
        <v>1206.25</v>
      </c>
      <c r="AA32" t="str">
        <f t="shared" si="6"/>
        <v>06/08/2016</v>
      </c>
    </row>
    <row r="33" spans="1:27" x14ac:dyDescent="0.3">
      <c r="A33" t="str">
        <f t="shared" si="0"/>
        <v>048314</v>
      </c>
      <c r="B33" t="str">
        <f t="shared" si="7"/>
        <v>004697</v>
      </c>
      <c r="C33" t="s">
        <v>3561</v>
      </c>
      <c r="D33" t="s">
        <v>3839</v>
      </c>
      <c r="E33" t="s">
        <v>3840</v>
      </c>
      <c r="F33" t="s">
        <v>3841</v>
      </c>
      <c r="G33" t="s">
        <v>3842</v>
      </c>
      <c r="H33" t="str">
        <f t="shared" si="4"/>
        <v>048314</v>
      </c>
      <c r="I33" t="s">
        <v>833</v>
      </c>
      <c r="J33" t="str">
        <f t="shared" si="9"/>
        <v>2015-07-01 00:00:00.0</v>
      </c>
      <c r="K33" t="s">
        <v>834</v>
      </c>
      <c r="L33" t="s">
        <v>0</v>
      </c>
      <c r="M33" t="str">
        <f t="shared" si="1"/>
        <v>048314</v>
      </c>
      <c r="N33">
        <v>1</v>
      </c>
      <c r="O33">
        <v>1</v>
      </c>
      <c r="P33" t="str">
        <f>"03"</f>
        <v>03</v>
      </c>
      <c r="Q33" t="s">
        <v>835</v>
      </c>
      <c r="S33" t="s">
        <v>836</v>
      </c>
      <c r="T33" t="s">
        <v>836</v>
      </c>
      <c r="U33" t="str">
        <f t="shared" si="2"/>
        <v>2500-12-31 00:00:00.0</v>
      </c>
      <c r="V33" t="s">
        <v>837</v>
      </c>
      <c r="W33" t="str">
        <f>"048314-004697-**-**"</f>
        <v>048314-004697-**-**</v>
      </c>
      <c r="X33" t="s">
        <v>838</v>
      </c>
      <c r="Y33">
        <v>1206.25</v>
      </c>
      <c r="Z33">
        <v>1206.25</v>
      </c>
      <c r="AA33" t="str">
        <f t="shared" si="6"/>
        <v>06/08/2016</v>
      </c>
    </row>
    <row r="34" spans="1:27" x14ac:dyDescent="0.3">
      <c r="A34" t="str">
        <f t="shared" si="0"/>
        <v>048314</v>
      </c>
      <c r="B34" t="str">
        <f t="shared" si="7"/>
        <v>004697</v>
      </c>
      <c r="C34" t="s">
        <v>935</v>
      </c>
      <c r="D34" t="s">
        <v>3839</v>
      </c>
      <c r="E34" t="s">
        <v>3840</v>
      </c>
      <c r="F34" t="s">
        <v>3841</v>
      </c>
      <c r="G34" t="s">
        <v>3842</v>
      </c>
      <c r="H34" t="str">
        <f t="shared" si="4"/>
        <v>048314</v>
      </c>
      <c r="I34" t="s">
        <v>833</v>
      </c>
      <c r="J34" t="str">
        <f t="shared" si="9"/>
        <v>2015-07-01 00:00:00.0</v>
      </c>
      <c r="K34" t="s">
        <v>834</v>
      </c>
      <c r="L34" t="s">
        <v>0</v>
      </c>
      <c r="M34" t="str">
        <f t="shared" si="1"/>
        <v>048314</v>
      </c>
      <c r="N34">
        <v>1</v>
      </c>
      <c r="O34">
        <v>1</v>
      </c>
      <c r="P34" t="str">
        <f>"01"</f>
        <v>01</v>
      </c>
      <c r="Q34" t="s">
        <v>835</v>
      </c>
      <c r="S34" t="s">
        <v>836</v>
      </c>
      <c r="T34" t="s">
        <v>836</v>
      </c>
      <c r="U34" t="str">
        <f t="shared" si="2"/>
        <v>2500-12-31 00:00:00.0</v>
      </c>
      <c r="V34" t="s">
        <v>837</v>
      </c>
      <c r="W34" t="str">
        <f>"048314-004697-**-**"</f>
        <v>048314-004697-**-**</v>
      </c>
      <c r="X34" t="s">
        <v>838</v>
      </c>
      <c r="Y34">
        <v>1206.25</v>
      </c>
      <c r="Z34">
        <v>1206.25</v>
      </c>
      <c r="AA34" t="str">
        <f t="shared" si="6"/>
        <v>06/08/2016</v>
      </c>
    </row>
    <row r="35" spans="1:27" x14ac:dyDescent="0.3">
      <c r="A35" t="str">
        <f t="shared" si="0"/>
        <v>048314</v>
      </c>
      <c r="B35" t="str">
        <f t="shared" si="7"/>
        <v>004697</v>
      </c>
      <c r="C35" t="s">
        <v>2295</v>
      </c>
      <c r="D35" t="s">
        <v>3839</v>
      </c>
      <c r="E35" t="s">
        <v>3840</v>
      </c>
      <c r="F35" t="s">
        <v>3841</v>
      </c>
      <c r="G35" t="s">
        <v>3842</v>
      </c>
      <c r="H35" t="str">
        <f t="shared" si="4"/>
        <v>048314</v>
      </c>
      <c r="I35" t="s">
        <v>833</v>
      </c>
      <c r="J35" t="str">
        <f t="shared" si="9"/>
        <v>2015-07-01 00:00:00.0</v>
      </c>
      <c r="K35" t="s">
        <v>834</v>
      </c>
      <c r="L35" t="s">
        <v>0</v>
      </c>
      <c r="M35" t="str">
        <f t="shared" si="1"/>
        <v>048314</v>
      </c>
      <c r="N35">
        <v>1</v>
      </c>
      <c r="O35">
        <v>1</v>
      </c>
      <c r="P35" t="str">
        <f>"05"</f>
        <v>05</v>
      </c>
      <c r="Q35" t="s">
        <v>835</v>
      </c>
      <c r="S35" t="s">
        <v>860</v>
      </c>
      <c r="T35" t="s">
        <v>836</v>
      </c>
      <c r="U35" t="str">
        <f t="shared" si="2"/>
        <v>2500-12-31 00:00:00.0</v>
      </c>
      <c r="V35" t="s">
        <v>837</v>
      </c>
      <c r="W35" t="str">
        <f>"048314-070417-**-**"</f>
        <v>048314-070417-**-**</v>
      </c>
      <c r="X35" t="s">
        <v>838</v>
      </c>
      <c r="Y35">
        <v>1125</v>
      </c>
      <c r="Z35">
        <v>1125</v>
      </c>
      <c r="AA35" t="str">
        <f t="shared" si="6"/>
        <v>06/08/2016</v>
      </c>
    </row>
    <row r="36" spans="1:27" x14ac:dyDescent="0.3">
      <c r="A36" t="str">
        <f t="shared" si="0"/>
        <v>048314</v>
      </c>
      <c r="B36" t="str">
        <f t="shared" si="7"/>
        <v>004697</v>
      </c>
      <c r="C36" t="s">
        <v>2977</v>
      </c>
      <c r="D36" t="s">
        <v>3839</v>
      </c>
      <c r="E36" t="s">
        <v>3840</v>
      </c>
      <c r="F36" t="s">
        <v>3841</v>
      </c>
      <c r="G36" t="s">
        <v>3842</v>
      </c>
      <c r="H36" t="str">
        <f t="shared" si="4"/>
        <v>048314</v>
      </c>
      <c r="I36" t="s">
        <v>833</v>
      </c>
      <c r="J36" t="str">
        <f t="shared" si="9"/>
        <v>2015-07-01 00:00:00.0</v>
      </c>
      <c r="K36" t="s">
        <v>834</v>
      </c>
      <c r="L36" t="s">
        <v>0</v>
      </c>
      <c r="M36" t="str">
        <f t="shared" si="1"/>
        <v>048314</v>
      </c>
      <c r="N36">
        <v>1</v>
      </c>
      <c r="O36">
        <v>1</v>
      </c>
      <c r="P36" t="str">
        <f>"02"</f>
        <v>02</v>
      </c>
      <c r="Q36" t="s">
        <v>835</v>
      </c>
      <c r="S36" t="s">
        <v>860</v>
      </c>
      <c r="T36" t="s">
        <v>836</v>
      </c>
      <c r="U36" t="str">
        <f t="shared" si="2"/>
        <v>2500-12-31 00:00:00.0</v>
      </c>
      <c r="V36" t="s">
        <v>837</v>
      </c>
      <c r="W36" t="str">
        <f>"048314-004697-**-**"</f>
        <v>048314-004697-**-**</v>
      </c>
      <c r="X36" t="s">
        <v>838</v>
      </c>
      <c r="Y36">
        <v>1206.25</v>
      </c>
      <c r="Z36">
        <v>1206.25</v>
      </c>
      <c r="AA36" t="str">
        <f t="shared" si="6"/>
        <v>06/08/2016</v>
      </c>
    </row>
    <row r="37" spans="1:27" x14ac:dyDescent="0.3">
      <c r="A37" t="str">
        <f t="shared" si="0"/>
        <v>048314</v>
      </c>
      <c r="B37" t="str">
        <f t="shared" si="7"/>
        <v>004697</v>
      </c>
      <c r="C37" t="s">
        <v>1787</v>
      </c>
      <c r="D37" t="s">
        <v>3839</v>
      </c>
      <c r="E37" t="s">
        <v>3840</v>
      </c>
      <c r="F37" t="s">
        <v>3841</v>
      </c>
      <c r="G37" t="s">
        <v>3842</v>
      </c>
      <c r="H37" t="str">
        <f t="shared" si="4"/>
        <v>048314</v>
      </c>
      <c r="I37" t="s">
        <v>833</v>
      </c>
      <c r="J37" t="str">
        <f t="shared" si="9"/>
        <v>2015-07-01 00:00:00.0</v>
      </c>
      <c r="K37" t="s">
        <v>834</v>
      </c>
      <c r="L37" t="s">
        <v>0</v>
      </c>
      <c r="M37" t="str">
        <f t="shared" si="1"/>
        <v>048314</v>
      </c>
      <c r="N37">
        <v>1</v>
      </c>
      <c r="O37">
        <v>1</v>
      </c>
      <c r="P37" t="str">
        <f>"02"</f>
        <v>02</v>
      </c>
      <c r="Q37" t="str">
        <f>"05"</f>
        <v>05</v>
      </c>
      <c r="R37" t="str">
        <f>"1"</f>
        <v>1</v>
      </c>
      <c r="S37" t="s">
        <v>836</v>
      </c>
      <c r="T37" t="s">
        <v>836</v>
      </c>
      <c r="U37" t="str">
        <f t="shared" si="2"/>
        <v>2500-12-31 00:00:00.0</v>
      </c>
      <c r="V37" t="s">
        <v>837</v>
      </c>
      <c r="W37" t="str">
        <f>"048314-038430-**-**"</f>
        <v>048314-038430-**-**</v>
      </c>
      <c r="X37" t="s">
        <v>838</v>
      </c>
      <c r="Y37">
        <v>1206.25</v>
      </c>
      <c r="Z37">
        <v>1206.25</v>
      </c>
      <c r="AA37" t="str">
        <f t="shared" si="6"/>
        <v>06/08/2016</v>
      </c>
    </row>
    <row r="38" spans="1:27" x14ac:dyDescent="0.3">
      <c r="A38" t="str">
        <f t="shared" si="0"/>
        <v>048314</v>
      </c>
      <c r="B38" t="str">
        <f t="shared" si="7"/>
        <v>004697</v>
      </c>
      <c r="C38" t="s">
        <v>1506</v>
      </c>
      <c r="D38" t="s">
        <v>3839</v>
      </c>
      <c r="E38" t="s">
        <v>3840</v>
      </c>
      <c r="F38" t="s">
        <v>3841</v>
      </c>
      <c r="G38" t="s">
        <v>3842</v>
      </c>
      <c r="H38" t="str">
        <f>"048280"</f>
        <v>048280</v>
      </c>
      <c r="I38" t="s">
        <v>833</v>
      </c>
      <c r="J38" t="str">
        <f>"2015-10-22 00:00:00.0"</f>
        <v>2015-10-22 00:00:00.0</v>
      </c>
      <c r="K38" t="s">
        <v>834</v>
      </c>
      <c r="L38" t="s">
        <v>142</v>
      </c>
      <c r="M38" t="str">
        <f t="shared" si="1"/>
        <v>048314</v>
      </c>
      <c r="N38">
        <v>0.79591800000000001</v>
      </c>
      <c r="O38">
        <v>0.79591800000000001</v>
      </c>
      <c r="P38" t="s">
        <v>841</v>
      </c>
      <c r="Q38" t="str">
        <f>"05"</f>
        <v>05</v>
      </c>
      <c r="R38" t="str">
        <f>"1"</f>
        <v>1</v>
      </c>
      <c r="S38" t="s">
        <v>836</v>
      </c>
      <c r="T38" t="s">
        <v>836</v>
      </c>
      <c r="U38" t="str">
        <f t="shared" si="2"/>
        <v>2500-12-31 00:00:00.0</v>
      </c>
      <c r="V38" t="s">
        <v>837</v>
      </c>
      <c r="W38" t="str">
        <f>"048280-048280-PS-FP"</f>
        <v>048280-048280-PS-FP</v>
      </c>
      <c r="X38" t="s">
        <v>838</v>
      </c>
      <c r="Y38">
        <v>117</v>
      </c>
      <c r="Z38">
        <v>147</v>
      </c>
      <c r="AA38" t="str">
        <f>"06/15/2016"</f>
        <v>06/15/2016</v>
      </c>
    </row>
    <row r="39" spans="1:27" x14ac:dyDescent="0.3">
      <c r="A39" t="str">
        <f t="shared" si="0"/>
        <v>048314</v>
      </c>
      <c r="B39" t="str">
        <f t="shared" si="7"/>
        <v>004697</v>
      </c>
      <c r="C39" t="s">
        <v>2308</v>
      </c>
      <c r="D39" t="s">
        <v>3839</v>
      </c>
      <c r="E39" t="s">
        <v>3840</v>
      </c>
      <c r="F39" t="s">
        <v>3841</v>
      </c>
      <c r="G39" t="s">
        <v>3842</v>
      </c>
      <c r="H39" t="str">
        <f t="shared" ref="H39:H50" si="10">"048314"</f>
        <v>048314</v>
      </c>
      <c r="I39" t="s">
        <v>833</v>
      </c>
      <c r="J39" t="str">
        <f>"2015-07-01 00:00:00.0"</f>
        <v>2015-07-01 00:00:00.0</v>
      </c>
      <c r="K39" t="s">
        <v>834</v>
      </c>
      <c r="L39" t="s">
        <v>0</v>
      </c>
      <c r="M39" t="str">
        <f t="shared" si="1"/>
        <v>048314</v>
      </c>
      <c r="N39">
        <v>1</v>
      </c>
      <c r="O39">
        <v>1</v>
      </c>
      <c r="P39" t="str">
        <f>"05"</f>
        <v>05</v>
      </c>
      <c r="Q39" t="s">
        <v>835</v>
      </c>
      <c r="S39" t="s">
        <v>836</v>
      </c>
      <c r="T39" t="s">
        <v>836</v>
      </c>
      <c r="U39" t="str">
        <f t="shared" si="2"/>
        <v>2500-12-31 00:00:00.0</v>
      </c>
      <c r="V39" t="s">
        <v>837</v>
      </c>
      <c r="W39" t="str">
        <f>"048314-070417-**-**"</f>
        <v>048314-070417-**-**</v>
      </c>
      <c r="X39" t="s">
        <v>838</v>
      </c>
      <c r="Y39">
        <v>1125</v>
      </c>
      <c r="Z39">
        <v>1125</v>
      </c>
      <c r="AA39" t="str">
        <f t="shared" ref="AA39:AA50" si="11">"06/08/2016"</f>
        <v>06/08/2016</v>
      </c>
    </row>
    <row r="40" spans="1:27" x14ac:dyDescent="0.3">
      <c r="A40" t="str">
        <f t="shared" si="0"/>
        <v>048314</v>
      </c>
      <c r="B40" t="str">
        <f t="shared" si="7"/>
        <v>004697</v>
      </c>
      <c r="C40" t="s">
        <v>1805</v>
      </c>
      <c r="D40" t="s">
        <v>3839</v>
      </c>
      <c r="E40" t="s">
        <v>3840</v>
      </c>
      <c r="F40" t="s">
        <v>3841</v>
      </c>
      <c r="G40" t="s">
        <v>3842</v>
      </c>
      <c r="H40" t="str">
        <f t="shared" si="10"/>
        <v>048314</v>
      </c>
      <c r="I40" t="s">
        <v>833</v>
      </c>
      <c r="J40" t="str">
        <f>"2015-07-01 00:00:00.0"</f>
        <v>2015-07-01 00:00:00.0</v>
      </c>
      <c r="K40" t="s">
        <v>834</v>
      </c>
      <c r="L40" t="s">
        <v>0</v>
      </c>
      <c r="M40" t="str">
        <f t="shared" si="1"/>
        <v>048314</v>
      </c>
      <c r="N40">
        <v>1</v>
      </c>
      <c r="O40">
        <v>1</v>
      </c>
      <c r="P40" t="str">
        <f>"01"</f>
        <v>01</v>
      </c>
      <c r="Q40" t="s">
        <v>835</v>
      </c>
      <c r="S40" t="s">
        <v>836</v>
      </c>
      <c r="T40" t="s">
        <v>836</v>
      </c>
      <c r="U40" t="str">
        <f t="shared" si="2"/>
        <v>2500-12-31 00:00:00.0</v>
      </c>
      <c r="V40" t="s">
        <v>837</v>
      </c>
      <c r="W40" t="str">
        <f>"048314-004697-**-**"</f>
        <v>048314-004697-**-**</v>
      </c>
      <c r="X40" t="s">
        <v>838</v>
      </c>
      <c r="Y40">
        <v>1206.25</v>
      </c>
      <c r="Z40">
        <v>1206.25</v>
      </c>
      <c r="AA40" t="str">
        <f t="shared" si="11"/>
        <v>06/08/2016</v>
      </c>
    </row>
    <row r="41" spans="1:27" x14ac:dyDescent="0.3">
      <c r="A41" t="str">
        <f t="shared" si="0"/>
        <v>048314</v>
      </c>
      <c r="B41" t="str">
        <f t="shared" si="7"/>
        <v>004697</v>
      </c>
      <c r="C41" t="s">
        <v>2819</v>
      </c>
      <c r="D41" t="s">
        <v>3839</v>
      </c>
      <c r="E41" t="s">
        <v>3840</v>
      </c>
      <c r="F41" t="s">
        <v>3841</v>
      </c>
      <c r="G41" t="s">
        <v>3842</v>
      </c>
      <c r="H41" t="str">
        <f t="shared" si="10"/>
        <v>048314</v>
      </c>
      <c r="I41" t="s">
        <v>833</v>
      </c>
      <c r="J41" t="str">
        <f>"2015-07-01 00:00:00.0"</f>
        <v>2015-07-01 00:00:00.0</v>
      </c>
      <c r="K41" t="s">
        <v>834</v>
      </c>
      <c r="L41" t="s">
        <v>0</v>
      </c>
      <c r="M41" t="str">
        <f t="shared" si="1"/>
        <v>048314</v>
      </c>
      <c r="N41">
        <v>1</v>
      </c>
      <c r="O41">
        <v>1</v>
      </c>
      <c r="P41" t="str">
        <f>"05"</f>
        <v>05</v>
      </c>
      <c r="Q41" t="s">
        <v>835</v>
      </c>
      <c r="S41" t="s">
        <v>836</v>
      </c>
      <c r="T41" t="s">
        <v>836</v>
      </c>
      <c r="U41" t="str">
        <f t="shared" si="2"/>
        <v>2500-12-31 00:00:00.0</v>
      </c>
      <c r="V41" t="s">
        <v>837</v>
      </c>
      <c r="W41" t="str">
        <f>"048314-070417-**-**"</f>
        <v>048314-070417-**-**</v>
      </c>
      <c r="X41" t="s">
        <v>838</v>
      </c>
      <c r="Y41">
        <v>1125</v>
      </c>
      <c r="Z41">
        <v>1125</v>
      </c>
      <c r="AA41" t="str">
        <f t="shared" si="11"/>
        <v>06/08/2016</v>
      </c>
    </row>
    <row r="42" spans="1:27" x14ac:dyDescent="0.3">
      <c r="A42" t="str">
        <f t="shared" si="0"/>
        <v>048314</v>
      </c>
      <c r="B42" t="str">
        <f t="shared" si="7"/>
        <v>004697</v>
      </c>
      <c r="C42" t="s">
        <v>1266</v>
      </c>
      <c r="D42" t="s">
        <v>3839</v>
      </c>
      <c r="E42" t="s">
        <v>3840</v>
      </c>
      <c r="F42" t="s">
        <v>3841</v>
      </c>
      <c r="G42" t="s">
        <v>3842</v>
      </c>
      <c r="H42" t="str">
        <f t="shared" si="10"/>
        <v>048314</v>
      </c>
      <c r="I42" t="s">
        <v>833</v>
      </c>
      <c r="J42" t="str">
        <f>"2015-08-01 00:00:00.0"</f>
        <v>2015-08-01 00:00:00.0</v>
      </c>
      <c r="K42" t="s">
        <v>834</v>
      </c>
      <c r="L42" t="s">
        <v>0</v>
      </c>
      <c r="M42" t="str">
        <f t="shared" si="1"/>
        <v>048314</v>
      </c>
      <c r="N42">
        <v>1</v>
      </c>
      <c r="O42">
        <v>1</v>
      </c>
      <c r="P42" t="s">
        <v>764</v>
      </c>
      <c r="Q42" t="s">
        <v>835</v>
      </c>
      <c r="S42" t="s">
        <v>836</v>
      </c>
      <c r="T42" t="s">
        <v>836</v>
      </c>
      <c r="U42" t="str">
        <f t="shared" si="2"/>
        <v>2500-12-31 00:00:00.0</v>
      </c>
      <c r="V42" t="s">
        <v>837</v>
      </c>
      <c r="W42" t="str">
        <f t="shared" ref="W42:W50" si="12">"048314-004697-**-**"</f>
        <v>048314-004697-**-**</v>
      </c>
      <c r="X42" t="s">
        <v>838</v>
      </c>
      <c r="Y42">
        <v>1206.25</v>
      </c>
      <c r="Z42">
        <v>1206.25</v>
      </c>
      <c r="AA42" t="str">
        <f t="shared" si="11"/>
        <v>06/08/2016</v>
      </c>
    </row>
    <row r="43" spans="1:27" x14ac:dyDescent="0.3">
      <c r="A43" t="str">
        <f t="shared" si="0"/>
        <v>048314</v>
      </c>
      <c r="B43" t="str">
        <f t="shared" si="7"/>
        <v>004697</v>
      </c>
      <c r="C43" t="s">
        <v>3670</v>
      </c>
      <c r="D43" t="s">
        <v>3839</v>
      </c>
      <c r="E43" t="s">
        <v>3840</v>
      </c>
      <c r="F43" t="s">
        <v>3841</v>
      </c>
      <c r="G43" t="s">
        <v>3842</v>
      </c>
      <c r="H43" t="str">
        <f t="shared" si="10"/>
        <v>048314</v>
      </c>
      <c r="I43" t="s">
        <v>833</v>
      </c>
      <c r="J43" t="str">
        <f>"2015-07-01 00:00:00.0"</f>
        <v>2015-07-01 00:00:00.0</v>
      </c>
      <c r="K43" t="s">
        <v>834</v>
      </c>
      <c r="L43" t="s">
        <v>0</v>
      </c>
      <c r="M43" t="str">
        <f t="shared" si="1"/>
        <v>048314</v>
      </c>
      <c r="N43">
        <v>1</v>
      </c>
      <c r="O43">
        <v>1</v>
      </c>
      <c r="P43" t="str">
        <f>"04"</f>
        <v>04</v>
      </c>
      <c r="Q43" t="s">
        <v>835</v>
      </c>
      <c r="S43" t="s">
        <v>836</v>
      </c>
      <c r="T43" t="s">
        <v>836</v>
      </c>
      <c r="U43" t="str">
        <f t="shared" si="2"/>
        <v>2500-12-31 00:00:00.0</v>
      </c>
      <c r="V43" t="s">
        <v>837</v>
      </c>
      <c r="W43" t="str">
        <f t="shared" si="12"/>
        <v>048314-004697-**-**</v>
      </c>
      <c r="X43" t="s">
        <v>838</v>
      </c>
      <c r="Y43">
        <v>1206.25</v>
      </c>
      <c r="Z43">
        <v>1206.25</v>
      </c>
      <c r="AA43" t="str">
        <f t="shared" si="11"/>
        <v>06/08/2016</v>
      </c>
    </row>
    <row r="44" spans="1:27" x14ac:dyDescent="0.3">
      <c r="A44" t="str">
        <f t="shared" si="0"/>
        <v>048314</v>
      </c>
      <c r="B44" t="str">
        <f t="shared" si="7"/>
        <v>004697</v>
      </c>
      <c r="C44" t="s">
        <v>965</v>
      </c>
      <c r="D44" t="s">
        <v>3839</v>
      </c>
      <c r="E44" t="s">
        <v>3840</v>
      </c>
      <c r="F44" t="s">
        <v>3841</v>
      </c>
      <c r="G44" t="s">
        <v>3842</v>
      </c>
      <c r="H44" t="str">
        <f t="shared" si="10"/>
        <v>048314</v>
      </c>
      <c r="I44" t="s">
        <v>833</v>
      </c>
      <c r="J44" t="str">
        <f>"2015-08-01 00:00:00.0"</f>
        <v>2015-08-01 00:00:00.0</v>
      </c>
      <c r="K44" t="s">
        <v>834</v>
      </c>
      <c r="L44" t="s">
        <v>0</v>
      </c>
      <c r="M44" t="str">
        <f t="shared" si="1"/>
        <v>048314</v>
      </c>
      <c r="N44">
        <v>1</v>
      </c>
      <c r="O44">
        <v>1</v>
      </c>
      <c r="P44" t="s">
        <v>764</v>
      </c>
      <c r="Q44" t="s">
        <v>835</v>
      </c>
      <c r="S44" t="s">
        <v>836</v>
      </c>
      <c r="T44" t="s">
        <v>836</v>
      </c>
      <c r="U44" t="str">
        <f t="shared" si="2"/>
        <v>2500-12-31 00:00:00.0</v>
      </c>
      <c r="V44" t="s">
        <v>837</v>
      </c>
      <c r="W44" t="str">
        <f t="shared" si="12"/>
        <v>048314-004697-**-**</v>
      </c>
      <c r="X44" t="s">
        <v>838</v>
      </c>
      <c r="Y44">
        <v>1206.25</v>
      </c>
      <c r="Z44">
        <v>1206.25</v>
      </c>
      <c r="AA44" t="str">
        <f t="shared" si="11"/>
        <v>06/08/2016</v>
      </c>
    </row>
    <row r="45" spans="1:27" x14ac:dyDescent="0.3">
      <c r="A45" t="str">
        <f t="shared" si="0"/>
        <v>048314</v>
      </c>
      <c r="B45" t="str">
        <f t="shared" si="7"/>
        <v>004697</v>
      </c>
      <c r="C45" t="s">
        <v>1498</v>
      </c>
      <c r="D45" t="s">
        <v>3839</v>
      </c>
      <c r="E45" t="s">
        <v>3840</v>
      </c>
      <c r="F45" t="s">
        <v>3841</v>
      </c>
      <c r="G45" t="s">
        <v>3842</v>
      </c>
      <c r="H45" t="str">
        <f t="shared" si="10"/>
        <v>048314</v>
      </c>
      <c r="I45" t="s">
        <v>833</v>
      </c>
      <c r="J45" t="str">
        <f>"2015-07-01 00:00:00.0"</f>
        <v>2015-07-01 00:00:00.0</v>
      </c>
      <c r="K45" t="s">
        <v>834</v>
      </c>
      <c r="L45" t="s">
        <v>0</v>
      </c>
      <c r="M45" t="str">
        <f t="shared" si="1"/>
        <v>048314</v>
      </c>
      <c r="N45">
        <v>1</v>
      </c>
      <c r="O45">
        <v>1</v>
      </c>
      <c r="P45" t="str">
        <f>"02"</f>
        <v>02</v>
      </c>
      <c r="Q45" t="s">
        <v>835</v>
      </c>
      <c r="S45" t="s">
        <v>836</v>
      </c>
      <c r="T45" t="s">
        <v>836</v>
      </c>
      <c r="U45" t="str">
        <f t="shared" si="2"/>
        <v>2500-12-31 00:00:00.0</v>
      </c>
      <c r="V45" t="s">
        <v>837</v>
      </c>
      <c r="W45" t="str">
        <f t="shared" si="12"/>
        <v>048314-004697-**-**</v>
      </c>
      <c r="X45" t="s">
        <v>838</v>
      </c>
      <c r="Y45">
        <v>1206.25</v>
      </c>
      <c r="Z45">
        <v>1206.25</v>
      </c>
      <c r="AA45" t="str">
        <f t="shared" si="11"/>
        <v>06/08/2016</v>
      </c>
    </row>
    <row r="46" spans="1:27" x14ac:dyDescent="0.3">
      <c r="A46" t="str">
        <f t="shared" si="0"/>
        <v>048314</v>
      </c>
      <c r="B46" t="str">
        <f t="shared" si="7"/>
        <v>004697</v>
      </c>
      <c r="C46" t="s">
        <v>3206</v>
      </c>
      <c r="D46" t="s">
        <v>3839</v>
      </c>
      <c r="E46" t="s">
        <v>3840</v>
      </c>
      <c r="F46" t="s">
        <v>3841</v>
      </c>
      <c r="G46" t="s">
        <v>3842</v>
      </c>
      <c r="H46" t="str">
        <f t="shared" si="10"/>
        <v>048314</v>
      </c>
      <c r="I46" t="s">
        <v>833</v>
      </c>
      <c r="J46" t="str">
        <f>"2015-07-01 00:00:00.0"</f>
        <v>2015-07-01 00:00:00.0</v>
      </c>
      <c r="K46" t="s">
        <v>834</v>
      </c>
      <c r="L46" t="s">
        <v>0</v>
      </c>
      <c r="M46" t="str">
        <f t="shared" si="1"/>
        <v>048314</v>
      </c>
      <c r="N46">
        <v>1</v>
      </c>
      <c r="O46">
        <v>1</v>
      </c>
      <c r="P46" t="str">
        <f>"03"</f>
        <v>03</v>
      </c>
      <c r="Q46" t="s">
        <v>835</v>
      </c>
      <c r="S46" t="s">
        <v>836</v>
      </c>
      <c r="T46" t="s">
        <v>836</v>
      </c>
      <c r="U46" t="str">
        <f t="shared" si="2"/>
        <v>2500-12-31 00:00:00.0</v>
      </c>
      <c r="V46" t="s">
        <v>837</v>
      </c>
      <c r="W46" t="str">
        <f t="shared" si="12"/>
        <v>048314-004697-**-**</v>
      </c>
      <c r="X46" t="s">
        <v>838</v>
      </c>
      <c r="Y46">
        <v>1206.25</v>
      </c>
      <c r="Z46">
        <v>1206.25</v>
      </c>
      <c r="AA46" t="str">
        <f t="shared" si="11"/>
        <v>06/08/2016</v>
      </c>
    </row>
    <row r="47" spans="1:27" x14ac:dyDescent="0.3">
      <c r="A47" t="str">
        <f t="shared" si="0"/>
        <v>048314</v>
      </c>
      <c r="B47" t="str">
        <f t="shared" si="7"/>
        <v>004697</v>
      </c>
      <c r="C47" t="s">
        <v>2579</v>
      </c>
      <c r="D47" t="s">
        <v>3839</v>
      </c>
      <c r="E47" t="s">
        <v>3840</v>
      </c>
      <c r="F47" t="s">
        <v>3841</v>
      </c>
      <c r="G47" t="s">
        <v>3842</v>
      </c>
      <c r="H47" t="str">
        <f t="shared" si="10"/>
        <v>048314</v>
      </c>
      <c r="I47" t="s">
        <v>833</v>
      </c>
      <c r="J47" t="str">
        <f>"2015-07-01 00:00:00.0"</f>
        <v>2015-07-01 00:00:00.0</v>
      </c>
      <c r="K47" t="s">
        <v>834</v>
      </c>
      <c r="L47" t="s">
        <v>0</v>
      </c>
      <c r="M47" t="str">
        <f t="shared" si="1"/>
        <v>048314</v>
      </c>
      <c r="N47">
        <v>1</v>
      </c>
      <c r="O47">
        <v>1</v>
      </c>
      <c r="P47" t="str">
        <f>"02"</f>
        <v>02</v>
      </c>
      <c r="Q47" t="s">
        <v>835</v>
      </c>
      <c r="S47" t="s">
        <v>836</v>
      </c>
      <c r="T47" t="s">
        <v>1433</v>
      </c>
      <c r="U47" t="str">
        <f t="shared" si="2"/>
        <v>2500-12-31 00:00:00.0</v>
      </c>
      <c r="V47" t="s">
        <v>837</v>
      </c>
      <c r="W47" t="str">
        <f t="shared" si="12"/>
        <v>048314-004697-**-**</v>
      </c>
      <c r="X47" t="s">
        <v>838</v>
      </c>
      <c r="Y47">
        <v>1206.25</v>
      </c>
      <c r="Z47">
        <v>1206.25</v>
      </c>
      <c r="AA47" t="str">
        <f t="shared" si="11"/>
        <v>06/08/2016</v>
      </c>
    </row>
    <row r="48" spans="1:27" x14ac:dyDescent="0.3">
      <c r="A48" t="str">
        <f t="shared" si="0"/>
        <v>048314</v>
      </c>
      <c r="B48" t="str">
        <f t="shared" si="7"/>
        <v>004697</v>
      </c>
      <c r="C48" t="s">
        <v>3300</v>
      </c>
      <c r="D48" t="s">
        <v>3839</v>
      </c>
      <c r="E48" t="s">
        <v>3840</v>
      </c>
      <c r="F48" t="s">
        <v>3841</v>
      </c>
      <c r="G48" t="s">
        <v>3842</v>
      </c>
      <c r="H48" t="str">
        <f t="shared" si="10"/>
        <v>048314</v>
      </c>
      <c r="I48" t="s">
        <v>833</v>
      </c>
      <c r="J48" t="str">
        <f>"2015-07-01 00:00:00.0"</f>
        <v>2015-07-01 00:00:00.0</v>
      </c>
      <c r="K48" t="s">
        <v>834</v>
      </c>
      <c r="L48" t="s">
        <v>0</v>
      </c>
      <c r="M48" t="str">
        <f t="shared" si="1"/>
        <v>048314</v>
      </c>
      <c r="N48">
        <v>1</v>
      </c>
      <c r="O48">
        <v>1</v>
      </c>
      <c r="P48" t="str">
        <f>"04"</f>
        <v>04</v>
      </c>
      <c r="Q48" t="str">
        <f>"05"</f>
        <v>05</v>
      </c>
      <c r="R48" t="str">
        <f>"1"</f>
        <v>1</v>
      </c>
      <c r="S48" t="s">
        <v>836</v>
      </c>
      <c r="T48" t="s">
        <v>836</v>
      </c>
      <c r="U48" t="str">
        <f t="shared" si="2"/>
        <v>2500-12-31 00:00:00.0</v>
      </c>
      <c r="V48" t="s">
        <v>837</v>
      </c>
      <c r="W48" t="str">
        <f t="shared" si="12"/>
        <v>048314-004697-**-**</v>
      </c>
      <c r="X48" t="s">
        <v>838</v>
      </c>
      <c r="Y48">
        <v>1206.25</v>
      </c>
      <c r="Z48">
        <v>1206.25</v>
      </c>
      <c r="AA48" t="str">
        <f t="shared" si="11"/>
        <v>06/08/2016</v>
      </c>
    </row>
    <row r="49" spans="1:27" x14ac:dyDescent="0.3">
      <c r="A49" t="str">
        <f t="shared" si="0"/>
        <v>048314</v>
      </c>
      <c r="B49" t="str">
        <f t="shared" si="7"/>
        <v>004697</v>
      </c>
      <c r="C49" t="s">
        <v>847</v>
      </c>
      <c r="D49" t="s">
        <v>3839</v>
      </c>
      <c r="E49" t="s">
        <v>3840</v>
      </c>
      <c r="F49" t="s">
        <v>3841</v>
      </c>
      <c r="G49" t="s">
        <v>3842</v>
      </c>
      <c r="H49" t="str">
        <f t="shared" si="10"/>
        <v>048314</v>
      </c>
      <c r="I49" t="s">
        <v>833</v>
      </c>
      <c r="J49" t="str">
        <f>"2015-08-15 00:00:00.0"</f>
        <v>2015-08-15 00:00:00.0</v>
      </c>
      <c r="K49" t="s">
        <v>834</v>
      </c>
      <c r="L49" t="s">
        <v>0</v>
      </c>
      <c r="M49" t="str">
        <f t="shared" si="1"/>
        <v>048314</v>
      </c>
      <c r="N49">
        <v>1</v>
      </c>
      <c r="O49">
        <v>1</v>
      </c>
      <c r="P49" t="s">
        <v>764</v>
      </c>
      <c r="Q49" t="s">
        <v>835</v>
      </c>
      <c r="S49" t="s">
        <v>836</v>
      </c>
      <c r="T49" t="s">
        <v>836</v>
      </c>
      <c r="U49" t="str">
        <f t="shared" si="2"/>
        <v>2500-12-31 00:00:00.0</v>
      </c>
      <c r="V49" t="s">
        <v>837</v>
      </c>
      <c r="W49" t="str">
        <f t="shared" si="12"/>
        <v>048314-004697-**-**</v>
      </c>
      <c r="X49" t="s">
        <v>838</v>
      </c>
      <c r="Y49">
        <v>1206.25</v>
      </c>
      <c r="Z49">
        <v>1206.25</v>
      </c>
      <c r="AA49" t="str">
        <f t="shared" si="11"/>
        <v>06/08/2016</v>
      </c>
    </row>
    <row r="50" spans="1:27" x14ac:dyDescent="0.3">
      <c r="A50" t="str">
        <f t="shared" si="0"/>
        <v>048314</v>
      </c>
      <c r="B50" t="str">
        <f t="shared" si="7"/>
        <v>004697</v>
      </c>
      <c r="C50" t="s">
        <v>1486</v>
      </c>
      <c r="D50" t="s">
        <v>3839</v>
      </c>
      <c r="E50" t="s">
        <v>3840</v>
      </c>
      <c r="F50" t="s">
        <v>3841</v>
      </c>
      <c r="G50" t="s">
        <v>3842</v>
      </c>
      <c r="H50" t="str">
        <f t="shared" si="10"/>
        <v>048314</v>
      </c>
      <c r="I50" t="s">
        <v>833</v>
      </c>
      <c r="J50" t="str">
        <f>"2015-07-01 00:00:00.0"</f>
        <v>2015-07-01 00:00:00.0</v>
      </c>
      <c r="K50" t="s">
        <v>834</v>
      </c>
      <c r="L50" t="s">
        <v>0</v>
      </c>
      <c r="M50" t="str">
        <f t="shared" si="1"/>
        <v>048314</v>
      </c>
      <c r="N50">
        <v>1</v>
      </c>
      <c r="O50">
        <v>1</v>
      </c>
      <c r="P50" t="s">
        <v>764</v>
      </c>
      <c r="Q50" t="str">
        <f>"10"</f>
        <v>10</v>
      </c>
      <c r="R50" t="str">
        <f>"2"</f>
        <v>2</v>
      </c>
      <c r="S50" t="s">
        <v>860</v>
      </c>
      <c r="T50" t="s">
        <v>836</v>
      </c>
      <c r="U50" t="str">
        <f t="shared" si="2"/>
        <v>2500-12-31 00:00:00.0</v>
      </c>
      <c r="V50" t="s">
        <v>837</v>
      </c>
      <c r="W50" t="str">
        <f t="shared" si="12"/>
        <v>048314-004697-**-**</v>
      </c>
      <c r="X50" t="s">
        <v>838</v>
      </c>
      <c r="Y50">
        <v>1206.25</v>
      </c>
      <c r="Z50">
        <v>1206.25</v>
      </c>
      <c r="AA50" t="str">
        <f t="shared" si="11"/>
        <v>06/08/2016</v>
      </c>
    </row>
    <row r="51" spans="1:27" x14ac:dyDescent="0.3">
      <c r="A51" t="str">
        <f t="shared" si="0"/>
        <v>048314</v>
      </c>
      <c r="B51" t="str">
        <f t="shared" si="7"/>
        <v>004697</v>
      </c>
      <c r="C51" t="s">
        <v>3731</v>
      </c>
      <c r="D51" t="s">
        <v>3839</v>
      </c>
      <c r="E51" t="s">
        <v>3840</v>
      </c>
      <c r="F51" t="s">
        <v>3841</v>
      </c>
      <c r="G51" t="s">
        <v>3842</v>
      </c>
      <c r="H51" t="str">
        <f>"048280"</f>
        <v>048280</v>
      </c>
      <c r="I51" t="s">
        <v>833</v>
      </c>
      <c r="J51" t="str">
        <f>"2015-07-01 00:00:00.0"</f>
        <v>2015-07-01 00:00:00.0</v>
      </c>
      <c r="K51" t="s">
        <v>834</v>
      </c>
      <c r="L51" t="s">
        <v>142</v>
      </c>
      <c r="M51" t="str">
        <f t="shared" si="1"/>
        <v>048314</v>
      </c>
      <c r="N51">
        <v>1</v>
      </c>
      <c r="O51">
        <v>1</v>
      </c>
      <c r="P51" t="s">
        <v>841</v>
      </c>
      <c r="Q51" t="str">
        <f>"05"</f>
        <v>05</v>
      </c>
      <c r="R51" t="str">
        <f>"1"</f>
        <v>1</v>
      </c>
      <c r="S51" t="s">
        <v>860</v>
      </c>
      <c r="T51" t="s">
        <v>836</v>
      </c>
      <c r="U51" t="str">
        <f t="shared" si="2"/>
        <v>2500-12-31 00:00:00.0</v>
      </c>
      <c r="V51" t="s">
        <v>837</v>
      </c>
      <c r="W51" t="str">
        <f>"048280-048280-PS-FA"</f>
        <v>048280-048280-PS-FA</v>
      </c>
      <c r="X51" t="s">
        <v>838</v>
      </c>
      <c r="Y51">
        <v>151</v>
      </c>
      <c r="Z51">
        <v>151</v>
      </c>
      <c r="AA51" t="str">
        <f>"06/15/2016"</f>
        <v>06/15/2016</v>
      </c>
    </row>
    <row r="52" spans="1:27" x14ac:dyDescent="0.3">
      <c r="A52" t="str">
        <f t="shared" si="0"/>
        <v>048314</v>
      </c>
      <c r="B52" t="str">
        <f t="shared" si="7"/>
        <v>004697</v>
      </c>
      <c r="C52" t="s">
        <v>3302</v>
      </c>
      <c r="D52" t="s">
        <v>3839</v>
      </c>
      <c r="E52" t="s">
        <v>3840</v>
      </c>
      <c r="F52" t="s">
        <v>3841</v>
      </c>
      <c r="G52" t="s">
        <v>3842</v>
      </c>
      <c r="H52" t="str">
        <f>"048314"</f>
        <v>048314</v>
      </c>
      <c r="I52" t="s">
        <v>833</v>
      </c>
      <c r="J52" t="str">
        <f>"2015-07-01 00:00:00.0"</f>
        <v>2015-07-01 00:00:00.0</v>
      </c>
      <c r="K52" t="s">
        <v>834</v>
      </c>
      <c r="L52" t="s">
        <v>0</v>
      </c>
      <c r="M52" t="str">
        <f t="shared" si="1"/>
        <v>048314</v>
      </c>
      <c r="N52">
        <v>1</v>
      </c>
      <c r="O52">
        <v>1</v>
      </c>
      <c r="P52" t="str">
        <f>"04"</f>
        <v>04</v>
      </c>
      <c r="Q52" t="s">
        <v>835</v>
      </c>
      <c r="S52" t="s">
        <v>836</v>
      </c>
      <c r="T52" t="s">
        <v>836</v>
      </c>
      <c r="U52" t="str">
        <f t="shared" si="2"/>
        <v>2500-12-31 00:00:00.0</v>
      </c>
      <c r="V52" t="s">
        <v>837</v>
      </c>
      <c r="W52" t="str">
        <f>"048314-004697-**-**"</f>
        <v>048314-004697-**-**</v>
      </c>
      <c r="X52" t="s">
        <v>838</v>
      </c>
      <c r="Y52">
        <v>1206.25</v>
      </c>
      <c r="Z52">
        <v>1206.25</v>
      </c>
      <c r="AA52" t="str">
        <f>"06/08/2016"</f>
        <v>06/08/2016</v>
      </c>
    </row>
    <row r="53" spans="1:27" x14ac:dyDescent="0.3">
      <c r="A53" t="str">
        <f t="shared" si="0"/>
        <v>048314</v>
      </c>
      <c r="B53" t="str">
        <f t="shared" si="7"/>
        <v>004697</v>
      </c>
      <c r="C53" t="s">
        <v>840</v>
      </c>
      <c r="D53" t="s">
        <v>3839</v>
      </c>
      <c r="E53" t="s">
        <v>3840</v>
      </c>
      <c r="F53" t="s">
        <v>3841</v>
      </c>
      <c r="G53" t="s">
        <v>3842</v>
      </c>
      <c r="H53" t="str">
        <f>"048280"</f>
        <v>048280</v>
      </c>
      <c r="I53" t="s">
        <v>833</v>
      </c>
      <c r="J53" t="str">
        <f>"2015-10-05 00:00:00.0"</f>
        <v>2015-10-05 00:00:00.0</v>
      </c>
      <c r="K53" t="s">
        <v>834</v>
      </c>
      <c r="L53" t="s">
        <v>142</v>
      </c>
      <c r="M53" t="str">
        <f t="shared" si="1"/>
        <v>048314</v>
      </c>
      <c r="N53">
        <v>0.87417199999999995</v>
      </c>
      <c r="O53">
        <v>0.87417199999999995</v>
      </c>
      <c r="P53" t="s">
        <v>841</v>
      </c>
      <c r="Q53" t="str">
        <f>"05"</f>
        <v>05</v>
      </c>
      <c r="R53" t="str">
        <f>"1"</f>
        <v>1</v>
      </c>
      <c r="S53" t="s">
        <v>836</v>
      </c>
      <c r="T53" t="s">
        <v>836</v>
      </c>
      <c r="U53" t="str">
        <f t="shared" si="2"/>
        <v>2500-12-31 00:00:00.0</v>
      </c>
      <c r="V53" t="s">
        <v>837</v>
      </c>
      <c r="W53" t="str">
        <f>"048280-048280-PS-FA"</f>
        <v>048280-048280-PS-FA</v>
      </c>
      <c r="X53" t="s">
        <v>838</v>
      </c>
      <c r="Y53">
        <v>132</v>
      </c>
      <c r="Z53">
        <v>151</v>
      </c>
      <c r="AA53" t="str">
        <f>"06/15/2016"</f>
        <v>06/15/2016</v>
      </c>
    </row>
    <row r="54" spans="1:27" x14ac:dyDescent="0.3">
      <c r="A54" t="str">
        <f t="shared" si="0"/>
        <v>048314</v>
      </c>
      <c r="B54" t="str">
        <f t="shared" si="7"/>
        <v>004697</v>
      </c>
      <c r="C54" t="s">
        <v>3609</v>
      </c>
      <c r="D54" t="s">
        <v>3839</v>
      </c>
      <c r="E54" t="s">
        <v>3840</v>
      </c>
      <c r="F54" t="s">
        <v>3841</v>
      </c>
      <c r="G54" t="s">
        <v>3842</v>
      </c>
      <c r="H54" t="str">
        <f t="shared" ref="H54:H91" si="13">"048314"</f>
        <v>048314</v>
      </c>
      <c r="I54" t="s">
        <v>833</v>
      </c>
      <c r="J54" t="str">
        <f>"2015-07-01 00:00:00.0"</f>
        <v>2015-07-01 00:00:00.0</v>
      </c>
      <c r="K54" t="s">
        <v>834</v>
      </c>
      <c r="L54" t="s">
        <v>0</v>
      </c>
      <c r="M54" t="str">
        <f t="shared" si="1"/>
        <v>048314</v>
      </c>
      <c r="N54">
        <v>1</v>
      </c>
      <c r="O54">
        <v>1</v>
      </c>
      <c r="P54" t="str">
        <f>"03"</f>
        <v>03</v>
      </c>
      <c r="Q54" t="s">
        <v>835</v>
      </c>
      <c r="S54" t="s">
        <v>836</v>
      </c>
      <c r="T54" t="s">
        <v>836</v>
      </c>
      <c r="U54" t="str">
        <f t="shared" si="2"/>
        <v>2500-12-31 00:00:00.0</v>
      </c>
      <c r="V54" t="s">
        <v>837</v>
      </c>
      <c r="W54" t="str">
        <f t="shared" ref="W54:W76" si="14">"048314-004697-**-**"</f>
        <v>048314-004697-**-**</v>
      </c>
      <c r="X54" t="s">
        <v>838</v>
      </c>
      <c r="Y54">
        <v>1206.25</v>
      </c>
      <c r="Z54">
        <v>1206.25</v>
      </c>
      <c r="AA54" t="str">
        <f t="shared" ref="AA54:AA91" si="15">"06/08/2016"</f>
        <v>06/08/2016</v>
      </c>
    </row>
    <row r="55" spans="1:27" x14ac:dyDescent="0.3">
      <c r="A55" t="str">
        <f t="shared" si="0"/>
        <v>048314</v>
      </c>
      <c r="B55" t="str">
        <f t="shared" si="7"/>
        <v>004697</v>
      </c>
      <c r="C55" t="s">
        <v>915</v>
      </c>
      <c r="D55" t="s">
        <v>3839</v>
      </c>
      <c r="E55" t="s">
        <v>3840</v>
      </c>
      <c r="F55" t="s">
        <v>3841</v>
      </c>
      <c r="G55" t="s">
        <v>3842</v>
      </c>
      <c r="H55" t="str">
        <f t="shared" si="13"/>
        <v>048314</v>
      </c>
      <c r="I55" t="s">
        <v>833</v>
      </c>
      <c r="J55" t="str">
        <f>"2015-07-01 00:00:00.0"</f>
        <v>2015-07-01 00:00:00.0</v>
      </c>
      <c r="K55" t="s">
        <v>834</v>
      </c>
      <c r="L55" t="s">
        <v>0</v>
      </c>
      <c r="M55" t="str">
        <f t="shared" si="1"/>
        <v>048314</v>
      </c>
      <c r="N55">
        <v>1</v>
      </c>
      <c r="O55">
        <v>1</v>
      </c>
      <c r="P55" t="str">
        <f>"01"</f>
        <v>01</v>
      </c>
      <c r="Q55" t="str">
        <f>"10"</f>
        <v>10</v>
      </c>
      <c r="R55" t="str">
        <f>"2"</f>
        <v>2</v>
      </c>
      <c r="S55" t="s">
        <v>836</v>
      </c>
      <c r="T55" t="s">
        <v>836</v>
      </c>
      <c r="U55" t="str">
        <f t="shared" si="2"/>
        <v>2500-12-31 00:00:00.0</v>
      </c>
      <c r="V55" t="s">
        <v>837</v>
      </c>
      <c r="W55" t="str">
        <f t="shared" si="14"/>
        <v>048314-004697-**-**</v>
      </c>
      <c r="X55" t="s">
        <v>838</v>
      </c>
      <c r="Y55">
        <v>1206.25</v>
      </c>
      <c r="Z55">
        <v>1206.25</v>
      </c>
      <c r="AA55" t="str">
        <f t="shared" si="15"/>
        <v>06/08/2016</v>
      </c>
    </row>
    <row r="56" spans="1:27" x14ac:dyDescent="0.3">
      <c r="A56" t="str">
        <f t="shared" si="0"/>
        <v>048314</v>
      </c>
      <c r="B56" t="str">
        <f t="shared" si="7"/>
        <v>004697</v>
      </c>
      <c r="C56" t="s">
        <v>3405</v>
      </c>
      <c r="D56" t="s">
        <v>3839</v>
      </c>
      <c r="E56" t="s">
        <v>3840</v>
      </c>
      <c r="F56" t="s">
        <v>3841</v>
      </c>
      <c r="G56" t="s">
        <v>3842</v>
      </c>
      <c r="H56" t="str">
        <f t="shared" si="13"/>
        <v>048314</v>
      </c>
      <c r="I56" t="s">
        <v>833</v>
      </c>
      <c r="J56" t="str">
        <f>"2015-07-01 00:00:00.0"</f>
        <v>2015-07-01 00:00:00.0</v>
      </c>
      <c r="K56" t="s">
        <v>834</v>
      </c>
      <c r="L56" t="s">
        <v>0</v>
      </c>
      <c r="M56" t="str">
        <f t="shared" si="1"/>
        <v>048314</v>
      </c>
      <c r="N56">
        <v>1</v>
      </c>
      <c r="O56">
        <v>1</v>
      </c>
      <c r="P56" t="str">
        <f>"04"</f>
        <v>04</v>
      </c>
      <c r="Q56" t="s">
        <v>835</v>
      </c>
      <c r="S56" t="s">
        <v>836</v>
      </c>
      <c r="T56" t="s">
        <v>836</v>
      </c>
      <c r="U56" t="str">
        <f t="shared" si="2"/>
        <v>2500-12-31 00:00:00.0</v>
      </c>
      <c r="V56" t="s">
        <v>837</v>
      </c>
      <c r="W56" t="str">
        <f t="shared" si="14"/>
        <v>048314-004697-**-**</v>
      </c>
      <c r="X56" t="s">
        <v>838</v>
      </c>
      <c r="Y56">
        <v>1206.25</v>
      </c>
      <c r="Z56">
        <v>1206.25</v>
      </c>
      <c r="AA56" t="str">
        <f t="shared" si="15"/>
        <v>06/08/2016</v>
      </c>
    </row>
    <row r="57" spans="1:27" x14ac:dyDescent="0.3">
      <c r="A57" t="str">
        <f t="shared" si="0"/>
        <v>048314</v>
      </c>
      <c r="B57" t="str">
        <f t="shared" si="7"/>
        <v>004697</v>
      </c>
      <c r="C57" t="s">
        <v>1840</v>
      </c>
      <c r="D57" t="s">
        <v>3839</v>
      </c>
      <c r="E57" t="s">
        <v>3840</v>
      </c>
      <c r="F57" t="s">
        <v>3841</v>
      </c>
      <c r="G57" t="s">
        <v>3842</v>
      </c>
      <c r="H57" t="str">
        <f t="shared" si="13"/>
        <v>048314</v>
      </c>
      <c r="I57" t="s">
        <v>833</v>
      </c>
      <c r="J57" t="str">
        <f>"2015-07-01 00:00:00.0"</f>
        <v>2015-07-01 00:00:00.0</v>
      </c>
      <c r="K57" t="s">
        <v>834</v>
      </c>
      <c r="L57" t="s">
        <v>0</v>
      </c>
      <c r="M57" t="str">
        <f t="shared" si="1"/>
        <v>048314</v>
      </c>
      <c r="N57">
        <v>1</v>
      </c>
      <c r="O57">
        <v>1</v>
      </c>
      <c r="P57" t="str">
        <f>"02"</f>
        <v>02</v>
      </c>
      <c r="Q57" t="s">
        <v>835</v>
      </c>
      <c r="S57" t="s">
        <v>860</v>
      </c>
      <c r="T57" t="s">
        <v>836</v>
      </c>
      <c r="U57" t="str">
        <f t="shared" si="2"/>
        <v>2500-12-31 00:00:00.0</v>
      </c>
      <c r="V57" t="s">
        <v>837</v>
      </c>
      <c r="W57" t="str">
        <f t="shared" si="14"/>
        <v>048314-004697-**-**</v>
      </c>
      <c r="X57" t="s">
        <v>838</v>
      </c>
      <c r="Y57">
        <v>1206.25</v>
      </c>
      <c r="Z57">
        <v>1206.25</v>
      </c>
      <c r="AA57" t="str">
        <f t="shared" si="15"/>
        <v>06/08/2016</v>
      </c>
    </row>
    <row r="58" spans="1:27" x14ac:dyDescent="0.3">
      <c r="A58" t="str">
        <f t="shared" si="0"/>
        <v>048314</v>
      </c>
      <c r="B58" t="str">
        <f t="shared" si="7"/>
        <v>004697</v>
      </c>
      <c r="C58" t="s">
        <v>1526</v>
      </c>
      <c r="D58" t="s">
        <v>3839</v>
      </c>
      <c r="E58" t="s">
        <v>3840</v>
      </c>
      <c r="F58" t="s">
        <v>3841</v>
      </c>
      <c r="G58" t="s">
        <v>3842</v>
      </c>
      <c r="H58" t="str">
        <f t="shared" si="13"/>
        <v>048314</v>
      </c>
      <c r="I58" t="s">
        <v>833</v>
      </c>
      <c r="J58" t="str">
        <f>"2015-07-01 00:00:00.0"</f>
        <v>2015-07-01 00:00:00.0</v>
      </c>
      <c r="K58" t="s">
        <v>834</v>
      </c>
      <c r="L58" t="s">
        <v>0</v>
      </c>
      <c r="M58" t="str">
        <f t="shared" si="1"/>
        <v>048314</v>
      </c>
      <c r="N58">
        <v>1</v>
      </c>
      <c r="O58">
        <v>1</v>
      </c>
      <c r="P58" t="str">
        <f>"01"</f>
        <v>01</v>
      </c>
      <c r="Q58" t="s">
        <v>835</v>
      </c>
      <c r="S58" t="s">
        <v>836</v>
      </c>
      <c r="T58" t="s">
        <v>836</v>
      </c>
      <c r="U58" t="str">
        <f t="shared" si="2"/>
        <v>2500-12-31 00:00:00.0</v>
      </c>
      <c r="V58" t="s">
        <v>837</v>
      </c>
      <c r="W58" t="str">
        <f t="shared" si="14"/>
        <v>048314-004697-**-**</v>
      </c>
      <c r="X58" t="s">
        <v>838</v>
      </c>
      <c r="Y58">
        <v>1206.25</v>
      </c>
      <c r="Z58">
        <v>1206.25</v>
      </c>
      <c r="AA58" t="str">
        <f t="shared" si="15"/>
        <v>06/08/2016</v>
      </c>
    </row>
    <row r="59" spans="1:27" x14ac:dyDescent="0.3">
      <c r="A59" t="str">
        <f t="shared" si="0"/>
        <v>048314</v>
      </c>
      <c r="B59" t="str">
        <f t="shared" si="7"/>
        <v>004697</v>
      </c>
      <c r="C59" t="s">
        <v>1061</v>
      </c>
      <c r="D59" t="s">
        <v>3839</v>
      </c>
      <c r="E59" t="s">
        <v>3840</v>
      </c>
      <c r="F59" t="s">
        <v>3841</v>
      </c>
      <c r="G59" t="s">
        <v>3842</v>
      </c>
      <c r="H59" t="str">
        <f t="shared" si="13"/>
        <v>048314</v>
      </c>
      <c r="I59" t="s">
        <v>833</v>
      </c>
      <c r="J59" t="str">
        <f>"2015-08-01 00:00:00.0"</f>
        <v>2015-08-01 00:00:00.0</v>
      </c>
      <c r="K59" t="s">
        <v>834</v>
      </c>
      <c r="L59" t="s">
        <v>0</v>
      </c>
      <c r="M59" t="str">
        <f t="shared" si="1"/>
        <v>048314</v>
      </c>
      <c r="N59">
        <v>1</v>
      </c>
      <c r="O59">
        <v>1</v>
      </c>
      <c r="P59" t="s">
        <v>764</v>
      </c>
      <c r="Q59" t="s">
        <v>835</v>
      </c>
      <c r="S59" t="s">
        <v>836</v>
      </c>
      <c r="T59" t="s">
        <v>836</v>
      </c>
      <c r="U59" t="str">
        <f t="shared" si="2"/>
        <v>2500-12-31 00:00:00.0</v>
      </c>
      <c r="V59" t="s">
        <v>837</v>
      </c>
      <c r="W59" t="str">
        <f t="shared" si="14"/>
        <v>048314-004697-**-**</v>
      </c>
      <c r="X59" t="s">
        <v>838</v>
      </c>
      <c r="Y59">
        <v>1206.25</v>
      </c>
      <c r="Z59">
        <v>1206.25</v>
      </c>
      <c r="AA59" t="str">
        <f t="shared" si="15"/>
        <v>06/08/2016</v>
      </c>
    </row>
    <row r="60" spans="1:27" x14ac:dyDescent="0.3">
      <c r="A60" t="str">
        <f t="shared" si="0"/>
        <v>048314</v>
      </c>
      <c r="B60" t="str">
        <f t="shared" si="7"/>
        <v>004697</v>
      </c>
      <c r="C60" t="s">
        <v>869</v>
      </c>
      <c r="D60" t="s">
        <v>3839</v>
      </c>
      <c r="E60" t="s">
        <v>3840</v>
      </c>
      <c r="F60" t="s">
        <v>3841</v>
      </c>
      <c r="G60" t="s">
        <v>3842</v>
      </c>
      <c r="H60" t="str">
        <f t="shared" si="13"/>
        <v>048314</v>
      </c>
      <c r="I60" t="s">
        <v>833</v>
      </c>
      <c r="J60" t="str">
        <f>"2015-07-01 00:00:00.0"</f>
        <v>2015-07-01 00:00:00.0</v>
      </c>
      <c r="K60" t="s">
        <v>834</v>
      </c>
      <c r="L60" t="s">
        <v>0</v>
      </c>
      <c r="M60" t="str">
        <f t="shared" si="1"/>
        <v>048314</v>
      </c>
      <c r="N60">
        <v>1</v>
      </c>
      <c r="O60">
        <v>1</v>
      </c>
      <c r="P60" t="str">
        <f>"02"</f>
        <v>02</v>
      </c>
      <c r="Q60" t="s">
        <v>835</v>
      </c>
      <c r="S60" t="s">
        <v>836</v>
      </c>
      <c r="T60" t="s">
        <v>836</v>
      </c>
      <c r="U60" t="str">
        <f t="shared" si="2"/>
        <v>2500-12-31 00:00:00.0</v>
      </c>
      <c r="V60" t="s">
        <v>837</v>
      </c>
      <c r="W60" t="str">
        <f t="shared" si="14"/>
        <v>048314-004697-**-**</v>
      </c>
      <c r="X60" t="s">
        <v>838</v>
      </c>
      <c r="Y60">
        <v>1206.25</v>
      </c>
      <c r="Z60">
        <v>1206.25</v>
      </c>
      <c r="AA60" t="str">
        <f t="shared" si="15"/>
        <v>06/08/2016</v>
      </c>
    </row>
    <row r="61" spans="1:27" x14ac:dyDescent="0.3">
      <c r="A61" t="str">
        <f t="shared" si="0"/>
        <v>048314</v>
      </c>
      <c r="B61" t="str">
        <f t="shared" si="7"/>
        <v>004697</v>
      </c>
      <c r="C61" t="s">
        <v>3198</v>
      </c>
      <c r="D61" t="s">
        <v>3839</v>
      </c>
      <c r="E61" t="s">
        <v>3840</v>
      </c>
      <c r="F61" t="s">
        <v>3841</v>
      </c>
      <c r="G61" t="s">
        <v>3842</v>
      </c>
      <c r="H61" t="str">
        <f t="shared" si="13"/>
        <v>048314</v>
      </c>
      <c r="I61" t="s">
        <v>833</v>
      </c>
      <c r="J61" t="str">
        <f>"2015-07-01 00:00:00.0"</f>
        <v>2015-07-01 00:00:00.0</v>
      </c>
      <c r="K61" t="s">
        <v>834</v>
      </c>
      <c r="L61" t="s">
        <v>0</v>
      </c>
      <c r="M61" t="str">
        <f t="shared" si="1"/>
        <v>048314</v>
      </c>
      <c r="N61">
        <v>1</v>
      </c>
      <c r="O61">
        <v>1</v>
      </c>
      <c r="P61" t="str">
        <f>"03"</f>
        <v>03</v>
      </c>
      <c r="Q61" t="s">
        <v>835</v>
      </c>
      <c r="S61" t="s">
        <v>836</v>
      </c>
      <c r="T61" t="s">
        <v>836</v>
      </c>
      <c r="U61" t="str">
        <f t="shared" si="2"/>
        <v>2500-12-31 00:00:00.0</v>
      </c>
      <c r="V61" t="s">
        <v>837</v>
      </c>
      <c r="W61" t="str">
        <f t="shared" si="14"/>
        <v>048314-004697-**-**</v>
      </c>
      <c r="X61" t="s">
        <v>838</v>
      </c>
      <c r="Y61">
        <v>1206.25</v>
      </c>
      <c r="Z61">
        <v>1206.25</v>
      </c>
      <c r="AA61" t="str">
        <f t="shared" si="15"/>
        <v>06/08/2016</v>
      </c>
    </row>
    <row r="62" spans="1:27" x14ac:dyDescent="0.3">
      <c r="A62" t="str">
        <f t="shared" si="0"/>
        <v>048314</v>
      </c>
      <c r="B62" t="str">
        <f t="shared" si="7"/>
        <v>004697</v>
      </c>
      <c r="C62" t="s">
        <v>3087</v>
      </c>
      <c r="D62" t="s">
        <v>3839</v>
      </c>
      <c r="E62" t="s">
        <v>3840</v>
      </c>
      <c r="F62" t="s">
        <v>3841</v>
      </c>
      <c r="G62" t="s">
        <v>3842</v>
      </c>
      <c r="H62" t="str">
        <f t="shared" si="13"/>
        <v>048314</v>
      </c>
      <c r="I62" t="s">
        <v>833</v>
      </c>
      <c r="J62" t="str">
        <f>"2015-07-01 00:00:00.0"</f>
        <v>2015-07-01 00:00:00.0</v>
      </c>
      <c r="K62" t="s">
        <v>834</v>
      </c>
      <c r="L62" t="s">
        <v>0</v>
      </c>
      <c r="M62" t="str">
        <f t="shared" si="1"/>
        <v>048314</v>
      </c>
      <c r="N62">
        <v>1</v>
      </c>
      <c r="O62">
        <v>1</v>
      </c>
      <c r="P62" t="str">
        <f>"02"</f>
        <v>02</v>
      </c>
      <c r="Q62" t="s">
        <v>835</v>
      </c>
      <c r="S62" t="s">
        <v>836</v>
      </c>
      <c r="T62" t="s">
        <v>836</v>
      </c>
      <c r="U62" t="str">
        <f t="shared" si="2"/>
        <v>2500-12-31 00:00:00.0</v>
      </c>
      <c r="V62" t="s">
        <v>837</v>
      </c>
      <c r="W62" t="str">
        <f t="shared" si="14"/>
        <v>048314-004697-**-**</v>
      </c>
      <c r="X62" t="s">
        <v>838</v>
      </c>
      <c r="Y62">
        <v>1206.25</v>
      </c>
      <c r="Z62">
        <v>1206.25</v>
      </c>
      <c r="AA62" t="str">
        <f t="shared" si="15"/>
        <v>06/08/2016</v>
      </c>
    </row>
    <row r="63" spans="1:27" x14ac:dyDescent="0.3">
      <c r="A63" t="str">
        <f t="shared" si="0"/>
        <v>048314</v>
      </c>
      <c r="B63" t="str">
        <f t="shared" si="7"/>
        <v>004697</v>
      </c>
      <c r="C63" t="s">
        <v>918</v>
      </c>
      <c r="D63" t="s">
        <v>3839</v>
      </c>
      <c r="E63" t="s">
        <v>3840</v>
      </c>
      <c r="F63" t="s">
        <v>3841</v>
      </c>
      <c r="G63" t="s">
        <v>3842</v>
      </c>
      <c r="H63" t="str">
        <f t="shared" si="13"/>
        <v>048314</v>
      </c>
      <c r="I63" t="s">
        <v>833</v>
      </c>
      <c r="J63" t="str">
        <f>"2015-08-01 00:00:00.0"</f>
        <v>2015-08-01 00:00:00.0</v>
      </c>
      <c r="K63" t="s">
        <v>834</v>
      </c>
      <c r="L63" t="s">
        <v>0</v>
      </c>
      <c r="M63" t="str">
        <f t="shared" si="1"/>
        <v>048314</v>
      </c>
      <c r="N63">
        <v>1</v>
      </c>
      <c r="O63">
        <v>1</v>
      </c>
      <c r="P63" t="s">
        <v>764</v>
      </c>
      <c r="Q63" t="s">
        <v>835</v>
      </c>
      <c r="S63" t="s">
        <v>836</v>
      </c>
      <c r="T63" t="s">
        <v>836</v>
      </c>
      <c r="U63" t="str">
        <f t="shared" si="2"/>
        <v>2500-12-31 00:00:00.0</v>
      </c>
      <c r="V63" t="s">
        <v>837</v>
      </c>
      <c r="W63" t="str">
        <f t="shared" si="14"/>
        <v>048314-004697-**-**</v>
      </c>
      <c r="X63" t="s">
        <v>838</v>
      </c>
      <c r="Y63">
        <v>1206.25</v>
      </c>
      <c r="Z63">
        <v>1206.25</v>
      </c>
      <c r="AA63" t="str">
        <f t="shared" si="15"/>
        <v>06/08/2016</v>
      </c>
    </row>
    <row r="64" spans="1:27" x14ac:dyDescent="0.3">
      <c r="A64" t="str">
        <f t="shared" si="0"/>
        <v>048314</v>
      </c>
      <c r="B64" t="str">
        <f t="shared" si="7"/>
        <v>004697</v>
      </c>
      <c r="C64" t="s">
        <v>3461</v>
      </c>
      <c r="D64" t="s">
        <v>3839</v>
      </c>
      <c r="E64" t="s">
        <v>3840</v>
      </c>
      <c r="F64" t="s">
        <v>3841</v>
      </c>
      <c r="G64" t="s">
        <v>3842</v>
      </c>
      <c r="H64" t="str">
        <f t="shared" si="13"/>
        <v>048314</v>
      </c>
      <c r="I64" t="s">
        <v>833</v>
      </c>
      <c r="J64" t="str">
        <f>"2015-07-01 00:00:00.0"</f>
        <v>2015-07-01 00:00:00.0</v>
      </c>
      <c r="K64" t="s">
        <v>834</v>
      </c>
      <c r="L64" t="s">
        <v>0</v>
      </c>
      <c r="M64" t="str">
        <f t="shared" si="1"/>
        <v>048314</v>
      </c>
      <c r="N64">
        <v>1</v>
      </c>
      <c r="O64">
        <v>1</v>
      </c>
      <c r="P64" t="str">
        <f>"04"</f>
        <v>04</v>
      </c>
      <c r="Q64" t="s">
        <v>835</v>
      </c>
      <c r="S64" t="s">
        <v>836</v>
      </c>
      <c r="T64" t="s">
        <v>836</v>
      </c>
      <c r="U64" t="str">
        <f t="shared" si="2"/>
        <v>2500-12-31 00:00:00.0</v>
      </c>
      <c r="V64" t="s">
        <v>837</v>
      </c>
      <c r="W64" t="str">
        <f t="shared" si="14"/>
        <v>048314-004697-**-**</v>
      </c>
      <c r="X64" t="s">
        <v>838</v>
      </c>
      <c r="Y64">
        <v>1206.25</v>
      </c>
      <c r="Z64">
        <v>1206.25</v>
      </c>
      <c r="AA64" t="str">
        <f t="shared" si="15"/>
        <v>06/08/2016</v>
      </c>
    </row>
    <row r="65" spans="1:27" x14ac:dyDescent="0.3">
      <c r="A65" t="str">
        <f t="shared" si="0"/>
        <v>048314</v>
      </c>
      <c r="B65" t="str">
        <f t="shared" si="7"/>
        <v>004697</v>
      </c>
      <c r="C65" t="s">
        <v>936</v>
      </c>
      <c r="D65" t="s">
        <v>3839</v>
      </c>
      <c r="E65" t="s">
        <v>3840</v>
      </c>
      <c r="F65" t="s">
        <v>3841</v>
      </c>
      <c r="G65" t="s">
        <v>3842</v>
      </c>
      <c r="H65" t="str">
        <f t="shared" si="13"/>
        <v>048314</v>
      </c>
      <c r="I65" t="s">
        <v>833</v>
      </c>
      <c r="J65" t="str">
        <f>"2015-08-01 00:00:00.0"</f>
        <v>2015-08-01 00:00:00.0</v>
      </c>
      <c r="K65" t="s">
        <v>834</v>
      </c>
      <c r="L65" t="s">
        <v>0</v>
      </c>
      <c r="M65" t="str">
        <f t="shared" si="1"/>
        <v>048314</v>
      </c>
      <c r="N65">
        <v>1</v>
      </c>
      <c r="O65">
        <v>1</v>
      </c>
      <c r="P65" t="str">
        <f>"04"</f>
        <v>04</v>
      </c>
      <c r="Q65" t="s">
        <v>835</v>
      </c>
      <c r="S65" t="s">
        <v>836</v>
      </c>
      <c r="T65" t="s">
        <v>836</v>
      </c>
      <c r="U65" t="str">
        <f t="shared" si="2"/>
        <v>2500-12-31 00:00:00.0</v>
      </c>
      <c r="V65" t="s">
        <v>837</v>
      </c>
      <c r="W65" t="str">
        <f t="shared" si="14"/>
        <v>048314-004697-**-**</v>
      </c>
      <c r="X65" t="s">
        <v>838</v>
      </c>
      <c r="Y65">
        <v>1206.25</v>
      </c>
      <c r="Z65">
        <v>1206.25</v>
      </c>
      <c r="AA65" t="str">
        <f t="shared" si="15"/>
        <v>06/08/2016</v>
      </c>
    </row>
    <row r="66" spans="1:27" x14ac:dyDescent="0.3">
      <c r="A66" t="str">
        <f t="shared" ref="A66:A129" si="16">"048314"</f>
        <v>048314</v>
      </c>
      <c r="B66" t="str">
        <f t="shared" si="7"/>
        <v>004697</v>
      </c>
      <c r="C66" t="s">
        <v>3208</v>
      </c>
      <c r="D66" t="s">
        <v>3839</v>
      </c>
      <c r="E66" t="s">
        <v>3840</v>
      </c>
      <c r="F66" t="s">
        <v>3841</v>
      </c>
      <c r="G66" t="s">
        <v>3842</v>
      </c>
      <c r="H66" t="str">
        <f t="shared" si="13"/>
        <v>048314</v>
      </c>
      <c r="I66" t="s">
        <v>833</v>
      </c>
      <c r="J66" t="str">
        <f t="shared" ref="J66:J73" si="17">"2015-07-01 00:00:00.0"</f>
        <v>2015-07-01 00:00:00.0</v>
      </c>
      <c r="K66" t="s">
        <v>834</v>
      </c>
      <c r="L66" t="s">
        <v>0</v>
      </c>
      <c r="M66" t="str">
        <f t="shared" ref="M66:M129" si="18">"048314"</f>
        <v>048314</v>
      </c>
      <c r="N66">
        <v>1</v>
      </c>
      <c r="O66">
        <v>1</v>
      </c>
      <c r="P66" t="str">
        <f>"03"</f>
        <v>03</v>
      </c>
      <c r="Q66" t="s">
        <v>835</v>
      </c>
      <c r="S66" t="s">
        <v>836</v>
      </c>
      <c r="T66" t="s">
        <v>836</v>
      </c>
      <c r="U66" t="str">
        <f t="shared" si="2"/>
        <v>2500-12-31 00:00:00.0</v>
      </c>
      <c r="V66" t="s">
        <v>837</v>
      </c>
      <c r="W66" t="str">
        <f t="shared" si="14"/>
        <v>048314-004697-**-**</v>
      </c>
      <c r="X66" t="s">
        <v>838</v>
      </c>
      <c r="Y66">
        <v>1206.25</v>
      </c>
      <c r="Z66">
        <v>1206.25</v>
      </c>
      <c r="AA66" t="str">
        <f t="shared" si="15"/>
        <v>06/08/2016</v>
      </c>
    </row>
    <row r="67" spans="1:27" x14ac:dyDescent="0.3">
      <c r="A67" t="str">
        <f t="shared" si="16"/>
        <v>048314</v>
      </c>
      <c r="B67" t="str">
        <f t="shared" si="7"/>
        <v>004697</v>
      </c>
      <c r="C67" t="s">
        <v>958</v>
      </c>
      <c r="D67" t="s">
        <v>3839</v>
      </c>
      <c r="E67" t="s">
        <v>3840</v>
      </c>
      <c r="F67" t="s">
        <v>3841</v>
      </c>
      <c r="G67" t="s">
        <v>3842</v>
      </c>
      <c r="H67" t="str">
        <f t="shared" si="13"/>
        <v>048314</v>
      </c>
      <c r="I67" t="s">
        <v>833</v>
      </c>
      <c r="J67" t="str">
        <f t="shared" si="17"/>
        <v>2015-07-01 00:00:00.0</v>
      </c>
      <c r="K67" t="s">
        <v>834</v>
      </c>
      <c r="L67" t="s">
        <v>0</v>
      </c>
      <c r="M67" t="str">
        <f t="shared" si="18"/>
        <v>048314</v>
      </c>
      <c r="N67">
        <v>1</v>
      </c>
      <c r="O67">
        <v>1</v>
      </c>
      <c r="P67" t="str">
        <f>"01"</f>
        <v>01</v>
      </c>
      <c r="Q67" t="s">
        <v>835</v>
      </c>
      <c r="S67" t="s">
        <v>836</v>
      </c>
      <c r="T67" t="s">
        <v>836</v>
      </c>
      <c r="U67" t="str">
        <f t="shared" si="2"/>
        <v>2500-12-31 00:00:00.0</v>
      </c>
      <c r="V67" t="s">
        <v>837</v>
      </c>
      <c r="W67" t="str">
        <f t="shared" si="14"/>
        <v>048314-004697-**-**</v>
      </c>
      <c r="X67" t="s">
        <v>838</v>
      </c>
      <c r="Y67">
        <v>1206.25</v>
      </c>
      <c r="Z67">
        <v>1206.25</v>
      </c>
      <c r="AA67" t="str">
        <f t="shared" si="15"/>
        <v>06/08/2016</v>
      </c>
    </row>
    <row r="68" spans="1:27" x14ac:dyDescent="0.3">
      <c r="A68" t="str">
        <f t="shared" si="16"/>
        <v>048314</v>
      </c>
      <c r="B68" t="str">
        <f t="shared" si="7"/>
        <v>004697</v>
      </c>
      <c r="C68" t="s">
        <v>3243</v>
      </c>
      <c r="D68" t="s">
        <v>3839</v>
      </c>
      <c r="E68" t="s">
        <v>3840</v>
      </c>
      <c r="F68" t="s">
        <v>3841</v>
      </c>
      <c r="G68" t="s">
        <v>3842</v>
      </c>
      <c r="H68" t="str">
        <f t="shared" si="13"/>
        <v>048314</v>
      </c>
      <c r="I68" t="s">
        <v>833</v>
      </c>
      <c r="J68" t="str">
        <f t="shared" si="17"/>
        <v>2015-07-01 00:00:00.0</v>
      </c>
      <c r="K68" t="s">
        <v>834</v>
      </c>
      <c r="L68" t="s">
        <v>0</v>
      </c>
      <c r="M68" t="str">
        <f t="shared" si="18"/>
        <v>048314</v>
      </c>
      <c r="N68">
        <v>1</v>
      </c>
      <c r="O68">
        <v>1</v>
      </c>
      <c r="P68" t="str">
        <f>"02"</f>
        <v>02</v>
      </c>
      <c r="Q68" t="s">
        <v>835</v>
      </c>
      <c r="S68" t="s">
        <v>836</v>
      </c>
      <c r="T68" t="s">
        <v>836</v>
      </c>
      <c r="U68" t="str">
        <f t="shared" si="2"/>
        <v>2500-12-31 00:00:00.0</v>
      </c>
      <c r="V68" t="s">
        <v>837</v>
      </c>
      <c r="W68" t="str">
        <f t="shared" si="14"/>
        <v>048314-004697-**-**</v>
      </c>
      <c r="X68" t="s">
        <v>838</v>
      </c>
      <c r="Y68">
        <v>1206.25</v>
      </c>
      <c r="Z68">
        <v>1206.25</v>
      </c>
      <c r="AA68" t="str">
        <f t="shared" si="15"/>
        <v>06/08/2016</v>
      </c>
    </row>
    <row r="69" spans="1:27" x14ac:dyDescent="0.3">
      <c r="A69" t="str">
        <f t="shared" si="16"/>
        <v>048314</v>
      </c>
      <c r="B69" t="str">
        <f t="shared" si="7"/>
        <v>004697</v>
      </c>
      <c r="C69" t="s">
        <v>1977</v>
      </c>
      <c r="D69" t="s">
        <v>3839</v>
      </c>
      <c r="E69" t="s">
        <v>3840</v>
      </c>
      <c r="F69" t="s">
        <v>3841</v>
      </c>
      <c r="G69" t="s">
        <v>3842</v>
      </c>
      <c r="H69" t="str">
        <f t="shared" si="13"/>
        <v>048314</v>
      </c>
      <c r="I69" t="s">
        <v>833</v>
      </c>
      <c r="J69" t="str">
        <f t="shared" si="17"/>
        <v>2015-07-01 00:00:00.0</v>
      </c>
      <c r="K69" t="s">
        <v>834</v>
      </c>
      <c r="L69" t="s">
        <v>0</v>
      </c>
      <c r="M69" t="str">
        <f t="shared" si="18"/>
        <v>048314</v>
      </c>
      <c r="N69">
        <v>1</v>
      </c>
      <c r="O69">
        <v>1</v>
      </c>
      <c r="P69" t="str">
        <f>"01"</f>
        <v>01</v>
      </c>
      <c r="Q69" t="s">
        <v>835</v>
      </c>
      <c r="S69" t="s">
        <v>836</v>
      </c>
      <c r="T69" t="s">
        <v>836</v>
      </c>
      <c r="U69" t="str">
        <f t="shared" si="2"/>
        <v>2500-12-31 00:00:00.0</v>
      </c>
      <c r="V69" t="s">
        <v>837</v>
      </c>
      <c r="W69" t="str">
        <f t="shared" si="14"/>
        <v>048314-004697-**-**</v>
      </c>
      <c r="X69" t="s">
        <v>838</v>
      </c>
      <c r="Y69">
        <v>1206.25</v>
      </c>
      <c r="Z69">
        <v>1206.25</v>
      </c>
      <c r="AA69" t="str">
        <f t="shared" si="15"/>
        <v>06/08/2016</v>
      </c>
    </row>
    <row r="70" spans="1:27" x14ac:dyDescent="0.3">
      <c r="A70" t="str">
        <f t="shared" si="16"/>
        <v>048314</v>
      </c>
      <c r="B70" t="str">
        <f t="shared" si="7"/>
        <v>004697</v>
      </c>
      <c r="C70" t="s">
        <v>1412</v>
      </c>
      <c r="D70" t="s">
        <v>3839</v>
      </c>
      <c r="E70" t="s">
        <v>3840</v>
      </c>
      <c r="F70" t="s">
        <v>3841</v>
      </c>
      <c r="G70" t="s">
        <v>3842</v>
      </c>
      <c r="H70" t="str">
        <f t="shared" si="13"/>
        <v>048314</v>
      </c>
      <c r="I70" t="s">
        <v>833</v>
      </c>
      <c r="J70" t="str">
        <f t="shared" si="17"/>
        <v>2015-07-01 00:00:00.0</v>
      </c>
      <c r="K70" t="s">
        <v>834</v>
      </c>
      <c r="L70" t="s">
        <v>0</v>
      </c>
      <c r="M70" t="str">
        <f t="shared" si="18"/>
        <v>048314</v>
      </c>
      <c r="N70">
        <v>1</v>
      </c>
      <c r="O70">
        <v>1</v>
      </c>
      <c r="P70" t="str">
        <f>"01"</f>
        <v>01</v>
      </c>
      <c r="Q70" t="s">
        <v>835</v>
      </c>
      <c r="S70" t="s">
        <v>836</v>
      </c>
      <c r="T70" t="s">
        <v>836</v>
      </c>
      <c r="U70" t="str">
        <f t="shared" si="2"/>
        <v>2500-12-31 00:00:00.0</v>
      </c>
      <c r="V70" t="s">
        <v>837</v>
      </c>
      <c r="W70" t="str">
        <f t="shared" si="14"/>
        <v>048314-004697-**-**</v>
      </c>
      <c r="X70" t="s">
        <v>838</v>
      </c>
      <c r="Y70">
        <v>1206.25</v>
      </c>
      <c r="Z70">
        <v>1206.25</v>
      </c>
      <c r="AA70" t="str">
        <f t="shared" si="15"/>
        <v>06/08/2016</v>
      </c>
    </row>
    <row r="71" spans="1:27" x14ac:dyDescent="0.3">
      <c r="A71" t="str">
        <f t="shared" si="16"/>
        <v>048314</v>
      </c>
      <c r="B71" t="str">
        <f t="shared" si="7"/>
        <v>004697</v>
      </c>
      <c r="C71" t="s">
        <v>3402</v>
      </c>
      <c r="D71" t="s">
        <v>3839</v>
      </c>
      <c r="E71" t="s">
        <v>3840</v>
      </c>
      <c r="F71" t="s">
        <v>3841</v>
      </c>
      <c r="G71" t="s">
        <v>3842</v>
      </c>
      <c r="H71" t="str">
        <f t="shared" si="13"/>
        <v>048314</v>
      </c>
      <c r="I71" t="s">
        <v>833</v>
      </c>
      <c r="J71" t="str">
        <f t="shared" si="17"/>
        <v>2015-07-01 00:00:00.0</v>
      </c>
      <c r="K71" t="s">
        <v>834</v>
      </c>
      <c r="L71" t="s">
        <v>0</v>
      </c>
      <c r="M71" t="str">
        <f t="shared" si="18"/>
        <v>048314</v>
      </c>
      <c r="N71">
        <v>1</v>
      </c>
      <c r="O71">
        <v>1</v>
      </c>
      <c r="P71" t="str">
        <f>"04"</f>
        <v>04</v>
      </c>
      <c r="Q71" t="s">
        <v>835</v>
      </c>
      <c r="S71" t="s">
        <v>836</v>
      </c>
      <c r="T71" t="s">
        <v>836</v>
      </c>
      <c r="U71" t="str">
        <f t="shared" ref="U71:U107" si="19">"2500-12-31 00:00:00.0"</f>
        <v>2500-12-31 00:00:00.0</v>
      </c>
      <c r="V71" t="s">
        <v>837</v>
      </c>
      <c r="W71" t="str">
        <f t="shared" si="14"/>
        <v>048314-004697-**-**</v>
      </c>
      <c r="X71" t="s">
        <v>838</v>
      </c>
      <c r="Y71">
        <v>1206.25</v>
      </c>
      <c r="Z71">
        <v>1206.25</v>
      </c>
      <c r="AA71" t="str">
        <f t="shared" si="15"/>
        <v>06/08/2016</v>
      </c>
    </row>
    <row r="72" spans="1:27" x14ac:dyDescent="0.3">
      <c r="A72" t="str">
        <f t="shared" si="16"/>
        <v>048314</v>
      </c>
      <c r="B72" t="str">
        <f t="shared" si="7"/>
        <v>004697</v>
      </c>
      <c r="C72" t="s">
        <v>2790</v>
      </c>
      <c r="D72" t="s">
        <v>3839</v>
      </c>
      <c r="E72" t="s">
        <v>3840</v>
      </c>
      <c r="F72" t="s">
        <v>3841</v>
      </c>
      <c r="G72" t="s">
        <v>3842</v>
      </c>
      <c r="H72" t="str">
        <f t="shared" si="13"/>
        <v>048314</v>
      </c>
      <c r="I72" t="s">
        <v>833</v>
      </c>
      <c r="J72" t="str">
        <f t="shared" si="17"/>
        <v>2015-07-01 00:00:00.0</v>
      </c>
      <c r="K72" t="s">
        <v>834</v>
      </c>
      <c r="L72" t="s">
        <v>0</v>
      </c>
      <c r="M72" t="str">
        <f t="shared" si="18"/>
        <v>048314</v>
      </c>
      <c r="N72">
        <v>1</v>
      </c>
      <c r="O72">
        <v>1</v>
      </c>
      <c r="P72" t="str">
        <f>"04"</f>
        <v>04</v>
      </c>
      <c r="Q72" t="str">
        <f>"05"</f>
        <v>05</v>
      </c>
      <c r="R72" t="str">
        <f>"1"</f>
        <v>1</v>
      </c>
      <c r="S72" t="s">
        <v>836</v>
      </c>
      <c r="T72" t="s">
        <v>836</v>
      </c>
      <c r="U72" t="str">
        <f t="shared" si="19"/>
        <v>2500-12-31 00:00:00.0</v>
      </c>
      <c r="V72" t="s">
        <v>837</v>
      </c>
      <c r="W72" t="str">
        <f t="shared" si="14"/>
        <v>048314-004697-**-**</v>
      </c>
      <c r="X72" t="s">
        <v>838</v>
      </c>
      <c r="Y72">
        <v>1206.25</v>
      </c>
      <c r="Z72">
        <v>1206.25</v>
      </c>
      <c r="AA72" t="str">
        <f t="shared" si="15"/>
        <v>06/08/2016</v>
      </c>
    </row>
    <row r="73" spans="1:27" x14ac:dyDescent="0.3">
      <c r="A73" t="str">
        <f t="shared" si="16"/>
        <v>048314</v>
      </c>
      <c r="B73" t="str">
        <f t="shared" si="7"/>
        <v>004697</v>
      </c>
      <c r="C73" t="s">
        <v>842</v>
      </c>
      <c r="D73" t="s">
        <v>3839</v>
      </c>
      <c r="E73" t="s">
        <v>3840</v>
      </c>
      <c r="F73" t="s">
        <v>3841</v>
      </c>
      <c r="G73" t="s">
        <v>3842</v>
      </c>
      <c r="H73" t="str">
        <f t="shared" si="13"/>
        <v>048314</v>
      </c>
      <c r="I73" t="s">
        <v>833</v>
      </c>
      <c r="J73" t="str">
        <f t="shared" si="17"/>
        <v>2015-07-01 00:00:00.0</v>
      </c>
      <c r="K73" t="s">
        <v>834</v>
      </c>
      <c r="L73" t="s">
        <v>0</v>
      </c>
      <c r="M73" t="str">
        <f t="shared" si="18"/>
        <v>048314</v>
      </c>
      <c r="N73">
        <v>1</v>
      </c>
      <c r="O73">
        <v>1</v>
      </c>
      <c r="P73" t="str">
        <f>"01"</f>
        <v>01</v>
      </c>
      <c r="Q73" t="s">
        <v>835</v>
      </c>
      <c r="S73" t="s">
        <v>836</v>
      </c>
      <c r="T73" t="s">
        <v>836</v>
      </c>
      <c r="U73" t="str">
        <f t="shared" si="19"/>
        <v>2500-12-31 00:00:00.0</v>
      </c>
      <c r="V73" t="s">
        <v>837</v>
      </c>
      <c r="W73" t="str">
        <f t="shared" si="14"/>
        <v>048314-004697-**-**</v>
      </c>
      <c r="X73" t="s">
        <v>838</v>
      </c>
      <c r="Y73">
        <v>1206.25</v>
      </c>
      <c r="Z73">
        <v>1206.25</v>
      </c>
      <c r="AA73" t="str">
        <f t="shared" si="15"/>
        <v>06/08/2016</v>
      </c>
    </row>
    <row r="74" spans="1:27" x14ac:dyDescent="0.3">
      <c r="A74" t="str">
        <f t="shared" si="16"/>
        <v>048314</v>
      </c>
      <c r="B74" t="str">
        <f t="shared" si="7"/>
        <v>004697</v>
      </c>
      <c r="C74" t="s">
        <v>3696</v>
      </c>
      <c r="D74" t="s">
        <v>3839</v>
      </c>
      <c r="E74" t="s">
        <v>3840</v>
      </c>
      <c r="F74" t="s">
        <v>3841</v>
      </c>
      <c r="G74" t="s">
        <v>3842</v>
      </c>
      <c r="H74" t="str">
        <f t="shared" si="13"/>
        <v>048314</v>
      </c>
      <c r="I74" t="s">
        <v>833</v>
      </c>
      <c r="J74" t="str">
        <f>"2015-08-01 00:00:00.0"</f>
        <v>2015-08-01 00:00:00.0</v>
      </c>
      <c r="K74" t="s">
        <v>834</v>
      </c>
      <c r="L74" t="s">
        <v>0</v>
      </c>
      <c r="M74" t="str">
        <f t="shared" si="18"/>
        <v>048314</v>
      </c>
      <c r="N74">
        <v>1</v>
      </c>
      <c r="O74">
        <v>1</v>
      </c>
      <c r="P74" t="s">
        <v>764</v>
      </c>
      <c r="Q74" t="s">
        <v>835</v>
      </c>
      <c r="S74" t="s">
        <v>836</v>
      </c>
      <c r="T74" t="s">
        <v>836</v>
      </c>
      <c r="U74" t="str">
        <f t="shared" si="19"/>
        <v>2500-12-31 00:00:00.0</v>
      </c>
      <c r="V74" t="s">
        <v>837</v>
      </c>
      <c r="W74" t="str">
        <f t="shared" si="14"/>
        <v>048314-004697-**-**</v>
      </c>
      <c r="X74" t="s">
        <v>838</v>
      </c>
      <c r="Y74">
        <v>1206.25</v>
      </c>
      <c r="Z74">
        <v>1206.25</v>
      </c>
      <c r="AA74" t="str">
        <f t="shared" si="15"/>
        <v>06/08/2016</v>
      </c>
    </row>
    <row r="75" spans="1:27" x14ac:dyDescent="0.3">
      <c r="A75" t="str">
        <f t="shared" si="16"/>
        <v>048314</v>
      </c>
      <c r="B75" t="str">
        <f t="shared" si="7"/>
        <v>004697</v>
      </c>
      <c r="C75" t="s">
        <v>2979</v>
      </c>
      <c r="D75" t="s">
        <v>3839</v>
      </c>
      <c r="E75" t="s">
        <v>3840</v>
      </c>
      <c r="F75" t="s">
        <v>3841</v>
      </c>
      <c r="G75" t="s">
        <v>3842</v>
      </c>
      <c r="H75" t="str">
        <f t="shared" si="13"/>
        <v>048314</v>
      </c>
      <c r="I75" t="s">
        <v>833</v>
      </c>
      <c r="J75" t="str">
        <f>"2016-04-19 00:00:00.0"</f>
        <v>2016-04-19 00:00:00.0</v>
      </c>
      <c r="K75" t="s">
        <v>834</v>
      </c>
      <c r="L75" t="s">
        <v>0</v>
      </c>
      <c r="M75" t="str">
        <f t="shared" si="18"/>
        <v>048314</v>
      </c>
      <c r="N75">
        <v>0.186528</v>
      </c>
      <c r="O75">
        <v>0.186528</v>
      </c>
      <c r="P75" t="str">
        <f>"01"</f>
        <v>01</v>
      </c>
      <c r="Q75" t="s">
        <v>835</v>
      </c>
      <c r="S75" t="s">
        <v>836</v>
      </c>
      <c r="T75" t="s">
        <v>836</v>
      </c>
      <c r="U75" t="str">
        <f t="shared" si="19"/>
        <v>2500-12-31 00:00:00.0</v>
      </c>
      <c r="V75" t="s">
        <v>837</v>
      </c>
      <c r="W75" t="str">
        <f t="shared" si="14"/>
        <v>048314-004697-**-**</v>
      </c>
      <c r="X75" t="s">
        <v>838</v>
      </c>
      <c r="Y75">
        <v>225</v>
      </c>
      <c r="Z75">
        <v>1206.25</v>
      </c>
      <c r="AA75" t="str">
        <f t="shared" si="15"/>
        <v>06/08/2016</v>
      </c>
    </row>
    <row r="76" spans="1:27" x14ac:dyDescent="0.3">
      <c r="A76" t="str">
        <f t="shared" si="16"/>
        <v>048314</v>
      </c>
      <c r="B76" t="str">
        <f t="shared" si="7"/>
        <v>004697</v>
      </c>
      <c r="C76" t="s">
        <v>2979</v>
      </c>
      <c r="D76" t="s">
        <v>3839</v>
      </c>
      <c r="E76" t="s">
        <v>3840</v>
      </c>
      <c r="F76" t="s">
        <v>3841</v>
      </c>
      <c r="G76" t="s">
        <v>3842</v>
      </c>
      <c r="H76" t="str">
        <f t="shared" si="13"/>
        <v>048314</v>
      </c>
      <c r="I76" t="s">
        <v>833</v>
      </c>
      <c r="J76" t="str">
        <f>"2015-07-01 00:00:00.0"</f>
        <v>2015-07-01 00:00:00.0</v>
      </c>
      <c r="K76" t="s">
        <v>834</v>
      </c>
      <c r="L76" t="s">
        <v>0</v>
      </c>
      <c r="M76" t="str">
        <f t="shared" si="18"/>
        <v>048314</v>
      </c>
      <c r="N76">
        <v>0.81347199999999997</v>
      </c>
      <c r="O76">
        <v>0.81347199999999997</v>
      </c>
      <c r="P76" t="str">
        <f>"01"</f>
        <v>01</v>
      </c>
      <c r="Q76" t="s">
        <v>835</v>
      </c>
      <c r="S76" t="s">
        <v>836</v>
      </c>
      <c r="T76" t="s">
        <v>836</v>
      </c>
      <c r="U76" t="str">
        <f>"2016-04-18 00:00:00.0"</f>
        <v>2016-04-18 00:00:00.0</v>
      </c>
      <c r="V76" t="s">
        <v>837</v>
      </c>
      <c r="W76" t="str">
        <f t="shared" si="14"/>
        <v>048314-004697-**-**</v>
      </c>
      <c r="X76" t="s">
        <v>838</v>
      </c>
      <c r="Y76">
        <v>981.25</v>
      </c>
      <c r="Z76">
        <v>1206.25</v>
      </c>
      <c r="AA76" t="str">
        <f t="shared" si="15"/>
        <v>06/08/2016</v>
      </c>
    </row>
    <row r="77" spans="1:27" x14ac:dyDescent="0.3">
      <c r="A77" t="str">
        <f t="shared" si="16"/>
        <v>048314</v>
      </c>
      <c r="B77" t="str">
        <f t="shared" si="7"/>
        <v>004697</v>
      </c>
      <c r="C77" t="s">
        <v>2825</v>
      </c>
      <c r="D77" t="s">
        <v>3839</v>
      </c>
      <c r="E77" t="s">
        <v>3840</v>
      </c>
      <c r="F77" t="s">
        <v>3841</v>
      </c>
      <c r="G77" t="s">
        <v>3842</v>
      </c>
      <c r="H77" t="str">
        <f t="shared" si="13"/>
        <v>048314</v>
      </c>
      <c r="I77" t="s">
        <v>833</v>
      </c>
      <c r="J77" t="str">
        <f>"2015-07-01 00:00:00.0"</f>
        <v>2015-07-01 00:00:00.0</v>
      </c>
      <c r="K77" t="s">
        <v>834</v>
      </c>
      <c r="L77" t="s">
        <v>0</v>
      </c>
      <c r="M77" t="str">
        <f t="shared" si="18"/>
        <v>048314</v>
      </c>
      <c r="N77">
        <v>1</v>
      </c>
      <c r="O77">
        <v>1</v>
      </c>
      <c r="P77" t="str">
        <f>"05"</f>
        <v>05</v>
      </c>
      <c r="Q77" t="s">
        <v>835</v>
      </c>
      <c r="S77" t="s">
        <v>836</v>
      </c>
      <c r="T77" t="s">
        <v>836</v>
      </c>
      <c r="U77" t="str">
        <f t="shared" ref="U77:U89" si="20">"2500-12-31 00:00:00.0"</f>
        <v>2500-12-31 00:00:00.0</v>
      </c>
      <c r="V77" t="s">
        <v>837</v>
      </c>
      <c r="W77" t="str">
        <f>"048314-070417-**-**"</f>
        <v>048314-070417-**-**</v>
      </c>
      <c r="X77" t="s">
        <v>838</v>
      </c>
      <c r="Y77">
        <v>1125</v>
      </c>
      <c r="Z77">
        <v>1125</v>
      </c>
      <c r="AA77" t="str">
        <f t="shared" si="15"/>
        <v>06/08/2016</v>
      </c>
    </row>
    <row r="78" spans="1:27" x14ac:dyDescent="0.3">
      <c r="A78" t="str">
        <f t="shared" si="16"/>
        <v>048314</v>
      </c>
      <c r="B78" t="str">
        <f t="shared" si="7"/>
        <v>004697</v>
      </c>
      <c r="C78" t="s">
        <v>3072</v>
      </c>
      <c r="D78" t="s">
        <v>3839</v>
      </c>
      <c r="E78" t="s">
        <v>3840</v>
      </c>
      <c r="F78" t="s">
        <v>3841</v>
      </c>
      <c r="G78" t="s">
        <v>3842</v>
      </c>
      <c r="H78" t="str">
        <f t="shared" si="13"/>
        <v>048314</v>
      </c>
      <c r="I78" t="s">
        <v>833</v>
      </c>
      <c r="J78" t="str">
        <f>"2015-07-01 00:00:00.0"</f>
        <v>2015-07-01 00:00:00.0</v>
      </c>
      <c r="K78" t="s">
        <v>834</v>
      </c>
      <c r="L78" t="s">
        <v>0</v>
      </c>
      <c r="M78" t="str">
        <f t="shared" si="18"/>
        <v>048314</v>
      </c>
      <c r="N78">
        <v>1</v>
      </c>
      <c r="O78">
        <v>1</v>
      </c>
      <c r="P78" t="str">
        <f>"05"</f>
        <v>05</v>
      </c>
      <c r="Q78" t="s">
        <v>835</v>
      </c>
      <c r="S78" t="s">
        <v>836</v>
      </c>
      <c r="T78" t="s">
        <v>836</v>
      </c>
      <c r="U78" t="str">
        <f t="shared" si="20"/>
        <v>2500-12-31 00:00:00.0</v>
      </c>
      <c r="V78" t="s">
        <v>837</v>
      </c>
      <c r="W78" t="str">
        <f>"048314-070417-**-**"</f>
        <v>048314-070417-**-**</v>
      </c>
      <c r="X78" t="s">
        <v>838</v>
      </c>
      <c r="Y78">
        <v>1125</v>
      </c>
      <c r="Z78">
        <v>1125</v>
      </c>
      <c r="AA78" t="str">
        <f t="shared" si="15"/>
        <v>06/08/2016</v>
      </c>
    </row>
    <row r="79" spans="1:27" x14ac:dyDescent="0.3">
      <c r="A79" t="str">
        <f t="shared" si="16"/>
        <v>048314</v>
      </c>
      <c r="B79" t="str">
        <f t="shared" si="7"/>
        <v>004697</v>
      </c>
      <c r="C79" t="s">
        <v>3565</v>
      </c>
      <c r="D79" t="s">
        <v>3839</v>
      </c>
      <c r="E79" t="s">
        <v>3840</v>
      </c>
      <c r="F79" t="s">
        <v>3841</v>
      </c>
      <c r="G79" t="s">
        <v>3842</v>
      </c>
      <c r="H79" t="str">
        <f t="shared" si="13"/>
        <v>048314</v>
      </c>
      <c r="I79" t="s">
        <v>833</v>
      </c>
      <c r="J79" t="str">
        <f>"2015-07-01 00:00:00.0"</f>
        <v>2015-07-01 00:00:00.0</v>
      </c>
      <c r="K79" t="s">
        <v>834</v>
      </c>
      <c r="L79" t="s">
        <v>0</v>
      </c>
      <c r="M79" t="str">
        <f t="shared" si="18"/>
        <v>048314</v>
      </c>
      <c r="N79">
        <v>1</v>
      </c>
      <c r="O79">
        <v>1</v>
      </c>
      <c r="P79" t="str">
        <f>"03"</f>
        <v>03</v>
      </c>
      <c r="Q79" t="s">
        <v>835</v>
      </c>
      <c r="S79" t="s">
        <v>860</v>
      </c>
      <c r="T79" t="s">
        <v>836</v>
      </c>
      <c r="U79" t="str">
        <f t="shared" si="20"/>
        <v>2500-12-31 00:00:00.0</v>
      </c>
      <c r="V79" t="s">
        <v>837</v>
      </c>
      <c r="W79" t="str">
        <f>"048314-004697-**-**"</f>
        <v>048314-004697-**-**</v>
      </c>
      <c r="X79" t="s">
        <v>838</v>
      </c>
      <c r="Y79">
        <v>1206.25</v>
      </c>
      <c r="Z79">
        <v>1206.25</v>
      </c>
      <c r="AA79" t="str">
        <f t="shared" si="15"/>
        <v>06/08/2016</v>
      </c>
    </row>
    <row r="80" spans="1:27" x14ac:dyDescent="0.3">
      <c r="A80" t="str">
        <f t="shared" si="16"/>
        <v>048314</v>
      </c>
      <c r="B80" t="str">
        <f t="shared" si="7"/>
        <v>004697</v>
      </c>
      <c r="C80" t="s">
        <v>985</v>
      </c>
      <c r="D80" t="s">
        <v>3839</v>
      </c>
      <c r="E80" t="s">
        <v>3840</v>
      </c>
      <c r="F80" t="s">
        <v>3841</v>
      </c>
      <c r="G80" t="s">
        <v>3842</v>
      </c>
      <c r="H80" t="str">
        <f t="shared" si="13"/>
        <v>048314</v>
      </c>
      <c r="I80" t="s">
        <v>833</v>
      </c>
      <c r="J80" t="str">
        <f>"2015-07-01 00:00:00.0"</f>
        <v>2015-07-01 00:00:00.0</v>
      </c>
      <c r="K80" t="s">
        <v>834</v>
      </c>
      <c r="L80" t="s">
        <v>0</v>
      </c>
      <c r="M80" t="str">
        <f t="shared" si="18"/>
        <v>048314</v>
      </c>
      <c r="N80">
        <v>1</v>
      </c>
      <c r="O80">
        <v>1</v>
      </c>
      <c r="P80" t="str">
        <f>"03"</f>
        <v>03</v>
      </c>
      <c r="Q80" t="s">
        <v>835</v>
      </c>
      <c r="S80" t="s">
        <v>836</v>
      </c>
      <c r="T80" t="s">
        <v>836</v>
      </c>
      <c r="U80" t="str">
        <f t="shared" si="20"/>
        <v>2500-12-31 00:00:00.0</v>
      </c>
      <c r="V80" t="s">
        <v>837</v>
      </c>
      <c r="W80" t="str">
        <f>"048314-004697-**-**"</f>
        <v>048314-004697-**-**</v>
      </c>
      <c r="X80" t="s">
        <v>838</v>
      </c>
      <c r="Y80">
        <v>1206.25</v>
      </c>
      <c r="Z80">
        <v>1206.25</v>
      </c>
      <c r="AA80" t="str">
        <f t="shared" si="15"/>
        <v>06/08/2016</v>
      </c>
    </row>
    <row r="81" spans="1:27" x14ac:dyDescent="0.3">
      <c r="A81" t="str">
        <f t="shared" si="16"/>
        <v>048314</v>
      </c>
      <c r="B81" t="str">
        <f t="shared" si="7"/>
        <v>004697</v>
      </c>
      <c r="C81" t="s">
        <v>3032</v>
      </c>
      <c r="D81" t="s">
        <v>3839</v>
      </c>
      <c r="E81" t="s">
        <v>3840</v>
      </c>
      <c r="F81" t="s">
        <v>3841</v>
      </c>
      <c r="G81" t="s">
        <v>3842</v>
      </c>
      <c r="H81" t="str">
        <f t="shared" si="13"/>
        <v>048314</v>
      </c>
      <c r="I81" t="s">
        <v>833</v>
      </c>
      <c r="J81" t="str">
        <f>"2015-08-17 00:00:00.0"</f>
        <v>2015-08-17 00:00:00.0</v>
      </c>
      <c r="K81" t="s">
        <v>834</v>
      </c>
      <c r="L81" t="s">
        <v>0</v>
      </c>
      <c r="M81" t="str">
        <f t="shared" si="18"/>
        <v>048314</v>
      </c>
      <c r="N81">
        <v>1</v>
      </c>
      <c r="O81">
        <v>1</v>
      </c>
      <c r="P81" t="str">
        <f>"01"</f>
        <v>01</v>
      </c>
      <c r="Q81" t="s">
        <v>835</v>
      </c>
      <c r="S81" t="s">
        <v>860</v>
      </c>
      <c r="T81" t="s">
        <v>836</v>
      </c>
      <c r="U81" t="str">
        <f t="shared" si="20"/>
        <v>2500-12-31 00:00:00.0</v>
      </c>
      <c r="V81" t="s">
        <v>837</v>
      </c>
      <c r="W81" t="str">
        <f>"048314-004697-**-**"</f>
        <v>048314-004697-**-**</v>
      </c>
      <c r="X81" t="s">
        <v>838</v>
      </c>
      <c r="Y81">
        <v>1206.25</v>
      </c>
      <c r="Z81">
        <v>1206.25</v>
      </c>
      <c r="AA81" t="str">
        <f t="shared" si="15"/>
        <v>06/08/2016</v>
      </c>
    </row>
    <row r="82" spans="1:27" x14ac:dyDescent="0.3">
      <c r="A82" t="str">
        <f t="shared" si="16"/>
        <v>048314</v>
      </c>
      <c r="B82" t="str">
        <f t="shared" si="7"/>
        <v>004697</v>
      </c>
      <c r="C82" t="s">
        <v>1499</v>
      </c>
      <c r="D82" t="s">
        <v>3839</v>
      </c>
      <c r="E82" t="s">
        <v>3840</v>
      </c>
      <c r="F82" t="s">
        <v>3841</v>
      </c>
      <c r="G82" t="s">
        <v>3842</v>
      </c>
      <c r="H82" t="str">
        <f t="shared" si="13"/>
        <v>048314</v>
      </c>
      <c r="I82" t="s">
        <v>833</v>
      </c>
      <c r="J82" t="str">
        <f>"2015-08-24 00:00:00.0"</f>
        <v>2015-08-24 00:00:00.0</v>
      </c>
      <c r="K82" t="s">
        <v>834</v>
      </c>
      <c r="L82" t="s">
        <v>0</v>
      </c>
      <c r="M82" t="str">
        <f t="shared" si="18"/>
        <v>048314</v>
      </c>
      <c r="N82">
        <v>1</v>
      </c>
      <c r="O82">
        <v>1</v>
      </c>
      <c r="P82" t="s">
        <v>764</v>
      </c>
      <c r="Q82" t="s">
        <v>835</v>
      </c>
      <c r="S82" t="s">
        <v>860</v>
      </c>
      <c r="T82" t="s">
        <v>836</v>
      </c>
      <c r="U82" t="str">
        <f t="shared" si="20"/>
        <v>2500-12-31 00:00:00.0</v>
      </c>
      <c r="V82" t="s">
        <v>837</v>
      </c>
      <c r="W82" t="str">
        <f>"048314-004697-**-**"</f>
        <v>048314-004697-**-**</v>
      </c>
      <c r="X82" t="s">
        <v>838</v>
      </c>
      <c r="Y82">
        <v>1206.25</v>
      </c>
      <c r="Z82">
        <v>1206.25</v>
      </c>
      <c r="AA82" t="str">
        <f t="shared" si="15"/>
        <v>06/08/2016</v>
      </c>
    </row>
    <row r="83" spans="1:27" x14ac:dyDescent="0.3">
      <c r="A83" t="str">
        <f t="shared" si="16"/>
        <v>048314</v>
      </c>
      <c r="B83" t="str">
        <f t="shared" si="7"/>
        <v>004697</v>
      </c>
      <c r="C83" t="s">
        <v>3179</v>
      </c>
      <c r="D83" t="s">
        <v>3839</v>
      </c>
      <c r="E83" t="s">
        <v>3840</v>
      </c>
      <c r="F83" t="s">
        <v>3841</v>
      </c>
      <c r="G83" t="s">
        <v>3842</v>
      </c>
      <c r="H83" t="str">
        <f t="shared" si="13"/>
        <v>048314</v>
      </c>
      <c r="I83" t="s">
        <v>833</v>
      </c>
      <c r="J83" t="str">
        <f>"2015-08-17 00:00:00.0"</f>
        <v>2015-08-17 00:00:00.0</v>
      </c>
      <c r="K83" t="s">
        <v>834</v>
      </c>
      <c r="L83" t="s">
        <v>0</v>
      </c>
      <c r="M83" t="str">
        <f t="shared" si="18"/>
        <v>048314</v>
      </c>
      <c r="N83">
        <v>1</v>
      </c>
      <c r="O83">
        <v>1</v>
      </c>
      <c r="P83" t="str">
        <f>"01"</f>
        <v>01</v>
      </c>
      <c r="Q83" t="s">
        <v>835</v>
      </c>
      <c r="S83" t="s">
        <v>836</v>
      </c>
      <c r="T83" t="s">
        <v>836</v>
      </c>
      <c r="U83" t="str">
        <f t="shared" si="20"/>
        <v>2500-12-31 00:00:00.0</v>
      </c>
      <c r="V83" t="s">
        <v>837</v>
      </c>
      <c r="W83" t="str">
        <f>"048314-004697-**-**"</f>
        <v>048314-004697-**-**</v>
      </c>
      <c r="X83" t="s">
        <v>838</v>
      </c>
      <c r="Y83">
        <v>1206.25</v>
      </c>
      <c r="Z83">
        <v>1206.25</v>
      </c>
      <c r="AA83" t="str">
        <f t="shared" si="15"/>
        <v>06/08/2016</v>
      </c>
    </row>
    <row r="84" spans="1:27" x14ac:dyDescent="0.3">
      <c r="A84" t="str">
        <f t="shared" si="16"/>
        <v>048314</v>
      </c>
      <c r="B84" t="str">
        <f t="shared" ref="B84:B147" si="21">"004697"</f>
        <v>004697</v>
      </c>
      <c r="C84" t="s">
        <v>2827</v>
      </c>
      <c r="D84" t="s">
        <v>3839</v>
      </c>
      <c r="E84" t="s">
        <v>3840</v>
      </c>
      <c r="F84" t="s">
        <v>3841</v>
      </c>
      <c r="G84" t="s">
        <v>3842</v>
      </c>
      <c r="H84" t="str">
        <f t="shared" si="13"/>
        <v>048314</v>
      </c>
      <c r="I84" t="s">
        <v>833</v>
      </c>
      <c r="J84" t="str">
        <f t="shared" ref="J84:J90" si="22">"2015-07-01 00:00:00.0"</f>
        <v>2015-07-01 00:00:00.0</v>
      </c>
      <c r="K84" t="s">
        <v>834</v>
      </c>
      <c r="L84" t="s">
        <v>0</v>
      </c>
      <c r="M84" t="str">
        <f t="shared" si="18"/>
        <v>048314</v>
      </c>
      <c r="N84">
        <v>1</v>
      </c>
      <c r="O84">
        <v>1</v>
      </c>
      <c r="P84" t="str">
        <f>"05"</f>
        <v>05</v>
      </c>
      <c r="Q84" t="s">
        <v>835</v>
      </c>
      <c r="S84" t="s">
        <v>836</v>
      </c>
      <c r="T84" t="s">
        <v>836</v>
      </c>
      <c r="U84" t="str">
        <f t="shared" si="20"/>
        <v>2500-12-31 00:00:00.0</v>
      </c>
      <c r="V84" t="s">
        <v>837</v>
      </c>
      <c r="W84" t="str">
        <f>"048314-070417-**-**"</f>
        <v>048314-070417-**-**</v>
      </c>
      <c r="X84" t="s">
        <v>838</v>
      </c>
      <c r="Y84">
        <v>1125</v>
      </c>
      <c r="Z84">
        <v>1125</v>
      </c>
      <c r="AA84" t="str">
        <f t="shared" si="15"/>
        <v>06/08/2016</v>
      </c>
    </row>
    <row r="85" spans="1:27" x14ac:dyDescent="0.3">
      <c r="A85" t="str">
        <f t="shared" si="16"/>
        <v>048314</v>
      </c>
      <c r="B85" t="str">
        <f t="shared" si="21"/>
        <v>004697</v>
      </c>
      <c r="C85" t="s">
        <v>2811</v>
      </c>
      <c r="D85" t="s">
        <v>3839</v>
      </c>
      <c r="E85" t="s">
        <v>3840</v>
      </c>
      <c r="F85" t="s">
        <v>3841</v>
      </c>
      <c r="G85" t="s">
        <v>3842</v>
      </c>
      <c r="H85" t="str">
        <f t="shared" si="13"/>
        <v>048314</v>
      </c>
      <c r="I85" t="s">
        <v>833</v>
      </c>
      <c r="J85" t="str">
        <f t="shared" si="22"/>
        <v>2015-07-01 00:00:00.0</v>
      </c>
      <c r="K85" t="s">
        <v>834</v>
      </c>
      <c r="L85" t="s">
        <v>0</v>
      </c>
      <c r="M85" t="str">
        <f t="shared" si="18"/>
        <v>048314</v>
      </c>
      <c r="N85">
        <v>1</v>
      </c>
      <c r="O85">
        <v>1</v>
      </c>
      <c r="P85" t="str">
        <f>"03"</f>
        <v>03</v>
      </c>
      <c r="Q85" t="s">
        <v>835</v>
      </c>
      <c r="S85" t="s">
        <v>836</v>
      </c>
      <c r="T85" t="s">
        <v>836</v>
      </c>
      <c r="U85" t="str">
        <f t="shared" si="20"/>
        <v>2500-12-31 00:00:00.0</v>
      </c>
      <c r="V85" t="s">
        <v>837</v>
      </c>
      <c r="W85" t="str">
        <f>"048314-004697-**-**"</f>
        <v>048314-004697-**-**</v>
      </c>
      <c r="X85" t="s">
        <v>838</v>
      </c>
      <c r="Y85">
        <v>1206.25</v>
      </c>
      <c r="Z85">
        <v>1206.25</v>
      </c>
      <c r="AA85" t="str">
        <f t="shared" si="15"/>
        <v>06/08/2016</v>
      </c>
    </row>
    <row r="86" spans="1:27" x14ac:dyDescent="0.3">
      <c r="A86" t="str">
        <f t="shared" si="16"/>
        <v>048314</v>
      </c>
      <c r="B86" t="str">
        <f t="shared" si="21"/>
        <v>004697</v>
      </c>
      <c r="C86" t="s">
        <v>3478</v>
      </c>
      <c r="D86" t="s">
        <v>3839</v>
      </c>
      <c r="E86" t="s">
        <v>3840</v>
      </c>
      <c r="F86" t="s">
        <v>3841</v>
      </c>
      <c r="G86" t="s">
        <v>3842</v>
      </c>
      <c r="H86" t="str">
        <f t="shared" si="13"/>
        <v>048314</v>
      </c>
      <c r="I86" t="s">
        <v>833</v>
      </c>
      <c r="J86" t="str">
        <f t="shared" si="22"/>
        <v>2015-07-01 00:00:00.0</v>
      </c>
      <c r="K86" t="s">
        <v>834</v>
      </c>
      <c r="L86" t="s">
        <v>0</v>
      </c>
      <c r="M86" t="str">
        <f t="shared" si="18"/>
        <v>048314</v>
      </c>
      <c r="N86">
        <v>1</v>
      </c>
      <c r="O86">
        <v>1</v>
      </c>
      <c r="P86" t="str">
        <f>"01"</f>
        <v>01</v>
      </c>
      <c r="Q86" t="s">
        <v>835</v>
      </c>
      <c r="S86" t="s">
        <v>836</v>
      </c>
      <c r="T86" t="s">
        <v>836</v>
      </c>
      <c r="U86" t="str">
        <f t="shared" si="20"/>
        <v>2500-12-31 00:00:00.0</v>
      </c>
      <c r="V86" t="s">
        <v>837</v>
      </c>
      <c r="W86" t="str">
        <f>"048314-004697-**-**"</f>
        <v>048314-004697-**-**</v>
      </c>
      <c r="X86" t="s">
        <v>838</v>
      </c>
      <c r="Y86">
        <v>1206.25</v>
      </c>
      <c r="Z86">
        <v>1206.25</v>
      </c>
      <c r="AA86" t="str">
        <f t="shared" si="15"/>
        <v>06/08/2016</v>
      </c>
    </row>
    <row r="87" spans="1:27" x14ac:dyDescent="0.3">
      <c r="A87" t="str">
        <f t="shared" si="16"/>
        <v>048314</v>
      </c>
      <c r="B87" t="str">
        <f t="shared" si="21"/>
        <v>004697</v>
      </c>
      <c r="C87" t="s">
        <v>964</v>
      </c>
      <c r="D87" t="s">
        <v>3839</v>
      </c>
      <c r="E87" t="s">
        <v>3840</v>
      </c>
      <c r="F87" t="s">
        <v>3841</v>
      </c>
      <c r="G87" t="s">
        <v>3842</v>
      </c>
      <c r="H87" t="str">
        <f t="shared" si="13"/>
        <v>048314</v>
      </c>
      <c r="I87" t="s">
        <v>833</v>
      </c>
      <c r="J87" t="str">
        <f t="shared" si="22"/>
        <v>2015-07-01 00:00:00.0</v>
      </c>
      <c r="K87" t="s">
        <v>834</v>
      </c>
      <c r="L87" t="s">
        <v>0</v>
      </c>
      <c r="M87" t="str">
        <f t="shared" si="18"/>
        <v>048314</v>
      </c>
      <c r="N87">
        <v>1</v>
      </c>
      <c r="O87">
        <v>1</v>
      </c>
      <c r="P87" t="str">
        <f>"01"</f>
        <v>01</v>
      </c>
      <c r="Q87" t="s">
        <v>835</v>
      </c>
      <c r="S87" t="s">
        <v>836</v>
      </c>
      <c r="T87" t="s">
        <v>836</v>
      </c>
      <c r="U87" t="str">
        <f t="shared" si="20"/>
        <v>2500-12-31 00:00:00.0</v>
      </c>
      <c r="V87" t="s">
        <v>837</v>
      </c>
      <c r="W87" t="str">
        <f>"048314-038430-**-**"</f>
        <v>048314-038430-**-**</v>
      </c>
      <c r="X87" t="s">
        <v>838</v>
      </c>
      <c r="Y87">
        <v>1206.25</v>
      </c>
      <c r="Z87">
        <v>1206.25</v>
      </c>
      <c r="AA87" t="str">
        <f t="shared" si="15"/>
        <v>06/08/2016</v>
      </c>
    </row>
    <row r="88" spans="1:27" x14ac:dyDescent="0.3">
      <c r="A88" t="str">
        <f t="shared" si="16"/>
        <v>048314</v>
      </c>
      <c r="B88" t="str">
        <f t="shared" si="21"/>
        <v>004697</v>
      </c>
      <c r="C88" t="s">
        <v>849</v>
      </c>
      <c r="D88" t="s">
        <v>3839</v>
      </c>
      <c r="E88" t="s">
        <v>3840</v>
      </c>
      <c r="F88" t="s">
        <v>3841</v>
      </c>
      <c r="G88" t="s">
        <v>3842</v>
      </c>
      <c r="H88" t="str">
        <f t="shared" si="13"/>
        <v>048314</v>
      </c>
      <c r="I88" t="s">
        <v>833</v>
      </c>
      <c r="J88" t="str">
        <f t="shared" si="22"/>
        <v>2015-07-01 00:00:00.0</v>
      </c>
      <c r="K88" t="s">
        <v>834</v>
      </c>
      <c r="L88" t="s">
        <v>0</v>
      </c>
      <c r="M88" t="str">
        <f t="shared" si="18"/>
        <v>048314</v>
      </c>
      <c r="N88">
        <v>1</v>
      </c>
      <c r="O88">
        <v>1</v>
      </c>
      <c r="P88" t="str">
        <f>"02"</f>
        <v>02</v>
      </c>
      <c r="Q88" t="s">
        <v>835</v>
      </c>
      <c r="S88" t="s">
        <v>836</v>
      </c>
      <c r="T88" t="s">
        <v>836</v>
      </c>
      <c r="U88" t="str">
        <f t="shared" si="20"/>
        <v>2500-12-31 00:00:00.0</v>
      </c>
      <c r="V88" t="s">
        <v>837</v>
      </c>
      <c r="W88" t="str">
        <f>"048314-004697-**-**"</f>
        <v>048314-004697-**-**</v>
      </c>
      <c r="X88" t="s">
        <v>838</v>
      </c>
      <c r="Y88">
        <v>1206.25</v>
      </c>
      <c r="Z88">
        <v>1206.25</v>
      </c>
      <c r="AA88" t="str">
        <f t="shared" si="15"/>
        <v>06/08/2016</v>
      </c>
    </row>
    <row r="89" spans="1:27" x14ac:dyDescent="0.3">
      <c r="A89" t="str">
        <f t="shared" si="16"/>
        <v>048314</v>
      </c>
      <c r="B89" t="str">
        <f t="shared" si="21"/>
        <v>004697</v>
      </c>
      <c r="C89" t="s">
        <v>1059</v>
      </c>
      <c r="D89" t="s">
        <v>3839</v>
      </c>
      <c r="E89" t="s">
        <v>3840</v>
      </c>
      <c r="F89" t="s">
        <v>3841</v>
      </c>
      <c r="G89" t="s">
        <v>3842</v>
      </c>
      <c r="H89" t="str">
        <f t="shared" si="13"/>
        <v>048314</v>
      </c>
      <c r="I89" t="s">
        <v>833</v>
      </c>
      <c r="J89" t="str">
        <f t="shared" si="22"/>
        <v>2015-07-01 00:00:00.0</v>
      </c>
      <c r="K89" t="s">
        <v>834</v>
      </c>
      <c r="L89" t="s">
        <v>0</v>
      </c>
      <c r="M89" t="str">
        <f t="shared" si="18"/>
        <v>048314</v>
      </c>
      <c r="N89">
        <v>1</v>
      </c>
      <c r="O89">
        <v>1</v>
      </c>
      <c r="P89" t="str">
        <f>"01"</f>
        <v>01</v>
      </c>
      <c r="Q89" t="str">
        <f>"05"</f>
        <v>05</v>
      </c>
      <c r="R89" t="str">
        <f>"1"</f>
        <v>1</v>
      </c>
      <c r="S89" t="s">
        <v>860</v>
      </c>
      <c r="T89" t="s">
        <v>836</v>
      </c>
      <c r="U89" t="str">
        <f t="shared" si="20"/>
        <v>2500-12-31 00:00:00.0</v>
      </c>
      <c r="V89" t="s">
        <v>837</v>
      </c>
      <c r="W89" t="str">
        <f>"048314-004697-**-**"</f>
        <v>048314-004697-**-**</v>
      </c>
      <c r="X89" t="s">
        <v>838</v>
      </c>
      <c r="Y89">
        <v>1206.25</v>
      </c>
      <c r="Z89">
        <v>1206.25</v>
      </c>
      <c r="AA89" t="str">
        <f t="shared" si="15"/>
        <v>06/08/2016</v>
      </c>
    </row>
    <row r="90" spans="1:27" x14ac:dyDescent="0.3">
      <c r="A90" t="str">
        <f t="shared" si="16"/>
        <v>048314</v>
      </c>
      <c r="B90" t="str">
        <f t="shared" si="21"/>
        <v>004697</v>
      </c>
      <c r="C90" t="s">
        <v>3209</v>
      </c>
      <c r="D90" t="s">
        <v>3839</v>
      </c>
      <c r="E90" t="s">
        <v>3840</v>
      </c>
      <c r="F90" t="s">
        <v>3841</v>
      </c>
      <c r="G90" t="s">
        <v>3842</v>
      </c>
      <c r="H90" t="str">
        <f t="shared" si="13"/>
        <v>048314</v>
      </c>
      <c r="I90" t="s">
        <v>833</v>
      </c>
      <c r="J90" t="str">
        <f t="shared" si="22"/>
        <v>2015-07-01 00:00:00.0</v>
      </c>
      <c r="K90" t="s">
        <v>834</v>
      </c>
      <c r="L90" t="s">
        <v>0</v>
      </c>
      <c r="M90" t="str">
        <f t="shared" si="18"/>
        <v>048314</v>
      </c>
      <c r="N90">
        <v>4.6632E-2</v>
      </c>
      <c r="O90">
        <v>4.6632E-2</v>
      </c>
      <c r="P90" t="str">
        <f>"03"</f>
        <v>03</v>
      </c>
      <c r="Q90" t="str">
        <f>"05"</f>
        <v>05</v>
      </c>
      <c r="R90" t="str">
        <f>"1"</f>
        <v>1</v>
      </c>
      <c r="S90" t="s">
        <v>860</v>
      </c>
      <c r="T90" t="s">
        <v>836</v>
      </c>
      <c r="U90" t="str">
        <f>"2015-09-13 00:00:00.0"</f>
        <v>2015-09-13 00:00:00.0</v>
      </c>
      <c r="V90" t="s">
        <v>837</v>
      </c>
      <c r="W90" t="str">
        <f>"048314-004697-**-**"</f>
        <v>048314-004697-**-**</v>
      </c>
      <c r="X90" t="s">
        <v>838</v>
      </c>
      <c r="Y90">
        <v>56.25</v>
      </c>
      <c r="Z90">
        <v>1206.25</v>
      </c>
      <c r="AA90" t="str">
        <f t="shared" si="15"/>
        <v>06/08/2016</v>
      </c>
    </row>
    <row r="91" spans="1:27" x14ac:dyDescent="0.3">
      <c r="A91" t="str">
        <f t="shared" si="16"/>
        <v>048314</v>
      </c>
      <c r="B91" t="str">
        <f t="shared" si="21"/>
        <v>004697</v>
      </c>
      <c r="C91" t="s">
        <v>3209</v>
      </c>
      <c r="D91" t="s">
        <v>3839</v>
      </c>
      <c r="E91" t="s">
        <v>3840</v>
      </c>
      <c r="F91" t="s">
        <v>3841</v>
      </c>
      <c r="G91" t="s">
        <v>3842</v>
      </c>
      <c r="H91" t="str">
        <f t="shared" si="13"/>
        <v>048314</v>
      </c>
      <c r="I91" t="s">
        <v>833</v>
      </c>
      <c r="J91" t="str">
        <f>"2015-09-14 00:00:00.0"</f>
        <v>2015-09-14 00:00:00.0</v>
      </c>
      <c r="K91" t="s">
        <v>834</v>
      </c>
      <c r="L91" t="s">
        <v>0</v>
      </c>
      <c r="M91" t="str">
        <f t="shared" si="18"/>
        <v>048314</v>
      </c>
      <c r="N91">
        <v>0.95336799999999999</v>
      </c>
      <c r="O91">
        <v>0.95336799999999999</v>
      </c>
      <c r="P91" t="str">
        <f>"03"</f>
        <v>03</v>
      </c>
      <c r="Q91" t="s">
        <v>835</v>
      </c>
      <c r="S91" t="s">
        <v>860</v>
      </c>
      <c r="T91" t="s">
        <v>836</v>
      </c>
      <c r="U91" t="str">
        <f t="shared" ref="U91:U131" si="23">"2500-12-31 00:00:00.0"</f>
        <v>2500-12-31 00:00:00.0</v>
      </c>
      <c r="V91" t="s">
        <v>837</v>
      </c>
      <c r="W91" t="str">
        <f>"048314-004697-**-**"</f>
        <v>048314-004697-**-**</v>
      </c>
      <c r="X91" t="s">
        <v>838</v>
      </c>
      <c r="Y91">
        <v>1150</v>
      </c>
      <c r="Z91">
        <v>1206.25</v>
      </c>
      <c r="AA91" t="str">
        <f t="shared" si="15"/>
        <v>06/08/2016</v>
      </c>
    </row>
    <row r="92" spans="1:27" x14ac:dyDescent="0.3">
      <c r="A92" t="str">
        <f t="shared" si="16"/>
        <v>048314</v>
      </c>
      <c r="B92" t="str">
        <f t="shared" si="21"/>
        <v>004697</v>
      </c>
      <c r="C92" t="s">
        <v>1008</v>
      </c>
      <c r="D92" t="s">
        <v>3839</v>
      </c>
      <c r="E92" t="s">
        <v>3840</v>
      </c>
      <c r="F92" t="s">
        <v>3841</v>
      </c>
      <c r="G92" t="s">
        <v>3842</v>
      </c>
      <c r="H92" t="str">
        <f>"044065"</f>
        <v>044065</v>
      </c>
      <c r="I92" t="s">
        <v>833</v>
      </c>
      <c r="J92" t="str">
        <f t="shared" ref="J92:J102" si="24">"2015-07-01 00:00:00.0"</f>
        <v>2015-07-01 00:00:00.0</v>
      </c>
      <c r="K92" t="s">
        <v>834</v>
      </c>
      <c r="L92" t="s">
        <v>1</v>
      </c>
      <c r="M92" t="str">
        <f t="shared" si="18"/>
        <v>048314</v>
      </c>
      <c r="N92">
        <v>1</v>
      </c>
      <c r="O92">
        <v>1</v>
      </c>
      <c r="P92" t="str">
        <f>"01"</f>
        <v>01</v>
      </c>
      <c r="Q92" t="s">
        <v>835</v>
      </c>
      <c r="S92" t="s">
        <v>836</v>
      </c>
      <c r="T92" t="s">
        <v>836</v>
      </c>
      <c r="U92" t="str">
        <f t="shared" si="23"/>
        <v>2500-12-31 00:00:00.0</v>
      </c>
      <c r="V92" t="s">
        <v>837</v>
      </c>
      <c r="W92" t="str">
        <f>"044065-009159-01-**"</f>
        <v>044065-009159-01-**</v>
      </c>
      <c r="X92" t="s">
        <v>838</v>
      </c>
      <c r="Y92">
        <v>1052.5</v>
      </c>
      <c r="Z92">
        <v>1052.5</v>
      </c>
      <c r="AA92" t="str">
        <f>"06/16/2016"</f>
        <v>06/16/2016</v>
      </c>
    </row>
    <row r="93" spans="1:27" x14ac:dyDescent="0.3">
      <c r="A93" t="str">
        <f t="shared" si="16"/>
        <v>048314</v>
      </c>
      <c r="B93" t="str">
        <f t="shared" si="21"/>
        <v>004697</v>
      </c>
      <c r="C93" t="s">
        <v>2479</v>
      </c>
      <c r="D93" t="s">
        <v>3839</v>
      </c>
      <c r="E93" t="s">
        <v>3840</v>
      </c>
      <c r="F93" t="s">
        <v>3841</v>
      </c>
      <c r="G93" t="s">
        <v>3842</v>
      </c>
      <c r="H93" t="str">
        <f t="shared" ref="H93:H115" si="25">"048314"</f>
        <v>048314</v>
      </c>
      <c r="I93" t="s">
        <v>833</v>
      </c>
      <c r="J93" t="str">
        <f t="shared" si="24"/>
        <v>2015-07-01 00:00:00.0</v>
      </c>
      <c r="K93" t="s">
        <v>834</v>
      </c>
      <c r="L93" t="s">
        <v>0</v>
      </c>
      <c r="M93" t="str">
        <f t="shared" si="18"/>
        <v>048314</v>
      </c>
      <c r="N93">
        <v>1</v>
      </c>
      <c r="O93">
        <v>1</v>
      </c>
      <c r="P93" t="str">
        <f>"04"</f>
        <v>04</v>
      </c>
      <c r="Q93" t="s">
        <v>835</v>
      </c>
      <c r="S93" t="s">
        <v>836</v>
      </c>
      <c r="T93" t="s">
        <v>836</v>
      </c>
      <c r="U93" t="str">
        <f t="shared" si="23"/>
        <v>2500-12-31 00:00:00.0</v>
      </c>
      <c r="V93" t="s">
        <v>837</v>
      </c>
      <c r="W93" t="str">
        <f>"048314-004697-**-**"</f>
        <v>048314-004697-**-**</v>
      </c>
      <c r="X93" t="s">
        <v>838</v>
      </c>
      <c r="Y93">
        <v>1206.25</v>
      </c>
      <c r="Z93">
        <v>1206.25</v>
      </c>
      <c r="AA93" t="str">
        <f t="shared" ref="AA93:AA115" si="26">"06/08/2016"</f>
        <v>06/08/2016</v>
      </c>
    </row>
    <row r="94" spans="1:27" x14ac:dyDescent="0.3">
      <c r="A94" t="str">
        <f t="shared" si="16"/>
        <v>048314</v>
      </c>
      <c r="B94" t="str">
        <f t="shared" si="21"/>
        <v>004697</v>
      </c>
      <c r="C94" t="s">
        <v>921</v>
      </c>
      <c r="D94" t="s">
        <v>3839</v>
      </c>
      <c r="E94" t="s">
        <v>3840</v>
      </c>
      <c r="F94" t="s">
        <v>3841</v>
      </c>
      <c r="G94" t="s">
        <v>3842</v>
      </c>
      <c r="H94" t="str">
        <f t="shared" si="25"/>
        <v>048314</v>
      </c>
      <c r="I94" t="s">
        <v>833</v>
      </c>
      <c r="J94" t="str">
        <f t="shared" si="24"/>
        <v>2015-07-01 00:00:00.0</v>
      </c>
      <c r="K94" t="s">
        <v>834</v>
      </c>
      <c r="L94" t="s">
        <v>0</v>
      </c>
      <c r="M94" t="str">
        <f t="shared" si="18"/>
        <v>048314</v>
      </c>
      <c r="N94">
        <v>1</v>
      </c>
      <c r="O94">
        <v>1</v>
      </c>
      <c r="P94" t="str">
        <f>"02"</f>
        <v>02</v>
      </c>
      <c r="Q94" t="s">
        <v>835</v>
      </c>
      <c r="S94" t="s">
        <v>836</v>
      </c>
      <c r="T94" t="s">
        <v>836</v>
      </c>
      <c r="U94" t="str">
        <f t="shared" si="23"/>
        <v>2500-12-31 00:00:00.0</v>
      </c>
      <c r="V94" t="s">
        <v>837</v>
      </c>
      <c r="W94" t="str">
        <f>"048314-004697-**-**"</f>
        <v>048314-004697-**-**</v>
      </c>
      <c r="X94" t="s">
        <v>838</v>
      </c>
      <c r="Y94">
        <v>1206.25</v>
      </c>
      <c r="Z94">
        <v>1206.25</v>
      </c>
      <c r="AA94" t="str">
        <f t="shared" si="26"/>
        <v>06/08/2016</v>
      </c>
    </row>
    <row r="95" spans="1:27" x14ac:dyDescent="0.3">
      <c r="A95" t="str">
        <f t="shared" si="16"/>
        <v>048314</v>
      </c>
      <c r="B95" t="str">
        <f t="shared" si="21"/>
        <v>004697</v>
      </c>
      <c r="C95" t="s">
        <v>3283</v>
      </c>
      <c r="D95" t="s">
        <v>3839</v>
      </c>
      <c r="E95" t="s">
        <v>3840</v>
      </c>
      <c r="F95" t="s">
        <v>3841</v>
      </c>
      <c r="G95" t="s">
        <v>3842</v>
      </c>
      <c r="H95" t="str">
        <f t="shared" si="25"/>
        <v>048314</v>
      </c>
      <c r="I95" t="s">
        <v>833</v>
      </c>
      <c r="J95" t="str">
        <f t="shared" si="24"/>
        <v>2015-07-01 00:00:00.0</v>
      </c>
      <c r="K95" t="s">
        <v>834</v>
      </c>
      <c r="L95" t="s">
        <v>0</v>
      </c>
      <c r="M95" t="str">
        <f t="shared" si="18"/>
        <v>048314</v>
      </c>
      <c r="N95">
        <v>1</v>
      </c>
      <c r="O95">
        <v>1</v>
      </c>
      <c r="P95" t="str">
        <f>"05"</f>
        <v>05</v>
      </c>
      <c r="Q95" t="s">
        <v>835</v>
      </c>
      <c r="S95" t="s">
        <v>836</v>
      </c>
      <c r="T95" t="s">
        <v>836</v>
      </c>
      <c r="U95" t="str">
        <f t="shared" si="23"/>
        <v>2500-12-31 00:00:00.0</v>
      </c>
      <c r="V95" t="s">
        <v>837</v>
      </c>
      <c r="W95" t="str">
        <f>"048314-070417-**-**"</f>
        <v>048314-070417-**-**</v>
      </c>
      <c r="X95" t="s">
        <v>838</v>
      </c>
      <c r="Y95">
        <v>1125</v>
      </c>
      <c r="Z95">
        <v>1125</v>
      </c>
      <c r="AA95" t="str">
        <f t="shared" si="26"/>
        <v>06/08/2016</v>
      </c>
    </row>
    <row r="96" spans="1:27" x14ac:dyDescent="0.3">
      <c r="A96" t="str">
        <f t="shared" si="16"/>
        <v>048314</v>
      </c>
      <c r="B96" t="str">
        <f t="shared" si="21"/>
        <v>004697</v>
      </c>
      <c r="C96" t="s">
        <v>3479</v>
      </c>
      <c r="D96" t="s">
        <v>3839</v>
      </c>
      <c r="E96" t="s">
        <v>3840</v>
      </c>
      <c r="F96" t="s">
        <v>3841</v>
      </c>
      <c r="G96" t="s">
        <v>3842</v>
      </c>
      <c r="H96" t="str">
        <f t="shared" si="25"/>
        <v>048314</v>
      </c>
      <c r="I96" t="s">
        <v>833</v>
      </c>
      <c r="J96" t="str">
        <f t="shared" si="24"/>
        <v>2015-07-01 00:00:00.0</v>
      </c>
      <c r="K96" t="s">
        <v>834</v>
      </c>
      <c r="L96" t="s">
        <v>0</v>
      </c>
      <c r="M96" t="str">
        <f t="shared" si="18"/>
        <v>048314</v>
      </c>
      <c r="N96">
        <v>1</v>
      </c>
      <c r="O96">
        <v>1</v>
      </c>
      <c r="P96" t="str">
        <f>"01"</f>
        <v>01</v>
      </c>
      <c r="Q96" t="s">
        <v>835</v>
      </c>
      <c r="S96" t="s">
        <v>836</v>
      </c>
      <c r="T96" t="s">
        <v>836</v>
      </c>
      <c r="U96" t="str">
        <f t="shared" si="23"/>
        <v>2500-12-31 00:00:00.0</v>
      </c>
      <c r="V96" t="s">
        <v>837</v>
      </c>
      <c r="W96" t="str">
        <f t="shared" ref="W96:W105" si="27">"048314-004697-**-**"</f>
        <v>048314-004697-**-**</v>
      </c>
      <c r="X96" t="s">
        <v>838</v>
      </c>
      <c r="Y96">
        <v>1206.25</v>
      </c>
      <c r="Z96">
        <v>1206.25</v>
      </c>
      <c r="AA96" t="str">
        <f t="shared" si="26"/>
        <v>06/08/2016</v>
      </c>
    </row>
    <row r="97" spans="1:27" x14ac:dyDescent="0.3">
      <c r="A97" t="str">
        <f t="shared" si="16"/>
        <v>048314</v>
      </c>
      <c r="B97" t="str">
        <f t="shared" si="21"/>
        <v>004697</v>
      </c>
      <c r="C97" t="s">
        <v>1045</v>
      </c>
      <c r="D97" t="s">
        <v>3839</v>
      </c>
      <c r="E97" t="s">
        <v>3840</v>
      </c>
      <c r="F97" t="s">
        <v>3841</v>
      </c>
      <c r="G97" t="s">
        <v>3842</v>
      </c>
      <c r="H97" t="str">
        <f t="shared" si="25"/>
        <v>048314</v>
      </c>
      <c r="I97" t="s">
        <v>833</v>
      </c>
      <c r="J97" t="str">
        <f t="shared" si="24"/>
        <v>2015-07-01 00:00:00.0</v>
      </c>
      <c r="K97" t="s">
        <v>834</v>
      </c>
      <c r="L97" t="s">
        <v>0</v>
      </c>
      <c r="M97" t="str">
        <f t="shared" si="18"/>
        <v>048314</v>
      </c>
      <c r="N97">
        <v>1</v>
      </c>
      <c r="O97">
        <v>1</v>
      </c>
      <c r="P97" t="str">
        <f>"02"</f>
        <v>02</v>
      </c>
      <c r="Q97" t="s">
        <v>835</v>
      </c>
      <c r="S97" t="s">
        <v>836</v>
      </c>
      <c r="T97" t="s">
        <v>836</v>
      </c>
      <c r="U97" t="str">
        <f t="shared" si="23"/>
        <v>2500-12-31 00:00:00.0</v>
      </c>
      <c r="V97" t="s">
        <v>837</v>
      </c>
      <c r="W97" t="str">
        <f t="shared" si="27"/>
        <v>048314-004697-**-**</v>
      </c>
      <c r="X97" t="s">
        <v>838</v>
      </c>
      <c r="Y97">
        <v>1206.25</v>
      </c>
      <c r="Z97">
        <v>1206.25</v>
      </c>
      <c r="AA97" t="str">
        <f t="shared" si="26"/>
        <v>06/08/2016</v>
      </c>
    </row>
    <row r="98" spans="1:27" x14ac:dyDescent="0.3">
      <c r="A98" t="str">
        <f t="shared" si="16"/>
        <v>048314</v>
      </c>
      <c r="B98" t="str">
        <f t="shared" si="21"/>
        <v>004697</v>
      </c>
      <c r="C98" t="s">
        <v>3588</v>
      </c>
      <c r="D98" t="s">
        <v>3839</v>
      </c>
      <c r="E98" t="s">
        <v>3840</v>
      </c>
      <c r="F98" t="s">
        <v>3841</v>
      </c>
      <c r="G98" t="s">
        <v>3842</v>
      </c>
      <c r="H98" t="str">
        <f t="shared" si="25"/>
        <v>048314</v>
      </c>
      <c r="I98" t="s">
        <v>833</v>
      </c>
      <c r="J98" t="str">
        <f t="shared" si="24"/>
        <v>2015-07-01 00:00:00.0</v>
      </c>
      <c r="K98" t="s">
        <v>834</v>
      </c>
      <c r="L98" t="s">
        <v>0</v>
      </c>
      <c r="M98" t="str">
        <f t="shared" si="18"/>
        <v>048314</v>
      </c>
      <c r="N98">
        <v>1</v>
      </c>
      <c r="O98">
        <v>1</v>
      </c>
      <c r="P98" t="str">
        <f>"04"</f>
        <v>04</v>
      </c>
      <c r="Q98" t="s">
        <v>835</v>
      </c>
      <c r="S98" t="s">
        <v>836</v>
      </c>
      <c r="T98" t="s">
        <v>836</v>
      </c>
      <c r="U98" t="str">
        <f t="shared" si="23"/>
        <v>2500-12-31 00:00:00.0</v>
      </c>
      <c r="V98" t="s">
        <v>837</v>
      </c>
      <c r="W98" t="str">
        <f t="shared" si="27"/>
        <v>048314-004697-**-**</v>
      </c>
      <c r="X98" t="s">
        <v>838</v>
      </c>
      <c r="Y98">
        <v>1206.25</v>
      </c>
      <c r="Z98">
        <v>1206.25</v>
      </c>
      <c r="AA98" t="str">
        <f t="shared" si="26"/>
        <v>06/08/2016</v>
      </c>
    </row>
    <row r="99" spans="1:27" x14ac:dyDescent="0.3">
      <c r="A99" t="str">
        <f t="shared" si="16"/>
        <v>048314</v>
      </c>
      <c r="B99" t="str">
        <f t="shared" si="21"/>
        <v>004697</v>
      </c>
      <c r="C99" t="s">
        <v>2960</v>
      </c>
      <c r="D99" t="s">
        <v>3839</v>
      </c>
      <c r="E99" t="s">
        <v>3840</v>
      </c>
      <c r="F99" t="s">
        <v>3841</v>
      </c>
      <c r="G99" t="s">
        <v>3842</v>
      </c>
      <c r="H99" t="str">
        <f t="shared" si="25"/>
        <v>048314</v>
      </c>
      <c r="I99" t="s">
        <v>833</v>
      </c>
      <c r="J99" t="str">
        <f t="shared" si="24"/>
        <v>2015-07-01 00:00:00.0</v>
      </c>
      <c r="K99" t="s">
        <v>834</v>
      </c>
      <c r="L99" t="s">
        <v>0</v>
      </c>
      <c r="M99" t="str">
        <f t="shared" si="18"/>
        <v>048314</v>
      </c>
      <c r="N99">
        <v>1</v>
      </c>
      <c r="O99">
        <v>1</v>
      </c>
      <c r="P99" t="str">
        <f>"02"</f>
        <v>02</v>
      </c>
      <c r="Q99" t="s">
        <v>835</v>
      </c>
      <c r="S99" t="s">
        <v>836</v>
      </c>
      <c r="T99" t="s">
        <v>836</v>
      </c>
      <c r="U99" t="str">
        <f t="shared" si="23"/>
        <v>2500-12-31 00:00:00.0</v>
      </c>
      <c r="V99" t="s">
        <v>837</v>
      </c>
      <c r="W99" t="str">
        <f t="shared" si="27"/>
        <v>048314-004697-**-**</v>
      </c>
      <c r="X99" t="s">
        <v>838</v>
      </c>
      <c r="Y99">
        <v>1206.25</v>
      </c>
      <c r="Z99">
        <v>1206.25</v>
      </c>
      <c r="AA99" t="str">
        <f t="shared" si="26"/>
        <v>06/08/2016</v>
      </c>
    </row>
    <row r="100" spans="1:27" x14ac:dyDescent="0.3">
      <c r="A100" t="str">
        <f t="shared" si="16"/>
        <v>048314</v>
      </c>
      <c r="B100" t="str">
        <f t="shared" si="21"/>
        <v>004697</v>
      </c>
      <c r="C100" t="s">
        <v>3033</v>
      </c>
      <c r="D100" t="s">
        <v>3839</v>
      </c>
      <c r="E100" t="s">
        <v>3840</v>
      </c>
      <c r="F100" t="s">
        <v>3841</v>
      </c>
      <c r="G100" t="s">
        <v>3842</v>
      </c>
      <c r="H100" t="str">
        <f t="shared" si="25"/>
        <v>048314</v>
      </c>
      <c r="I100" t="s">
        <v>833</v>
      </c>
      <c r="J100" t="str">
        <f t="shared" si="24"/>
        <v>2015-07-01 00:00:00.0</v>
      </c>
      <c r="K100" t="s">
        <v>834</v>
      </c>
      <c r="L100" t="s">
        <v>0</v>
      </c>
      <c r="M100" t="str">
        <f t="shared" si="18"/>
        <v>048314</v>
      </c>
      <c r="N100">
        <v>1</v>
      </c>
      <c r="O100">
        <v>1</v>
      </c>
      <c r="P100" t="str">
        <f>"01"</f>
        <v>01</v>
      </c>
      <c r="Q100" t="s">
        <v>835</v>
      </c>
      <c r="S100" t="s">
        <v>836</v>
      </c>
      <c r="T100" t="s">
        <v>836</v>
      </c>
      <c r="U100" t="str">
        <f t="shared" si="23"/>
        <v>2500-12-31 00:00:00.0</v>
      </c>
      <c r="V100" t="s">
        <v>837</v>
      </c>
      <c r="W100" t="str">
        <f t="shared" si="27"/>
        <v>048314-004697-**-**</v>
      </c>
      <c r="X100" t="s">
        <v>838</v>
      </c>
      <c r="Y100">
        <v>1206.25</v>
      </c>
      <c r="Z100">
        <v>1206.25</v>
      </c>
      <c r="AA100" t="str">
        <f t="shared" si="26"/>
        <v>06/08/2016</v>
      </c>
    </row>
    <row r="101" spans="1:27" x14ac:dyDescent="0.3">
      <c r="A101" t="str">
        <f t="shared" si="16"/>
        <v>048314</v>
      </c>
      <c r="B101" t="str">
        <f t="shared" si="21"/>
        <v>004697</v>
      </c>
      <c r="C101" t="s">
        <v>843</v>
      </c>
      <c r="D101" t="s">
        <v>3839</v>
      </c>
      <c r="E101" t="s">
        <v>3840</v>
      </c>
      <c r="F101" t="s">
        <v>3841</v>
      </c>
      <c r="G101" t="s">
        <v>3842</v>
      </c>
      <c r="H101" t="str">
        <f t="shared" si="25"/>
        <v>048314</v>
      </c>
      <c r="I101" t="s">
        <v>833</v>
      </c>
      <c r="J101" t="str">
        <f t="shared" si="24"/>
        <v>2015-07-01 00:00:00.0</v>
      </c>
      <c r="K101" t="s">
        <v>834</v>
      </c>
      <c r="L101" t="s">
        <v>0</v>
      </c>
      <c r="M101" t="str">
        <f t="shared" si="18"/>
        <v>048314</v>
      </c>
      <c r="N101">
        <v>1</v>
      </c>
      <c r="O101">
        <v>1</v>
      </c>
      <c r="P101" t="str">
        <f>"01"</f>
        <v>01</v>
      </c>
      <c r="Q101" t="s">
        <v>835</v>
      </c>
      <c r="S101" t="s">
        <v>836</v>
      </c>
      <c r="T101" t="s">
        <v>836</v>
      </c>
      <c r="U101" t="str">
        <f t="shared" si="23"/>
        <v>2500-12-31 00:00:00.0</v>
      </c>
      <c r="V101" t="s">
        <v>837</v>
      </c>
      <c r="W101" t="str">
        <f t="shared" si="27"/>
        <v>048314-004697-**-**</v>
      </c>
      <c r="X101" t="s">
        <v>838</v>
      </c>
      <c r="Y101">
        <v>1206.25</v>
      </c>
      <c r="Z101">
        <v>1206.25</v>
      </c>
      <c r="AA101" t="str">
        <f t="shared" si="26"/>
        <v>06/08/2016</v>
      </c>
    </row>
    <row r="102" spans="1:27" x14ac:dyDescent="0.3">
      <c r="A102" t="str">
        <f t="shared" si="16"/>
        <v>048314</v>
      </c>
      <c r="B102" t="str">
        <f t="shared" si="21"/>
        <v>004697</v>
      </c>
      <c r="C102" t="s">
        <v>3046</v>
      </c>
      <c r="D102" t="s">
        <v>3839</v>
      </c>
      <c r="E102" t="s">
        <v>3840</v>
      </c>
      <c r="F102" t="s">
        <v>3841</v>
      </c>
      <c r="G102" t="s">
        <v>3842</v>
      </c>
      <c r="H102" t="str">
        <f t="shared" si="25"/>
        <v>048314</v>
      </c>
      <c r="I102" t="s">
        <v>833</v>
      </c>
      <c r="J102" t="str">
        <f t="shared" si="24"/>
        <v>2015-07-01 00:00:00.0</v>
      </c>
      <c r="K102" t="s">
        <v>834</v>
      </c>
      <c r="L102" t="s">
        <v>0</v>
      </c>
      <c r="M102" t="str">
        <f t="shared" si="18"/>
        <v>048314</v>
      </c>
      <c r="N102">
        <v>1</v>
      </c>
      <c r="O102">
        <v>1</v>
      </c>
      <c r="P102" t="str">
        <f>"01"</f>
        <v>01</v>
      </c>
      <c r="Q102" t="s">
        <v>835</v>
      </c>
      <c r="S102" t="s">
        <v>836</v>
      </c>
      <c r="T102" t="s">
        <v>836</v>
      </c>
      <c r="U102" t="str">
        <f t="shared" si="23"/>
        <v>2500-12-31 00:00:00.0</v>
      </c>
      <c r="V102" t="s">
        <v>837</v>
      </c>
      <c r="W102" t="str">
        <f t="shared" si="27"/>
        <v>048314-004697-**-**</v>
      </c>
      <c r="X102" t="s">
        <v>838</v>
      </c>
      <c r="Y102">
        <v>1206.25</v>
      </c>
      <c r="Z102">
        <v>1206.25</v>
      </c>
      <c r="AA102" t="str">
        <f t="shared" si="26"/>
        <v>06/08/2016</v>
      </c>
    </row>
    <row r="103" spans="1:27" x14ac:dyDescent="0.3">
      <c r="A103" t="str">
        <f t="shared" si="16"/>
        <v>048314</v>
      </c>
      <c r="B103" t="str">
        <f t="shared" si="21"/>
        <v>004697</v>
      </c>
      <c r="C103" t="s">
        <v>1492</v>
      </c>
      <c r="D103" t="s">
        <v>3839</v>
      </c>
      <c r="E103" t="s">
        <v>3840</v>
      </c>
      <c r="F103" t="s">
        <v>3841</v>
      </c>
      <c r="G103" t="s">
        <v>3842</v>
      </c>
      <c r="H103" t="str">
        <f t="shared" si="25"/>
        <v>048314</v>
      </c>
      <c r="I103" t="s">
        <v>833</v>
      </c>
      <c r="J103" t="str">
        <f>"2015-08-01 00:00:00.0"</f>
        <v>2015-08-01 00:00:00.0</v>
      </c>
      <c r="K103" t="s">
        <v>834</v>
      </c>
      <c r="L103" t="s">
        <v>0</v>
      </c>
      <c r="M103" t="str">
        <f t="shared" si="18"/>
        <v>048314</v>
      </c>
      <c r="N103">
        <v>1</v>
      </c>
      <c r="O103">
        <v>1</v>
      </c>
      <c r="P103" t="s">
        <v>764</v>
      </c>
      <c r="Q103" t="s">
        <v>835</v>
      </c>
      <c r="S103" t="s">
        <v>836</v>
      </c>
      <c r="T103" t="s">
        <v>836</v>
      </c>
      <c r="U103" t="str">
        <f t="shared" si="23"/>
        <v>2500-12-31 00:00:00.0</v>
      </c>
      <c r="V103" t="s">
        <v>837</v>
      </c>
      <c r="W103" t="str">
        <f t="shared" si="27"/>
        <v>048314-004697-**-**</v>
      </c>
      <c r="X103" t="s">
        <v>838</v>
      </c>
      <c r="Y103">
        <v>1206.25</v>
      </c>
      <c r="Z103">
        <v>1206.25</v>
      </c>
      <c r="AA103" t="str">
        <f t="shared" si="26"/>
        <v>06/08/2016</v>
      </c>
    </row>
    <row r="104" spans="1:27" x14ac:dyDescent="0.3">
      <c r="A104" t="str">
        <f t="shared" si="16"/>
        <v>048314</v>
      </c>
      <c r="B104" t="str">
        <f t="shared" si="21"/>
        <v>004697</v>
      </c>
      <c r="C104" t="s">
        <v>3034</v>
      </c>
      <c r="D104" t="s">
        <v>3839</v>
      </c>
      <c r="E104" t="s">
        <v>3840</v>
      </c>
      <c r="F104" t="s">
        <v>3841</v>
      </c>
      <c r="G104" t="s">
        <v>3842</v>
      </c>
      <c r="H104" t="str">
        <f t="shared" si="25"/>
        <v>048314</v>
      </c>
      <c r="I104" t="s">
        <v>833</v>
      </c>
      <c r="J104" t="str">
        <f t="shared" ref="J104:J109" si="28">"2015-07-01 00:00:00.0"</f>
        <v>2015-07-01 00:00:00.0</v>
      </c>
      <c r="K104" t="s">
        <v>834</v>
      </c>
      <c r="L104" t="s">
        <v>0</v>
      </c>
      <c r="M104" t="str">
        <f t="shared" si="18"/>
        <v>048314</v>
      </c>
      <c r="N104">
        <v>1</v>
      </c>
      <c r="O104">
        <v>1</v>
      </c>
      <c r="P104" t="str">
        <f>"01"</f>
        <v>01</v>
      </c>
      <c r="Q104" t="s">
        <v>835</v>
      </c>
      <c r="S104" t="s">
        <v>836</v>
      </c>
      <c r="T104" t="s">
        <v>836</v>
      </c>
      <c r="U104" t="str">
        <f t="shared" si="23"/>
        <v>2500-12-31 00:00:00.0</v>
      </c>
      <c r="V104" t="s">
        <v>837</v>
      </c>
      <c r="W104" t="str">
        <f t="shared" si="27"/>
        <v>048314-004697-**-**</v>
      </c>
      <c r="X104" t="s">
        <v>838</v>
      </c>
      <c r="Y104">
        <v>1206.25</v>
      </c>
      <c r="Z104">
        <v>1206.25</v>
      </c>
      <c r="AA104" t="str">
        <f t="shared" si="26"/>
        <v>06/08/2016</v>
      </c>
    </row>
    <row r="105" spans="1:27" x14ac:dyDescent="0.3">
      <c r="A105" t="str">
        <f t="shared" si="16"/>
        <v>048314</v>
      </c>
      <c r="B105" t="str">
        <f t="shared" si="21"/>
        <v>004697</v>
      </c>
      <c r="C105" t="s">
        <v>3414</v>
      </c>
      <c r="D105" t="s">
        <v>3839</v>
      </c>
      <c r="E105" t="s">
        <v>3840</v>
      </c>
      <c r="F105" t="s">
        <v>3841</v>
      </c>
      <c r="G105" t="s">
        <v>3842</v>
      </c>
      <c r="H105" t="str">
        <f t="shared" si="25"/>
        <v>048314</v>
      </c>
      <c r="I105" t="s">
        <v>833</v>
      </c>
      <c r="J105" t="str">
        <f t="shared" si="28"/>
        <v>2015-07-01 00:00:00.0</v>
      </c>
      <c r="K105" t="s">
        <v>834</v>
      </c>
      <c r="L105" t="s">
        <v>0</v>
      </c>
      <c r="M105" t="str">
        <f t="shared" si="18"/>
        <v>048314</v>
      </c>
      <c r="N105">
        <v>1</v>
      </c>
      <c r="O105">
        <v>1</v>
      </c>
      <c r="P105" t="str">
        <f>"04"</f>
        <v>04</v>
      </c>
      <c r="Q105" t="s">
        <v>835</v>
      </c>
      <c r="S105" t="s">
        <v>836</v>
      </c>
      <c r="T105" t="s">
        <v>836</v>
      </c>
      <c r="U105" t="str">
        <f t="shared" si="23"/>
        <v>2500-12-31 00:00:00.0</v>
      </c>
      <c r="V105" t="s">
        <v>837</v>
      </c>
      <c r="W105" t="str">
        <f t="shared" si="27"/>
        <v>048314-004697-**-**</v>
      </c>
      <c r="X105" t="s">
        <v>838</v>
      </c>
      <c r="Y105">
        <v>1206.25</v>
      </c>
      <c r="Z105">
        <v>1206.25</v>
      </c>
      <c r="AA105" t="str">
        <f t="shared" si="26"/>
        <v>06/08/2016</v>
      </c>
    </row>
    <row r="106" spans="1:27" x14ac:dyDescent="0.3">
      <c r="A106" t="str">
        <f t="shared" si="16"/>
        <v>048314</v>
      </c>
      <c r="B106" t="str">
        <f t="shared" si="21"/>
        <v>004697</v>
      </c>
      <c r="C106" t="s">
        <v>2833</v>
      </c>
      <c r="D106" t="s">
        <v>3839</v>
      </c>
      <c r="E106" t="s">
        <v>3840</v>
      </c>
      <c r="F106" t="s">
        <v>3841</v>
      </c>
      <c r="G106" t="s">
        <v>3842</v>
      </c>
      <c r="H106" t="str">
        <f t="shared" si="25"/>
        <v>048314</v>
      </c>
      <c r="I106" t="s">
        <v>833</v>
      </c>
      <c r="J106" t="str">
        <f t="shared" si="28"/>
        <v>2015-07-01 00:00:00.0</v>
      </c>
      <c r="K106" t="s">
        <v>834</v>
      </c>
      <c r="L106" t="s">
        <v>0</v>
      </c>
      <c r="M106" t="str">
        <f t="shared" si="18"/>
        <v>048314</v>
      </c>
      <c r="N106">
        <v>1</v>
      </c>
      <c r="O106">
        <v>1</v>
      </c>
      <c r="P106" t="str">
        <f>"05"</f>
        <v>05</v>
      </c>
      <c r="Q106" t="str">
        <f>"10"</f>
        <v>10</v>
      </c>
      <c r="R106" t="str">
        <f>"2"</f>
        <v>2</v>
      </c>
      <c r="S106" t="s">
        <v>860</v>
      </c>
      <c r="T106" t="s">
        <v>836</v>
      </c>
      <c r="U106" t="str">
        <f t="shared" si="23"/>
        <v>2500-12-31 00:00:00.0</v>
      </c>
      <c r="V106" t="s">
        <v>837</v>
      </c>
      <c r="W106" t="str">
        <f>"048314-070417-**-**"</f>
        <v>048314-070417-**-**</v>
      </c>
      <c r="X106" t="s">
        <v>838</v>
      </c>
      <c r="Y106">
        <v>1125</v>
      </c>
      <c r="Z106">
        <v>1125</v>
      </c>
      <c r="AA106" t="str">
        <f t="shared" si="26"/>
        <v>06/08/2016</v>
      </c>
    </row>
    <row r="107" spans="1:27" x14ac:dyDescent="0.3">
      <c r="A107" t="str">
        <f t="shared" si="16"/>
        <v>048314</v>
      </c>
      <c r="B107" t="str">
        <f t="shared" si="21"/>
        <v>004697</v>
      </c>
      <c r="C107" t="s">
        <v>1287</v>
      </c>
      <c r="D107" t="s">
        <v>3839</v>
      </c>
      <c r="E107" t="s">
        <v>3840</v>
      </c>
      <c r="F107" t="s">
        <v>3841</v>
      </c>
      <c r="G107" t="s">
        <v>3842</v>
      </c>
      <c r="H107" t="str">
        <f t="shared" si="25"/>
        <v>048314</v>
      </c>
      <c r="I107" t="s">
        <v>833</v>
      </c>
      <c r="J107" t="str">
        <f t="shared" si="28"/>
        <v>2015-07-01 00:00:00.0</v>
      </c>
      <c r="K107" t="s">
        <v>834</v>
      </c>
      <c r="L107" t="s">
        <v>0</v>
      </c>
      <c r="M107" t="str">
        <f t="shared" si="18"/>
        <v>048314</v>
      </c>
      <c r="N107">
        <v>1</v>
      </c>
      <c r="O107">
        <v>1</v>
      </c>
      <c r="P107" t="str">
        <f>"03"</f>
        <v>03</v>
      </c>
      <c r="Q107" t="s">
        <v>835</v>
      </c>
      <c r="S107" t="s">
        <v>836</v>
      </c>
      <c r="T107" t="s">
        <v>836</v>
      </c>
      <c r="U107" t="str">
        <f t="shared" si="23"/>
        <v>2500-12-31 00:00:00.0</v>
      </c>
      <c r="V107" t="s">
        <v>837</v>
      </c>
      <c r="W107" t="str">
        <f>"048314-004697-**-**"</f>
        <v>048314-004697-**-**</v>
      </c>
      <c r="X107" t="s">
        <v>838</v>
      </c>
      <c r="Y107">
        <v>1206.25</v>
      </c>
      <c r="Z107">
        <v>1206.25</v>
      </c>
      <c r="AA107" t="str">
        <f t="shared" si="26"/>
        <v>06/08/2016</v>
      </c>
    </row>
    <row r="108" spans="1:27" x14ac:dyDescent="0.3">
      <c r="A108" t="str">
        <f t="shared" si="16"/>
        <v>048314</v>
      </c>
      <c r="B108" t="str">
        <f t="shared" si="21"/>
        <v>004697</v>
      </c>
      <c r="C108" t="s">
        <v>1311</v>
      </c>
      <c r="D108" t="s">
        <v>3839</v>
      </c>
      <c r="E108" t="s">
        <v>3840</v>
      </c>
      <c r="F108" t="s">
        <v>3841</v>
      </c>
      <c r="G108" t="s">
        <v>3842</v>
      </c>
      <c r="H108" t="str">
        <f t="shared" si="25"/>
        <v>048314</v>
      </c>
      <c r="I108" t="s">
        <v>833</v>
      </c>
      <c r="J108" t="str">
        <f t="shared" si="28"/>
        <v>2015-07-01 00:00:00.0</v>
      </c>
      <c r="K108" t="s">
        <v>834</v>
      </c>
      <c r="L108" t="s">
        <v>0</v>
      </c>
      <c r="M108" t="str">
        <f t="shared" si="18"/>
        <v>048314</v>
      </c>
      <c r="N108">
        <v>1</v>
      </c>
      <c r="O108">
        <v>1</v>
      </c>
      <c r="P108" t="str">
        <f>"02"</f>
        <v>02</v>
      </c>
      <c r="Q108" t="s">
        <v>835</v>
      </c>
      <c r="S108" t="s">
        <v>836</v>
      </c>
      <c r="T108" t="s">
        <v>836</v>
      </c>
      <c r="U108" t="str">
        <f t="shared" si="23"/>
        <v>2500-12-31 00:00:00.0</v>
      </c>
      <c r="V108" t="s">
        <v>837</v>
      </c>
      <c r="W108" t="str">
        <f>"048314-004697-**-**"</f>
        <v>048314-004697-**-**</v>
      </c>
      <c r="X108" t="s">
        <v>838</v>
      </c>
      <c r="Y108">
        <v>1206.25</v>
      </c>
      <c r="Z108">
        <v>1206.25</v>
      </c>
      <c r="AA108" t="str">
        <f t="shared" si="26"/>
        <v>06/08/2016</v>
      </c>
    </row>
    <row r="109" spans="1:27" x14ac:dyDescent="0.3">
      <c r="A109" t="str">
        <f t="shared" si="16"/>
        <v>048314</v>
      </c>
      <c r="B109" t="str">
        <f t="shared" si="21"/>
        <v>004697</v>
      </c>
      <c r="C109" t="s">
        <v>3406</v>
      </c>
      <c r="D109" t="s">
        <v>3839</v>
      </c>
      <c r="E109" t="s">
        <v>3840</v>
      </c>
      <c r="F109" t="s">
        <v>3841</v>
      </c>
      <c r="G109" t="s">
        <v>3842</v>
      </c>
      <c r="H109" t="str">
        <f t="shared" si="25"/>
        <v>048314</v>
      </c>
      <c r="I109" t="s">
        <v>833</v>
      </c>
      <c r="J109" t="str">
        <f t="shared" si="28"/>
        <v>2015-07-01 00:00:00.0</v>
      </c>
      <c r="K109" t="s">
        <v>834</v>
      </c>
      <c r="L109" t="s">
        <v>0</v>
      </c>
      <c r="M109" t="str">
        <f t="shared" si="18"/>
        <v>048314</v>
      </c>
      <c r="N109">
        <v>1</v>
      </c>
      <c r="O109">
        <v>1</v>
      </c>
      <c r="P109" t="str">
        <f>"05"</f>
        <v>05</v>
      </c>
      <c r="Q109" t="s">
        <v>835</v>
      </c>
      <c r="S109" t="s">
        <v>836</v>
      </c>
      <c r="T109" t="s">
        <v>836</v>
      </c>
      <c r="U109" t="str">
        <f t="shared" si="23"/>
        <v>2500-12-31 00:00:00.0</v>
      </c>
      <c r="V109" t="s">
        <v>837</v>
      </c>
      <c r="W109" t="str">
        <f>"048314-070417-**-**"</f>
        <v>048314-070417-**-**</v>
      </c>
      <c r="X109" t="s">
        <v>838</v>
      </c>
      <c r="Y109">
        <v>1125</v>
      </c>
      <c r="Z109">
        <v>1125</v>
      </c>
      <c r="AA109" t="str">
        <f t="shared" si="26"/>
        <v>06/08/2016</v>
      </c>
    </row>
    <row r="110" spans="1:27" x14ac:dyDescent="0.3">
      <c r="A110" t="str">
        <f t="shared" si="16"/>
        <v>048314</v>
      </c>
      <c r="B110" t="str">
        <f t="shared" si="21"/>
        <v>004697</v>
      </c>
      <c r="C110" t="s">
        <v>1569</v>
      </c>
      <c r="D110" t="s">
        <v>3839</v>
      </c>
      <c r="E110" t="s">
        <v>3840</v>
      </c>
      <c r="F110" t="s">
        <v>3841</v>
      </c>
      <c r="G110" t="s">
        <v>3842</v>
      </c>
      <c r="H110" t="str">
        <f t="shared" si="25"/>
        <v>048314</v>
      </c>
      <c r="I110" t="s">
        <v>833</v>
      </c>
      <c r="J110" t="str">
        <f>"2015-08-01 00:00:00.0"</f>
        <v>2015-08-01 00:00:00.0</v>
      </c>
      <c r="K110" t="s">
        <v>834</v>
      </c>
      <c r="L110" t="s">
        <v>0</v>
      </c>
      <c r="M110" t="str">
        <f t="shared" si="18"/>
        <v>048314</v>
      </c>
      <c r="N110">
        <v>1</v>
      </c>
      <c r="O110">
        <v>1</v>
      </c>
      <c r="P110" t="s">
        <v>764</v>
      </c>
      <c r="Q110" t="s">
        <v>835</v>
      </c>
      <c r="S110" t="s">
        <v>836</v>
      </c>
      <c r="T110" t="s">
        <v>836</v>
      </c>
      <c r="U110" t="str">
        <f t="shared" si="23"/>
        <v>2500-12-31 00:00:00.0</v>
      </c>
      <c r="V110" t="s">
        <v>837</v>
      </c>
      <c r="W110" t="str">
        <f>"048314-004697-**-**"</f>
        <v>048314-004697-**-**</v>
      </c>
      <c r="X110" t="s">
        <v>838</v>
      </c>
      <c r="Y110">
        <v>1206.25</v>
      </c>
      <c r="Z110">
        <v>1206.25</v>
      </c>
      <c r="AA110" t="str">
        <f t="shared" si="26"/>
        <v>06/08/2016</v>
      </c>
    </row>
    <row r="111" spans="1:27" x14ac:dyDescent="0.3">
      <c r="A111" t="str">
        <f t="shared" si="16"/>
        <v>048314</v>
      </c>
      <c r="B111" t="str">
        <f t="shared" si="21"/>
        <v>004697</v>
      </c>
      <c r="C111" t="s">
        <v>3626</v>
      </c>
      <c r="D111" t="s">
        <v>3839</v>
      </c>
      <c r="E111" t="s">
        <v>3840</v>
      </c>
      <c r="F111" t="s">
        <v>3841</v>
      </c>
      <c r="G111" t="s">
        <v>3842</v>
      </c>
      <c r="H111" t="str">
        <f t="shared" si="25"/>
        <v>048314</v>
      </c>
      <c r="I111" t="s">
        <v>833</v>
      </c>
      <c r="J111" t="str">
        <f>"2015-07-01 00:00:00.0"</f>
        <v>2015-07-01 00:00:00.0</v>
      </c>
      <c r="K111" t="s">
        <v>834</v>
      </c>
      <c r="L111" t="s">
        <v>0</v>
      </c>
      <c r="M111" t="str">
        <f t="shared" si="18"/>
        <v>048314</v>
      </c>
      <c r="N111">
        <v>1</v>
      </c>
      <c r="O111">
        <v>1</v>
      </c>
      <c r="P111" t="str">
        <f>"04"</f>
        <v>04</v>
      </c>
      <c r="Q111" t="s">
        <v>835</v>
      </c>
      <c r="S111" t="s">
        <v>836</v>
      </c>
      <c r="T111" t="s">
        <v>836</v>
      </c>
      <c r="U111" t="str">
        <f t="shared" si="23"/>
        <v>2500-12-31 00:00:00.0</v>
      </c>
      <c r="V111" t="s">
        <v>837</v>
      </c>
      <c r="W111" t="str">
        <f>"048314-004697-**-**"</f>
        <v>048314-004697-**-**</v>
      </c>
      <c r="X111" t="s">
        <v>838</v>
      </c>
      <c r="Y111">
        <v>1206.25</v>
      </c>
      <c r="Z111">
        <v>1206.25</v>
      </c>
      <c r="AA111" t="str">
        <f t="shared" si="26"/>
        <v>06/08/2016</v>
      </c>
    </row>
    <row r="112" spans="1:27" x14ac:dyDescent="0.3">
      <c r="A112" t="str">
        <f t="shared" si="16"/>
        <v>048314</v>
      </c>
      <c r="B112" t="str">
        <f t="shared" si="21"/>
        <v>004697</v>
      </c>
      <c r="C112" t="s">
        <v>3060</v>
      </c>
      <c r="D112" t="s">
        <v>3839</v>
      </c>
      <c r="E112" t="s">
        <v>3840</v>
      </c>
      <c r="F112" t="s">
        <v>3841</v>
      </c>
      <c r="G112" t="s">
        <v>3842</v>
      </c>
      <c r="H112" t="str">
        <f t="shared" si="25"/>
        <v>048314</v>
      </c>
      <c r="I112" t="s">
        <v>833</v>
      </c>
      <c r="J112" t="str">
        <f>"2015-08-01 00:00:00.0"</f>
        <v>2015-08-01 00:00:00.0</v>
      </c>
      <c r="K112" t="s">
        <v>834</v>
      </c>
      <c r="L112" t="s">
        <v>0</v>
      </c>
      <c r="M112" t="str">
        <f t="shared" si="18"/>
        <v>048314</v>
      </c>
      <c r="N112">
        <v>1</v>
      </c>
      <c r="O112">
        <v>1</v>
      </c>
      <c r="P112" t="s">
        <v>764</v>
      </c>
      <c r="Q112" t="s">
        <v>835</v>
      </c>
      <c r="S112" t="s">
        <v>836</v>
      </c>
      <c r="T112" t="s">
        <v>836</v>
      </c>
      <c r="U112" t="str">
        <f t="shared" si="23"/>
        <v>2500-12-31 00:00:00.0</v>
      </c>
      <c r="V112" t="s">
        <v>837</v>
      </c>
      <c r="W112" t="str">
        <f>"048314-004697-**-**"</f>
        <v>048314-004697-**-**</v>
      </c>
      <c r="X112" t="s">
        <v>838</v>
      </c>
      <c r="Y112">
        <v>1206.25</v>
      </c>
      <c r="Z112">
        <v>1206.25</v>
      </c>
      <c r="AA112" t="str">
        <f t="shared" si="26"/>
        <v>06/08/2016</v>
      </c>
    </row>
    <row r="113" spans="1:27" x14ac:dyDescent="0.3">
      <c r="A113" t="str">
        <f t="shared" si="16"/>
        <v>048314</v>
      </c>
      <c r="B113" t="str">
        <f t="shared" si="21"/>
        <v>004697</v>
      </c>
      <c r="C113" t="s">
        <v>2835</v>
      </c>
      <c r="D113" t="s">
        <v>3839</v>
      </c>
      <c r="E113" t="s">
        <v>3840</v>
      </c>
      <c r="F113" t="s">
        <v>3841</v>
      </c>
      <c r="G113" t="s">
        <v>3842</v>
      </c>
      <c r="H113" t="str">
        <f t="shared" si="25"/>
        <v>048314</v>
      </c>
      <c r="I113" t="s">
        <v>833</v>
      </c>
      <c r="J113" t="str">
        <f>"2015-07-01 00:00:00.0"</f>
        <v>2015-07-01 00:00:00.0</v>
      </c>
      <c r="K113" t="s">
        <v>834</v>
      </c>
      <c r="L113" t="s">
        <v>0</v>
      </c>
      <c r="M113" t="str">
        <f t="shared" si="18"/>
        <v>048314</v>
      </c>
      <c r="N113">
        <v>1</v>
      </c>
      <c r="O113">
        <v>1</v>
      </c>
      <c r="P113" t="str">
        <f>"05"</f>
        <v>05</v>
      </c>
      <c r="Q113" t="s">
        <v>835</v>
      </c>
      <c r="S113" t="s">
        <v>836</v>
      </c>
      <c r="T113" t="s">
        <v>836</v>
      </c>
      <c r="U113" t="str">
        <f t="shared" si="23"/>
        <v>2500-12-31 00:00:00.0</v>
      </c>
      <c r="V113" t="s">
        <v>837</v>
      </c>
      <c r="W113" t="str">
        <f>"048314-070417-**-**"</f>
        <v>048314-070417-**-**</v>
      </c>
      <c r="X113" t="s">
        <v>838</v>
      </c>
      <c r="Y113">
        <v>1125</v>
      </c>
      <c r="Z113">
        <v>1125</v>
      </c>
      <c r="AA113" t="str">
        <f t="shared" si="26"/>
        <v>06/08/2016</v>
      </c>
    </row>
    <row r="114" spans="1:27" x14ac:dyDescent="0.3">
      <c r="A114" t="str">
        <f t="shared" si="16"/>
        <v>048314</v>
      </c>
      <c r="B114" t="str">
        <f t="shared" si="21"/>
        <v>004697</v>
      </c>
      <c r="C114" t="s">
        <v>1696</v>
      </c>
      <c r="D114" t="s">
        <v>3839</v>
      </c>
      <c r="E114" t="s">
        <v>3840</v>
      </c>
      <c r="F114" t="s">
        <v>3841</v>
      </c>
      <c r="G114" t="s">
        <v>3842</v>
      </c>
      <c r="H114" t="str">
        <f t="shared" si="25"/>
        <v>048314</v>
      </c>
      <c r="I114" t="s">
        <v>833</v>
      </c>
      <c r="J114" t="str">
        <f>"2015-07-01 00:00:00.0"</f>
        <v>2015-07-01 00:00:00.0</v>
      </c>
      <c r="K114" t="s">
        <v>834</v>
      </c>
      <c r="L114" t="s">
        <v>0</v>
      </c>
      <c r="M114" t="str">
        <f t="shared" si="18"/>
        <v>048314</v>
      </c>
      <c r="N114">
        <v>1</v>
      </c>
      <c r="O114">
        <v>1</v>
      </c>
      <c r="P114" t="str">
        <f>"01"</f>
        <v>01</v>
      </c>
      <c r="Q114" t="s">
        <v>835</v>
      </c>
      <c r="S114" t="s">
        <v>836</v>
      </c>
      <c r="T114" t="s">
        <v>836</v>
      </c>
      <c r="U114" t="str">
        <f t="shared" si="23"/>
        <v>2500-12-31 00:00:00.0</v>
      </c>
      <c r="V114" t="s">
        <v>837</v>
      </c>
      <c r="W114" t="str">
        <f>"048314-004697-**-**"</f>
        <v>048314-004697-**-**</v>
      </c>
      <c r="X114" t="s">
        <v>838</v>
      </c>
      <c r="Y114">
        <v>1206.25</v>
      </c>
      <c r="Z114">
        <v>1206.25</v>
      </c>
      <c r="AA114" t="str">
        <f t="shared" si="26"/>
        <v>06/08/2016</v>
      </c>
    </row>
    <row r="115" spans="1:27" x14ac:dyDescent="0.3">
      <c r="A115" t="str">
        <f t="shared" si="16"/>
        <v>048314</v>
      </c>
      <c r="B115" t="str">
        <f t="shared" si="21"/>
        <v>004697</v>
      </c>
      <c r="C115" t="s">
        <v>2957</v>
      </c>
      <c r="D115" t="s">
        <v>3839</v>
      </c>
      <c r="E115" t="s">
        <v>3840</v>
      </c>
      <c r="F115" t="s">
        <v>3841</v>
      </c>
      <c r="G115" t="s">
        <v>3842</v>
      </c>
      <c r="H115" t="str">
        <f t="shared" si="25"/>
        <v>048314</v>
      </c>
      <c r="I115" t="s">
        <v>833</v>
      </c>
      <c r="J115" t="str">
        <f>"2015-07-01 00:00:00.0"</f>
        <v>2015-07-01 00:00:00.0</v>
      </c>
      <c r="K115" t="s">
        <v>834</v>
      </c>
      <c r="L115" t="s">
        <v>0</v>
      </c>
      <c r="M115" t="str">
        <f t="shared" si="18"/>
        <v>048314</v>
      </c>
      <c r="N115">
        <v>1</v>
      </c>
      <c r="O115">
        <v>1</v>
      </c>
      <c r="P115" t="str">
        <f>"02"</f>
        <v>02</v>
      </c>
      <c r="Q115" t="s">
        <v>835</v>
      </c>
      <c r="S115" t="s">
        <v>836</v>
      </c>
      <c r="T115" t="s">
        <v>836</v>
      </c>
      <c r="U115" t="str">
        <f t="shared" si="23"/>
        <v>2500-12-31 00:00:00.0</v>
      </c>
      <c r="V115" t="s">
        <v>837</v>
      </c>
      <c r="W115" t="str">
        <f>"048314-004697-**-**"</f>
        <v>048314-004697-**-**</v>
      </c>
      <c r="X115" t="s">
        <v>838</v>
      </c>
      <c r="Y115">
        <v>1206.25</v>
      </c>
      <c r="Z115">
        <v>1206.25</v>
      </c>
      <c r="AA115" t="str">
        <f t="shared" si="26"/>
        <v>06/08/2016</v>
      </c>
    </row>
    <row r="116" spans="1:27" x14ac:dyDescent="0.3">
      <c r="A116" t="str">
        <f t="shared" si="16"/>
        <v>048314</v>
      </c>
      <c r="B116" t="str">
        <f t="shared" si="21"/>
        <v>004697</v>
      </c>
      <c r="C116" t="s">
        <v>2568</v>
      </c>
      <c r="D116" t="s">
        <v>3839</v>
      </c>
      <c r="E116" t="s">
        <v>3840</v>
      </c>
      <c r="F116" t="s">
        <v>3841</v>
      </c>
      <c r="G116" t="s">
        <v>3842</v>
      </c>
      <c r="H116" t="str">
        <f>"048280"</f>
        <v>048280</v>
      </c>
      <c r="I116" t="s">
        <v>833</v>
      </c>
      <c r="J116" t="str">
        <f>"2015-07-01 00:00:00.0"</f>
        <v>2015-07-01 00:00:00.0</v>
      </c>
      <c r="K116" t="s">
        <v>834</v>
      </c>
      <c r="L116" t="s">
        <v>142</v>
      </c>
      <c r="M116" t="str">
        <f t="shared" si="18"/>
        <v>048314</v>
      </c>
      <c r="N116">
        <v>1</v>
      </c>
      <c r="O116">
        <v>1</v>
      </c>
      <c r="P116" t="s">
        <v>841</v>
      </c>
      <c r="Q116" t="str">
        <f>"05"</f>
        <v>05</v>
      </c>
      <c r="R116" t="str">
        <f>"1"</f>
        <v>1</v>
      </c>
      <c r="S116" t="s">
        <v>836</v>
      </c>
      <c r="T116" t="s">
        <v>836</v>
      </c>
      <c r="U116" t="str">
        <f t="shared" si="23"/>
        <v>2500-12-31 00:00:00.0</v>
      </c>
      <c r="V116" t="s">
        <v>837</v>
      </c>
      <c r="W116" t="str">
        <f>"048280-048280-PS-IC"</f>
        <v>048280-048280-PS-IC</v>
      </c>
      <c r="X116" t="s">
        <v>838</v>
      </c>
      <c r="Y116">
        <v>39</v>
      </c>
      <c r="Z116">
        <v>39</v>
      </c>
      <c r="AA116" t="str">
        <f>"06/15/2016"</f>
        <v>06/15/2016</v>
      </c>
    </row>
    <row r="117" spans="1:27" x14ac:dyDescent="0.3">
      <c r="A117" t="str">
        <f t="shared" si="16"/>
        <v>048314</v>
      </c>
      <c r="B117" t="str">
        <f t="shared" si="21"/>
        <v>004697</v>
      </c>
      <c r="C117" t="s">
        <v>3115</v>
      </c>
      <c r="D117" t="s">
        <v>3839</v>
      </c>
      <c r="E117" t="s">
        <v>3840</v>
      </c>
      <c r="F117" t="s">
        <v>3841</v>
      </c>
      <c r="G117" t="s">
        <v>3842</v>
      </c>
      <c r="H117" t="str">
        <f t="shared" ref="H117:H132" si="29">"048314"</f>
        <v>048314</v>
      </c>
      <c r="I117" t="s">
        <v>833</v>
      </c>
      <c r="J117" t="str">
        <f>"2015-07-01 00:00:00.0"</f>
        <v>2015-07-01 00:00:00.0</v>
      </c>
      <c r="K117" t="s">
        <v>834</v>
      </c>
      <c r="L117" t="s">
        <v>0</v>
      </c>
      <c r="M117" t="str">
        <f t="shared" si="18"/>
        <v>048314</v>
      </c>
      <c r="N117">
        <v>1</v>
      </c>
      <c r="O117">
        <v>1</v>
      </c>
      <c r="P117" t="str">
        <f>"05"</f>
        <v>05</v>
      </c>
      <c r="Q117" t="s">
        <v>835</v>
      </c>
      <c r="S117" t="s">
        <v>836</v>
      </c>
      <c r="T117" t="s">
        <v>836</v>
      </c>
      <c r="U117" t="str">
        <f t="shared" si="23"/>
        <v>2500-12-31 00:00:00.0</v>
      </c>
      <c r="V117" t="s">
        <v>837</v>
      </c>
      <c r="W117" t="str">
        <f>"048314-070417-**-**"</f>
        <v>048314-070417-**-**</v>
      </c>
      <c r="X117" t="s">
        <v>838</v>
      </c>
      <c r="Y117">
        <v>1125</v>
      </c>
      <c r="Z117">
        <v>1125</v>
      </c>
      <c r="AA117" t="str">
        <f t="shared" ref="AA117:AA132" si="30">"06/08/2016"</f>
        <v>06/08/2016</v>
      </c>
    </row>
    <row r="118" spans="1:27" x14ac:dyDescent="0.3">
      <c r="A118" t="str">
        <f t="shared" si="16"/>
        <v>048314</v>
      </c>
      <c r="B118" t="str">
        <f t="shared" si="21"/>
        <v>004697</v>
      </c>
      <c r="C118" t="s">
        <v>2316</v>
      </c>
      <c r="D118" t="s">
        <v>3839</v>
      </c>
      <c r="E118" t="s">
        <v>3840</v>
      </c>
      <c r="F118" t="s">
        <v>3841</v>
      </c>
      <c r="G118" t="s">
        <v>3842</v>
      </c>
      <c r="H118" t="str">
        <f t="shared" si="29"/>
        <v>048314</v>
      </c>
      <c r="I118" t="s">
        <v>833</v>
      </c>
      <c r="J118" t="str">
        <f>"2015-08-01 00:00:00.0"</f>
        <v>2015-08-01 00:00:00.0</v>
      </c>
      <c r="K118" t="s">
        <v>834</v>
      </c>
      <c r="L118" t="s">
        <v>0</v>
      </c>
      <c r="M118" t="str">
        <f t="shared" si="18"/>
        <v>048314</v>
      </c>
      <c r="N118">
        <v>1</v>
      </c>
      <c r="O118">
        <v>1</v>
      </c>
      <c r="P118" t="s">
        <v>764</v>
      </c>
      <c r="Q118" t="s">
        <v>835</v>
      </c>
      <c r="S118" t="s">
        <v>836</v>
      </c>
      <c r="T118" t="s">
        <v>836</v>
      </c>
      <c r="U118" t="str">
        <f t="shared" si="23"/>
        <v>2500-12-31 00:00:00.0</v>
      </c>
      <c r="V118" t="s">
        <v>837</v>
      </c>
      <c r="W118" t="str">
        <f>"048314-004697-**-**"</f>
        <v>048314-004697-**-**</v>
      </c>
      <c r="X118" t="s">
        <v>838</v>
      </c>
      <c r="Y118">
        <v>1206.25</v>
      </c>
      <c r="Z118">
        <v>1206.25</v>
      </c>
      <c r="AA118" t="str">
        <f t="shared" si="30"/>
        <v>06/08/2016</v>
      </c>
    </row>
    <row r="119" spans="1:27" x14ac:dyDescent="0.3">
      <c r="A119" t="str">
        <f t="shared" si="16"/>
        <v>048314</v>
      </c>
      <c r="B119" t="str">
        <f t="shared" si="21"/>
        <v>004697</v>
      </c>
      <c r="C119" t="s">
        <v>3064</v>
      </c>
      <c r="D119" t="s">
        <v>3839</v>
      </c>
      <c r="E119" t="s">
        <v>3840</v>
      </c>
      <c r="F119" t="s">
        <v>3841</v>
      </c>
      <c r="G119" t="s">
        <v>3842</v>
      </c>
      <c r="H119" t="str">
        <f t="shared" si="29"/>
        <v>048314</v>
      </c>
      <c r="I119" t="s">
        <v>833</v>
      </c>
      <c r="J119" t="str">
        <f>"2015-08-01 00:00:00.0"</f>
        <v>2015-08-01 00:00:00.0</v>
      </c>
      <c r="K119" t="s">
        <v>834</v>
      </c>
      <c r="L119" t="s">
        <v>0</v>
      </c>
      <c r="M119" t="str">
        <f t="shared" si="18"/>
        <v>048314</v>
      </c>
      <c r="N119">
        <v>1</v>
      </c>
      <c r="O119">
        <v>1</v>
      </c>
      <c r="P119" t="s">
        <v>764</v>
      </c>
      <c r="Q119" t="s">
        <v>835</v>
      </c>
      <c r="S119" t="s">
        <v>836</v>
      </c>
      <c r="T119" t="s">
        <v>836</v>
      </c>
      <c r="U119" t="str">
        <f t="shared" si="23"/>
        <v>2500-12-31 00:00:00.0</v>
      </c>
      <c r="V119" t="s">
        <v>837</v>
      </c>
      <c r="W119" t="str">
        <f>"048314-004697-**-**"</f>
        <v>048314-004697-**-**</v>
      </c>
      <c r="X119" t="s">
        <v>838</v>
      </c>
      <c r="Y119">
        <v>1206.25</v>
      </c>
      <c r="Z119">
        <v>1206.25</v>
      </c>
      <c r="AA119" t="str">
        <f t="shared" si="30"/>
        <v>06/08/2016</v>
      </c>
    </row>
    <row r="120" spans="1:27" x14ac:dyDescent="0.3">
      <c r="A120" t="str">
        <f t="shared" si="16"/>
        <v>048314</v>
      </c>
      <c r="B120" t="str">
        <f t="shared" si="21"/>
        <v>004697</v>
      </c>
      <c r="C120" t="s">
        <v>3061</v>
      </c>
      <c r="D120" t="s">
        <v>3839</v>
      </c>
      <c r="E120" t="s">
        <v>3840</v>
      </c>
      <c r="F120" t="s">
        <v>3841</v>
      </c>
      <c r="G120" t="s">
        <v>3842</v>
      </c>
      <c r="H120" t="str">
        <f t="shared" si="29"/>
        <v>048314</v>
      </c>
      <c r="I120" t="s">
        <v>833</v>
      </c>
      <c r="J120" t="str">
        <f>"2015-08-01 00:00:00.0"</f>
        <v>2015-08-01 00:00:00.0</v>
      </c>
      <c r="K120" t="s">
        <v>834</v>
      </c>
      <c r="L120" t="s">
        <v>0</v>
      </c>
      <c r="M120" t="str">
        <f t="shared" si="18"/>
        <v>048314</v>
      </c>
      <c r="N120">
        <v>1</v>
      </c>
      <c r="O120">
        <v>1</v>
      </c>
      <c r="P120" t="s">
        <v>764</v>
      </c>
      <c r="Q120" t="s">
        <v>835</v>
      </c>
      <c r="S120" t="s">
        <v>836</v>
      </c>
      <c r="T120" t="s">
        <v>836</v>
      </c>
      <c r="U120" t="str">
        <f t="shared" si="23"/>
        <v>2500-12-31 00:00:00.0</v>
      </c>
      <c r="V120" t="s">
        <v>837</v>
      </c>
      <c r="W120" t="str">
        <f>"048314-004697-**-**"</f>
        <v>048314-004697-**-**</v>
      </c>
      <c r="X120" t="s">
        <v>838</v>
      </c>
      <c r="Y120">
        <v>1206.25</v>
      </c>
      <c r="Z120">
        <v>1206.25</v>
      </c>
      <c r="AA120" t="str">
        <f t="shared" si="30"/>
        <v>06/08/2016</v>
      </c>
    </row>
    <row r="121" spans="1:27" x14ac:dyDescent="0.3">
      <c r="A121" t="str">
        <f t="shared" si="16"/>
        <v>048314</v>
      </c>
      <c r="B121" t="str">
        <f t="shared" si="21"/>
        <v>004697</v>
      </c>
      <c r="C121" t="s">
        <v>3062</v>
      </c>
      <c r="D121" t="s">
        <v>3839</v>
      </c>
      <c r="E121" t="s">
        <v>3840</v>
      </c>
      <c r="F121" t="s">
        <v>3841</v>
      </c>
      <c r="G121" t="s">
        <v>3842</v>
      </c>
      <c r="H121" t="str">
        <f t="shared" si="29"/>
        <v>048314</v>
      </c>
      <c r="I121" t="s">
        <v>833</v>
      </c>
      <c r="J121" t="str">
        <f>"2015-08-01 00:00:00.0"</f>
        <v>2015-08-01 00:00:00.0</v>
      </c>
      <c r="K121" t="s">
        <v>834</v>
      </c>
      <c r="L121" t="s">
        <v>0</v>
      </c>
      <c r="M121" t="str">
        <f t="shared" si="18"/>
        <v>048314</v>
      </c>
      <c r="N121">
        <v>1</v>
      </c>
      <c r="O121">
        <v>1</v>
      </c>
      <c r="P121" t="s">
        <v>764</v>
      </c>
      <c r="Q121" t="s">
        <v>835</v>
      </c>
      <c r="S121" t="s">
        <v>836</v>
      </c>
      <c r="T121" t="s">
        <v>836</v>
      </c>
      <c r="U121" t="str">
        <f t="shared" si="23"/>
        <v>2500-12-31 00:00:00.0</v>
      </c>
      <c r="V121" t="s">
        <v>837</v>
      </c>
      <c r="W121" t="str">
        <f>"048314-004697-**-**"</f>
        <v>048314-004697-**-**</v>
      </c>
      <c r="X121" t="s">
        <v>838</v>
      </c>
      <c r="Y121">
        <v>1206.25</v>
      </c>
      <c r="Z121">
        <v>1206.25</v>
      </c>
      <c r="AA121" t="str">
        <f t="shared" si="30"/>
        <v>06/08/2016</v>
      </c>
    </row>
    <row r="122" spans="1:27" x14ac:dyDescent="0.3">
      <c r="A122" t="str">
        <f t="shared" si="16"/>
        <v>048314</v>
      </c>
      <c r="B122" t="str">
        <f t="shared" si="21"/>
        <v>004697</v>
      </c>
      <c r="C122" t="s">
        <v>3231</v>
      </c>
      <c r="D122" t="s">
        <v>3839</v>
      </c>
      <c r="E122" t="s">
        <v>3840</v>
      </c>
      <c r="F122" t="s">
        <v>3841</v>
      </c>
      <c r="G122" t="s">
        <v>3842</v>
      </c>
      <c r="H122" t="str">
        <f t="shared" si="29"/>
        <v>048314</v>
      </c>
      <c r="I122" t="s">
        <v>833</v>
      </c>
      <c r="J122" t="str">
        <f>"2015-07-01 00:00:00.0"</f>
        <v>2015-07-01 00:00:00.0</v>
      </c>
      <c r="K122" t="s">
        <v>834</v>
      </c>
      <c r="L122" t="s">
        <v>0</v>
      </c>
      <c r="M122" t="str">
        <f t="shared" si="18"/>
        <v>048314</v>
      </c>
      <c r="N122">
        <v>1</v>
      </c>
      <c r="O122">
        <v>1</v>
      </c>
      <c r="P122" t="str">
        <f>"05"</f>
        <v>05</v>
      </c>
      <c r="Q122" t="s">
        <v>835</v>
      </c>
      <c r="S122" t="s">
        <v>836</v>
      </c>
      <c r="T122" t="s">
        <v>836</v>
      </c>
      <c r="U122" t="str">
        <f t="shared" si="23"/>
        <v>2500-12-31 00:00:00.0</v>
      </c>
      <c r="V122" t="s">
        <v>837</v>
      </c>
      <c r="W122" t="str">
        <f>"048314-070417-**-**"</f>
        <v>048314-070417-**-**</v>
      </c>
      <c r="X122" t="s">
        <v>838</v>
      </c>
      <c r="Y122">
        <v>1125</v>
      </c>
      <c r="Z122">
        <v>1125</v>
      </c>
      <c r="AA122" t="str">
        <f t="shared" si="30"/>
        <v>06/08/2016</v>
      </c>
    </row>
    <row r="123" spans="1:27" x14ac:dyDescent="0.3">
      <c r="A123" t="str">
        <f t="shared" si="16"/>
        <v>048314</v>
      </c>
      <c r="B123" t="str">
        <f t="shared" si="21"/>
        <v>004697</v>
      </c>
      <c r="C123" t="s">
        <v>1100</v>
      </c>
      <c r="D123" t="s">
        <v>3839</v>
      </c>
      <c r="E123" t="s">
        <v>3840</v>
      </c>
      <c r="F123" t="s">
        <v>3841</v>
      </c>
      <c r="G123" t="s">
        <v>3842</v>
      </c>
      <c r="H123" t="str">
        <f t="shared" si="29"/>
        <v>048314</v>
      </c>
      <c r="I123" t="s">
        <v>833</v>
      </c>
      <c r="J123" t="str">
        <f>"2015-07-01 00:00:00.0"</f>
        <v>2015-07-01 00:00:00.0</v>
      </c>
      <c r="K123" t="s">
        <v>834</v>
      </c>
      <c r="L123" t="s">
        <v>0</v>
      </c>
      <c r="M123" t="str">
        <f t="shared" si="18"/>
        <v>048314</v>
      </c>
      <c r="N123">
        <v>1</v>
      </c>
      <c r="O123">
        <v>1</v>
      </c>
      <c r="P123" t="str">
        <f>"01"</f>
        <v>01</v>
      </c>
      <c r="Q123" t="s">
        <v>835</v>
      </c>
      <c r="S123" t="s">
        <v>836</v>
      </c>
      <c r="T123" t="s">
        <v>836</v>
      </c>
      <c r="U123" t="str">
        <f t="shared" si="23"/>
        <v>2500-12-31 00:00:00.0</v>
      </c>
      <c r="V123" t="s">
        <v>837</v>
      </c>
      <c r="W123" t="str">
        <f t="shared" ref="W123:W132" si="31">"048314-004697-**-**"</f>
        <v>048314-004697-**-**</v>
      </c>
      <c r="X123" t="s">
        <v>838</v>
      </c>
      <c r="Y123">
        <v>1206.25</v>
      </c>
      <c r="Z123">
        <v>1206.25</v>
      </c>
      <c r="AA123" t="str">
        <f t="shared" si="30"/>
        <v>06/08/2016</v>
      </c>
    </row>
    <row r="124" spans="1:27" x14ac:dyDescent="0.3">
      <c r="A124" t="str">
        <f t="shared" si="16"/>
        <v>048314</v>
      </c>
      <c r="B124" t="str">
        <f t="shared" si="21"/>
        <v>004697</v>
      </c>
      <c r="C124" t="s">
        <v>983</v>
      </c>
      <c r="D124" t="s">
        <v>3839</v>
      </c>
      <c r="E124" t="s">
        <v>3840</v>
      </c>
      <c r="F124" t="s">
        <v>3841</v>
      </c>
      <c r="G124" t="s">
        <v>3842</v>
      </c>
      <c r="H124" t="str">
        <f t="shared" si="29"/>
        <v>048314</v>
      </c>
      <c r="I124" t="s">
        <v>833</v>
      </c>
      <c r="J124" t="str">
        <f>"2015-08-01 00:00:00.0"</f>
        <v>2015-08-01 00:00:00.0</v>
      </c>
      <c r="K124" t="s">
        <v>834</v>
      </c>
      <c r="L124" t="s">
        <v>0</v>
      </c>
      <c r="M124" t="str">
        <f t="shared" si="18"/>
        <v>048314</v>
      </c>
      <c r="N124">
        <v>1</v>
      </c>
      <c r="O124">
        <v>1</v>
      </c>
      <c r="P124" t="s">
        <v>764</v>
      </c>
      <c r="Q124" t="s">
        <v>835</v>
      </c>
      <c r="S124" t="s">
        <v>836</v>
      </c>
      <c r="T124" t="s">
        <v>836</v>
      </c>
      <c r="U124" t="str">
        <f t="shared" si="23"/>
        <v>2500-12-31 00:00:00.0</v>
      </c>
      <c r="V124" t="s">
        <v>837</v>
      </c>
      <c r="W124" t="str">
        <f t="shared" si="31"/>
        <v>048314-004697-**-**</v>
      </c>
      <c r="X124" t="s">
        <v>838</v>
      </c>
      <c r="Y124">
        <v>1206.25</v>
      </c>
      <c r="Z124">
        <v>1206.25</v>
      </c>
      <c r="AA124" t="str">
        <f t="shared" si="30"/>
        <v>06/08/2016</v>
      </c>
    </row>
    <row r="125" spans="1:27" x14ac:dyDescent="0.3">
      <c r="A125" t="str">
        <f t="shared" si="16"/>
        <v>048314</v>
      </c>
      <c r="B125" t="str">
        <f t="shared" si="21"/>
        <v>004697</v>
      </c>
      <c r="C125" t="s">
        <v>3304</v>
      </c>
      <c r="D125" t="s">
        <v>3839</v>
      </c>
      <c r="E125" t="s">
        <v>3840</v>
      </c>
      <c r="F125" t="s">
        <v>3841</v>
      </c>
      <c r="G125" t="s">
        <v>3842</v>
      </c>
      <c r="H125" t="str">
        <f t="shared" si="29"/>
        <v>048314</v>
      </c>
      <c r="I125" t="s">
        <v>833</v>
      </c>
      <c r="J125" t="str">
        <f>"2015-07-01 00:00:00.0"</f>
        <v>2015-07-01 00:00:00.0</v>
      </c>
      <c r="K125" t="s">
        <v>834</v>
      </c>
      <c r="L125" t="s">
        <v>0</v>
      </c>
      <c r="M125" t="str">
        <f t="shared" si="18"/>
        <v>048314</v>
      </c>
      <c r="N125">
        <v>1</v>
      </c>
      <c r="O125">
        <v>1</v>
      </c>
      <c r="P125" t="str">
        <f>"04"</f>
        <v>04</v>
      </c>
      <c r="Q125" t="s">
        <v>835</v>
      </c>
      <c r="S125" t="s">
        <v>836</v>
      </c>
      <c r="T125" t="s">
        <v>836</v>
      </c>
      <c r="U125" t="str">
        <f t="shared" si="23"/>
        <v>2500-12-31 00:00:00.0</v>
      </c>
      <c r="V125" t="s">
        <v>837</v>
      </c>
      <c r="W125" t="str">
        <f t="shared" si="31"/>
        <v>048314-004697-**-**</v>
      </c>
      <c r="X125" t="s">
        <v>838</v>
      </c>
      <c r="Y125">
        <v>1206.25</v>
      </c>
      <c r="Z125">
        <v>1206.25</v>
      </c>
      <c r="AA125" t="str">
        <f t="shared" si="30"/>
        <v>06/08/2016</v>
      </c>
    </row>
    <row r="126" spans="1:27" x14ac:dyDescent="0.3">
      <c r="A126" t="str">
        <f t="shared" si="16"/>
        <v>048314</v>
      </c>
      <c r="B126" t="str">
        <f t="shared" si="21"/>
        <v>004697</v>
      </c>
      <c r="C126" t="s">
        <v>895</v>
      </c>
      <c r="D126" t="s">
        <v>3839</v>
      </c>
      <c r="E126" t="s">
        <v>3840</v>
      </c>
      <c r="F126" t="s">
        <v>3841</v>
      </c>
      <c r="G126" t="s">
        <v>3842</v>
      </c>
      <c r="H126" t="str">
        <f t="shared" si="29"/>
        <v>048314</v>
      </c>
      <c r="I126" t="s">
        <v>833</v>
      </c>
      <c r="J126" t="str">
        <f>"2015-07-01 00:00:00.0"</f>
        <v>2015-07-01 00:00:00.0</v>
      </c>
      <c r="K126" t="s">
        <v>834</v>
      </c>
      <c r="L126" t="s">
        <v>0</v>
      </c>
      <c r="M126" t="str">
        <f t="shared" si="18"/>
        <v>048314</v>
      </c>
      <c r="N126">
        <v>1</v>
      </c>
      <c r="O126">
        <v>1</v>
      </c>
      <c r="P126" t="str">
        <f>"02"</f>
        <v>02</v>
      </c>
      <c r="Q126" t="s">
        <v>835</v>
      </c>
      <c r="S126" t="s">
        <v>836</v>
      </c>
      <c r="T126" t="s">
        <v>836</v>
      </c>
      <c r="U126" t="str">
        <f t="shared" si="23"/>
        <v>2500-12-31 00:00:00.0</v>
      </c>
      <c r="V126" t="s">
        <v>837</v>
      </c>
      <c r="W126" t="str">
        <f t="shared" si="31"/>
        <v>048314-004697-**-**</v>
      </c>
      <c r="X126" t="s">
        <v>838</v>
      </c>
      <c r="Y126">
        <v>1206.25</v>
      </c>
      <c r="Z126">
        <v>1206.25</v>
      </c>
      <c r="AA126" t="str">
        <f t="shared" si="30"/>
        <v>06/08/2016</v>
      </c>
    </row>
    <row r="127" spans="1:27" x14ac:dyDescent="0.3">
      <c r="A127" t="str">
        <f t="shared" si="16"/>
        <v>048314</v>
      </c>
      <c r="B127" t="str">
        <f t="shared" si="21"/>
        <v>004697</v>
      </c>
      <c r="C127" t="s">
        <v>3200</v>
      </c>
      <c r="D127" t="s">
        <v>3839</v>
      </c>
      <c r="E127" t="s">
        <v>3840</v>
      </c>
      <c r="F127" t="s">
        <v>3841</v>
      </c>
      <c r="G127" t="s">
        <v>3842</v>
      </c>
      <c r="H127" t="str">
        <f t="shared" si="29"/>
        <v>048314</v>
      </c>
      <c r="I127" t="s">
        <v>833</v>
      </c>
      <c r="J127" t="str">
        <f>"2015-07-01 00:00:00.0"</f>
        <v>2015-07-01 00:00:00.0</v>
      </c>
      <c r="K127" t="s">
        <v>834</v>
      </c>
      <c r="L127" t="s">
        <v>0</v>
      </c>
      <c r="M127" t="str">
        <f t="shared" si="18"/>
        <v>048314</v>
      </c>
      <c r="N127">
        <v>1</v>
      </c>
      <c r="O127">
        <v>1</v>
      </c>
      <c r="P127" t="str">
        <f>"02"</f>
        <v>02</v>
      </c>
      <c r="Q127" t="s">
        <v>835</v>
      </c>
      <c r="S127" t="s">
        <v>836</v>
      </c>
      <c r="T127" t="s">
        <v>836</v>
      </c>
      <c r="U127" t="str">
        <f t="shared" si="23"/>
        <v>2500-12-31 00:00:00.0</v>
      </c>
      <c r="V127" t="s">
        <v>837</v>
      </c>
      <c r="W127" t="str">
        <f t="shared" si="31"/>
        <v>048314-004697-**-**</v>
      </c>
      <c r="X127" t="s">
        <v>838</v>
      </c>
      <c r="Y127">
        <v>1206.25</v>
      </c>
      <c r="Z127">
        <v>1206.25</v>
      </c>
      <c r="AA127" t="str">
        <f t="shared" si="30"/>
        <v>06/08/2016</v>
      </c>
    </row>
    <row r="128" spans="1:27" x14ac:dyDescent="0.3">
      <c r="A128" t="str">
        <f t="shared" si="16"/>
        <v>048314</v>
      </c>
      <c r="B128" t="str">
        <f t="shared" si="21"/>
        <v>004697</v>
      </c>
      <c r="C128" t="s">
        <v>3457</v>
      </c>
      <c r="D128" t="s">
        <v>3839</v>
      </c>
      <c r="E128" t="s">
        <v>3840</v>
      </c>
      <c r="F128" t="s">
        <v>3841</v>
      </c>
      <c r="G128" t="s">
        <v>3842</v>
      </c>
      <c r="H128" t="str">
        <f t="shared" si="29"/>
        <v>048314</v>
      </c>
      <c r="I128" t="s">
        <v>833</v>
      </c>
      <c r="J128" t="str">
        <f>"2015-07-01 00:00:00.0"</f>
        <v>2015-07-01 00:00:00.0</v>
      </c>
      <c r="K128" t="s">
        <v>834</v>
      </c>
      <c r="L128" t="s">
        <v>0</v>
      </c>
      <c r="M128" t="str">
        <f t="shared" si="18"/>
        <v>048314</v>
      </c>
      <c r="N128">
        <v>1</v>
      </c>
      <c r="O128">
        <v>1</v>
      </c>
      <c r="P128" t="str">
        <f>"03"</f>
        <v>03</v>
      </c>
      <c r="Q128" t="s">
        <v>835</v>
      </c>
      <c r="S128" t="s">
        <v>860</v>
      </c>
      <c r="T128" t="s">
        <v>836</v>
      </c>
      <c r="U128" t="str">
        <f t="shared" si="23"/>
        <v>2500-12-31 00:00:00.0</v>
      </c>
      <c r="V128" t="s">
        <v>837</v>
      </c>
      <c r="W128" t="str">
        <f t="shared" si="31"/>
        <v>048314-004697-**-**</v>
      </c>
      <c r="X128" t="s">
        <v>838</v>
      </c>
      <c r="Y128">
        <v>1206.25</v>
      </c>
      <c r="Z128">
        <v>1206.25</v>
      </c>
      <c r="AA128" t="str">
        <f t="shared" si="30"/>
        <v>06/08/2016</v>
      </c>
    </row>
    <row r="129" spans="1:27" x14ac:dyDescent="0.3">
      <c r="A129" t="str">
        <f t="shared" si="16"/>
        <v>048314</v>
      </c>
      <c r="B129" t="str">
        <f t="shared" si="21"/>
        <v>004697</v>
      </c>
      <c r="C129" t="s">
        <v>2771</v>
      </c>
      <c r="D129" t="s">
        <v>3839</v>
      </c>
      <c r="E129" t="s">
        <v>3840</v>
      </c>
      <c r="F129" t="s">
        <v>3841</v>
      </c>
      <c r="G129" t="s">
        <v>3842</v>
      </c>
      <c r="H129" t="str">
        <f t="shared" si="29"/>
        <v>048314</v>
      </c>
      <c r="I129" t="s">
        <v>833</v>
      </c>
      <c r="J129" t="str">
        <f>"2015-07-01 00:00:00.0"</f>
        <v>2015-07-01 00:00:00.0</v>
      </c>
      <c r="K129" t="s">
        <v>834</v>
      </c>
      <c r="L129" t="s">
        <v>0</v>
      </c>
      <c r="M129" t="str">
        <f t="shared" si="18"/>
        <v>048314</v>
      </c>
      <c r="N129">
        <v>1</v>
      </c>
      <c r="O129">
        <v>1</v>
      </c>
      <c r="P129" t="str">
        <f>"04"</f>
        <v>04</v>
      </c>
      <c r="Q129" t="s">
        <v>835</v>
      </c>
      <c r="S129" t="s">
        <v>836</v>
      </c>
      <c r="T129" t="s">
        <v>836</v>
      </c>
      <c r="U129" t="str">
        <f t="shared" si="23"/>
        <v>2500-12-31 00:00:00.0</v>
      </c>
      <c r="V129" t="s">
        <v>837</v>
      </c>
      <c r="W129" t="str">
        <f t="shared" si="31"/>
        <v>048314-004697-**-**</v>
      </c>
      <c r="X129" t="s">
        <v>838</v>
      </c>
      <c r="Y129">
        <v>1206.25</v>
      </c>
      <c r="Z129">
        <v>1206.25</v>
      </c>
      <c r="AA129" t="str">
        <f t="shared" si="30"/>
        <v>06/08/2016</v>
      </c>
    </row>
    <row r="130" spans="1:27" x14ac:dyDescent="0.3">
      <c r="A130" t="str">
        <f t="shared" ref="A130:A193" si="32">"048314"</f>
        <v>048314</v>
      </c>
      <c r="B130" t="str">
        <f t="shared" si="21"/>
        <v>004697</v>
      </c>
      <c r="C130" t="s">
        <v>1009</v>
      </c>
      <c r="D130" t="s">
        <v>3839</v>
      </c>
      <c r="E130" t="s">
        <v>3840</v>
      </c>
      <c r="F130" t="s">
        <v>3841</v>
      </c>
      <c r="G130" t="s">
        <v>3842</v>
      </c>
      <c r="H130" t="str">
        <f t="shared" si="29"/>
        <v>048314</v>
      </c>
      <c r="I130" t="s">
        <v>833</v>
      </c>
      <c r="J130" t="str">
        <f>"2015-08-01 00:00:00.0"</f>
        <v>2015-08-01 00:00:00.0</v>
      </c>
      <c r="K130" t="s">
        <v>834</v>
      </c>
      <c r="L130" t="s">
        <v>0</v>
      </c>
      <c r="M130" t="str">
        <f t="shared" ref="M130:M193" si="33">"048314"</f>
        <v>048314</v>
      </c>
      <c r="N130">
        <v>1</v>
      </c>
      <c r="O130">
        <v>1</v>
      </c>
      <c r="P130" t="str">
        <f>"02"</f>
        <v>02</v>
      </c>
      <c r="Q130" t="s">
        <v>835</v>
      </c>
      <c r="S130" t="s">
        <v>836</v>
      </c>
      <c r="T130" t="s">
        <v>836</v>
      </c>
      <c r="U130" t="str">
        <f t="shared" si="23"/>
        <v>2500-12-31 00:00:00.0</v>
      </c>
      <c r="V130" t="s">
        <v>837</v>
      </c>
      <c r="W130" t="str">
        <f t="shared" si="31"/>
        <v>048314-004697-**-**</v>
      </c>
      <c r="X130" t="s">
        <v>838</v>
      </c>
      <c r="Y130">
        <v>1206.25</v>
      </c>
      <c r="Z130">
        <v>1206.25</v>
      </c>
      <c r="AA130" t="str">
        <f t="shared" si="30"/>
        <v>06/08/2016</v>
      </c>
    </row>
    <row r="131" spans="1:27" x14ac:dyDescent="0.3">
      <c r="A131" t="str">
        <f t="shared" si="32"/>
        <v>048314</v>
      </c>
      <c r="B131" t="str">
        <f t="shared" si="21"/>
        <v>004697</v>
      </c>
      <c r="C131" t="s">
        <v>3251</v>
      </c>
      <c r="D131" t="s">
        <v>3839</v>
      </c>
      <c r="E131" t="s">
        <v>3840</v>
      </c>
      <c r="F131" t="s">
        <v>3841</v>
      </c>
      <c r="G131" t="s">
        <v>3842</v>
      </c>
      <c r="H131" t="str">
        <f t="shared" si="29"/>
        <v>048314</v>
      </c>
      <c r="I131" t="s">
        <v>833</v>
      </c>
      <c r="J131" t="str">
        <f>"2016-02-11 00:00:00.0"</f>
        <v>2016-02-11 00:00:00.0</v>
      </c>
      <c r="K131" t="s">
        <v>834</v>
      </c>
      <c r="L131" t="s">
        <v>0</v>
      </c>
      <c r="M131" t="str">
        <f t="shared" si="33"/>
        <v>048314</v>
      </c>
      <c r="N131">
        <v>0.41968899999999998</v>
      </c>
      <c r="O131">
        <v>0.41968899999999998</v>
      </c>
      <c r="P131" t="str">
        <f>"04"</f>
        <v>04</v>
      </c>
      <c r="Q131" t="str">
        <f>"10"</f>
        <v>10</v>
      </c>
      <c r="R131" t="str">
        <f>"2"</f>
        <v>2</v>
      </c>
      <c r="S131" t="s">
        <v>836</v>
      </c>
      <c r="T131" t="s">
        <v>836</v>
      </c>
      <c r="U131" t="str">
        <f t="shared" si="23"/>
        <v>2500-12-31 00:00:00.0</v>
      </c>
      <c r="V131" t="s">
        <v>837</v>
      </c>
      <c r="W131" t="str">
        <f t="shared" si="31"/>
        <v>048314-004697-**-**</v>
      </c>
      <c r="X131" t="s">
        <v>838</v>
      </c>
      <c r="Y131">
        <v>506.25</v>
      </c>
      <c r="Z131">
        <v>1206.25</v>
      </c>
      <c r="AA131" t="str">
        <f t="shared" si="30"/>
        <v>06/08/2016</v>
      </c>
    </row>
    <row r="132" spans="1:27" x14ac:dyDescent="0.3">
      <c r="A132" t="str">
        <f t="shared" si="32"/>
        <v>048314</v>
      </c>
      <c r="B132" t="str">
        <f t="shared" si="21"/>
        <v>004697</v>
      </c>
      <c r="C132" t="s">
        <v>3251</v>
      </c>
      <c r="D132" t="s">
        <v>3839</v>
      </c>
      <c r="E132" t="s">
        <v>3840</v>
      </c>
      <c r="F132" t="s">
        <v>3841</v>
      </c>
      <c r="G132" t="s">
        <v>3842</v>
      </c>
      <c r="H132" t="str">
        <f t="shared" si="29"/>
        <v>048314</v>
      </c>
      <c r="I132" t="s">
        <v>833</v>
      </c>
      <c r="J132" t="str">
        <f t="shared" ref="J132:J144" si="34">"2015-07-01 00:00:00.0"</f>
        <v>2015-07-01 00:00:00.0</v>
      </c>
      <c r="K132" t="s">
        <v>834</v>
      </c>
      <c r="L132" t="s">
        <v>0</v>
      </c>
      <c r="M132" t="str">
        <f t="shared" si="33"/>
        <v>048314</v>
      </c>
      <c r="N132">
        <v>0.58031100000000002</v>
      </c>
      <c r="O132">
        <v>0.58031100000000002</v>
      </c>
      <c r="P132" t="str">
        <f>"04"</f>
        <v>04</v>
      </c>
      <c r="Q132" t="s">
        <v>835</v>
      </c>
      <c r="S132" t="s">
        <v>836</v>
      </c>
      <c r="T132" t="s">
        <v>836</v>
      </c>
      <c r="U132" t="str">
        <f>"2016-02-10 00:00:00.0"</f>
        <v>2016-02-10 00:00:00.0</v>
      </c>
      <c r="V132" t="s">
        <v>837</v>
      </c>
      <c r="W132" t="str">
        <f t="shared" si="31"/>
        <v>048314-004697-**-**</v>
      </c>
      <c r="X132" t="s">
        <v>838</v>
      </c>
      <c r="Y132">
        <v>700</v>
      </c>
      <c r="Z132">
        <v>1206.25</v>
      </c>
      <c r="AA132" t="str">
        <f t="shared" si="30"/>
        <v>06/08/2016</v>
      </c>
    </row>
    <row r="133" spans="1:27" x14ac:dyDescent="0.3">
      <c r="A133" t="str">
        <f t="shared" si="32"/>
        <v>048314</v>
      </c>
      <c r="B133" t="str">
        <f t="shared" si="21"/>
        <v>004697</v>
      </c>
      <c r="C133" t="s">
        <v>1057</v>
      </c>
      <c r="D133" t="s">
        <v>3839</v>
      </c>
      <c r="E133" t="s">
        <v>3840</v>
      </c>
      <c r="F133" t="s">
        <v>3841</v>
      </c>
      <c r="G133" t="s">
        <v>3842</v>
      </c>
      <c r="H133" t="str">
        <f>"048280"</f>
        <v>048280</v>
      </c>
      <c r="I133" t="s">
        <v>833</v>
      </c>
      <c r="J133" t="str">
        <f t="shared" si="34"/>
        <v>2015-07-01 00:00:00.0</v>
      </c>
      <c r="K133" t="s">
        <v>834</v>
      </c>
      <c r="L133" t="s">
        <v>142</v>
      </c>
      <c r="M133" t="str">
        <f t="shared" si="33"/>
        <v>048314</v>
      </c>
      <c r="N133">
        <v>1</v>
      </c>
      <c r="O133">
        <v>1</v>
      </c>
      <c r="P133" t="s">
        <v>841</v>
      </c>
      <c r="Q133" t="str">
        <f>"05"</f>
        <v>05</v>
      </c>
      <c r="R133" t="str">
        <f>"1"</f>
        <v>1</v>
      </c>
      <c r="S133" t="s">
        <v>836</v>
      </c>
      <c r="T133" t="s">
        <v>836</v>
      </c>
      <c r="U133" t="str">
        <f t="shared" ref="U133:U145" si="35">"2500-12-31 00:00:00.0"</f>
        <v>2500-12-31 00:00:00.0</v>
      </c>
      <c r="V133" t="s">
        <v>837</v>
      </c>
      <c r="W133" t="str">
        <f>"048280-048280-PS-IC"</f>
        <v>048280-048280-PS-IC</v>
      </c>
      <c r="X133" t="s">
        <v>838</v>
      </c>
      <c r="Y133">
        <v>39</v>
      </c>
      <c r="Z133">
        <v>39</v>
      </c>
      <c r="AA133" t="str">
        <f>"06/15/2016"</f>
        <v>06/15/2016</v>
      </c>
    </row>
    <row r="134" spans="1:27" x14ac:dyDescent="0.3">
      <c r="A134" t="str">
        <f t="shared" si="32"/>
        <v>048314</v>
      </c>
      <c r="B134" t="str">
        <f t="shared" si="21"/>
        <v>004697</v>
      </c>
      <c r="C134" t="s">
        <v>3633</v>
      </c>
      <c r="D134" t="s">
        <v>3839</v>
      </c>
      <c r="E134" t="s">
        <v>3840</v>
      </c>
      <c r="F134" t="s">
        <v>3841</v>
      </c>
      <c r="G134" t="s">
        <v>3842</v>
      </c>
      <c r="H134" t="str">
        <f>"048314"</f>
        <v>048314</v>
      </c>
      <c r="I134" t="s">
        <v>833</v>
      </c>
      <c r="J134" t="str">
        <f t="shared" si="34"/>
        <v>2015-07-01 00:00:00.0</v>
      </c>
      <c r="K134" t="s">
        <v>834</v>
      </c>
      <c r="L134" t="s">
        <v>0</v>
      </c>
      <c r="M134" t="str">
        <f t="shared" si="33"/>
        <v>048314</v>
      </c>
      <c r="N134">
        <v>1</v>
      </c>
      <c r="O134">
        <v>1</v>
      </c>
      <c r="P134" t="str">
        <f>"03"</f>
        <v>03</v>
      </c>
      <c r="Q134" t="s">
        <v>835</v>
      </c>
      <c r="S134" t="s">
        <v>836</v>
      </c>
      <c r="T134" t="s">
        <v>836</v>
      </c>
      <c r="U134" t="str">
        <f t="shared" si="35"/>
        <v>2500-12-31 00:00:00.0</v>
      </c>
      <c r="V134" t="s">
        <v>837</v>
      </c>
      <c r="W134" t="str">
        <f>"048314-004697-**-**"</f>
        <v>048314-004697-**-**</v>
      </c>
      <c r="X134" t="s">
        <v>838</v>
      </c>
      <c r="Y134">
        <v>1206.25</v>
      </c>
      <c r="Z134">
        <v>1206.25</v>
      </c>
      <c r="AA134" t="str">
        <f t="shared" ref="AA134:AA144" si="36">"06/08/2016"</f>
        <v>06/08/2016</v>
      </c>
    </row>
    <row r="135" spans="1:27" x14ac:dyDescent="0.3">
      <c r="A135" t="str">
        <f t="shared" si="32"/>
        <v>048314</v>
      </c>
      <c r="B135" t="str">
        <f t="shared" si="21"/>
        <v>004697</v>
      </c>
      <c r="C135" t="s">
        <v>2583</v>
      </c>
      <c r="D135" t="s">
        <v>3839</v>
      </c>
      <c r="E135" t="s">
        <v>3840</v>
      </c>
      <c r="F135" t="s">
        <v>3841</v>
      </c>
      <c r="G135" t="s">
        <v>3842</v>
      </c>
      <c r="H135" t="str">
        <f>"048314"</f>
        <v>048314</v>
      </c>
      <c r="I135" t="s">
        <v>833</v>
      </c>
      <c r="J135" t="str">
        <f t="shared" si="34"/>
        <v>2015-07-01 00:00:00.0</v>
      </c>
      <c r="K135" t="s">
        <v>834</v>
      </c>
      <c r="L135" t="s">
        <v>0</v>
      </c>
      <c r="M135" t="str">
        <f t="shared" si="33"/>
        <v>048314</v>
      </c>
      <c r="N135">
        <v>1</v>
      </c>
      <c r="O135">
        <v>1</v>
      </c>
      <c r="P135" t="str">
        <f>"02"</f>
        <v>02</v>
      </c>
      <c r="Q135" t="s">
        <v>835</v>
      </c>
      <c r="S135" t="s">
        <v>836</v>
      </c>
      <c r="T135" t="s">
        <v>836</v>
      </c>
      <c r="U135" t="str">
        <f t="shared" si="35"/>
        <v>2500-12-31 00:00:00.0</v>
      </c>
      <c r="V135" t="s">
        <v>837</v>
      </c>
      <c r="W135" t="str">
        <f>"048314-004697-**-**"</f>
        <v>048314-004697-**-**</v>
      </c>
      <c r="X135" t="s">
        <v>838</v>
      </c>
      <c r="Y135">
        <v>1206.25</v>
      </c>
      <c r="Z135">
        <v>1206.25</v>
      </c>
      <c r="AA135" t="str">
        <f t="shared" si="36"/>
        <v>06/08/2016</v>
      </c>
    </row>
    <row r="136" spans="1:27" x14ac:dyDescent="0.3">
      <c r="A136" t="str">
        <f t="shared" si="32"/>
        <v>048314</v>
      </c>
      <c r="B136" t="str">
        <f t="shared" si="21"/>
        <v>004697</v>
      </c>
      <c r="C136" t="s">
        <v>3614</v>
      </c>
      <c r="D136" t="s">
        <v>3839</v>
      </c>
      <c r="E136" t="s">
        <v>3840</v>
      </c>
      <c r="F136" t="s">
        <v>3841</v>
      </c>
      <c r="G136" t="s">
        <v>3842</v>
      </c>
      <c r="H136" t="str">
        <f>"048314"</f>
        <v>048314</v>
      </c>
      <c r="I136" t="s">
        <v>833</v>
      </c>
      <c r="J136" t="str">
        <f t="shared" si="34"/>
        <v>2015-07-01 00:00:00.0</v>
      </c>
      <c r="K136" t="s">
        <v>834</v>
      </c>
      <c r="L136" t="s">
        <v>0</v>
      </c>
      <c r="M136" t="str">
        <f t="shared" si="33"/>
        <v>048314</v>
      </c>
      <c r="N136">
        <v>1</v>
      </c>
      <c r="O136">
        <v>1</v>
      </c>
      <c r="P136" t="str">
        <f>"03"</f>
        <v>03</v>
      </c>
      <c r="Q136" t="s">
        <v>835</v>
      </c>
      <c r="S136" t="s">
        <v>836</v>
      </c>
      <c r="T136" t="s">
        <v>836</v>
      </c>
      <c r="U136" t="str">
        <f t="shared" si="35"/>
        <v>2500-12-31 00:00:00.0</v>
      </c>
      <c r="V136" t="s">
        <v>837</v>
      </c>
      <c r="W136" t="str">
        <f>"048314-004697-**-**"</f>
        <v>048314-004697-**-**</v>
      </c>
      <c r="X136" t="s">
        <v>838</v>
      </c>
      <c r="Y136">
        <v>1206.25</v>
      </c>
      <c r="Z136">
        <v>1206.25</v>
      </c>
      <c r="AA136" t="str">
        <f t="shared" si="36"/>
        <v>06/08/2016</v>
      </c>
    </row>
    <row r="137" spans="1:27" x14ac:dyDescent="0.3">
      <c r="A137" t="str">
        <f t="shared" si="32"/>
        <v>048314</v>
      </c>
      <c r="B137" t="str">
        <f t="shared" si="21"/>
        <v>004697</v>
      </c>
      <c r="C137" t="s">
        <v>984</v>
      </c>
      <c r="D137" t="s">
        <v>3839</v>
      </c>
      <c r="E137" t="s">
        <v>3840</v>
      </c>
      <c r="F137" t="s">
        <v>3841</v>
      </c>
      <c r="G137" t="s">
        <v>3842</v>
      </c>
      <c r="H137" t="str">
        <f>"048397"</f>
        <v>048397</v>
      </c>
      <c r="I137" t="s">
        <v>833</v>
      </c>
      <c r="J137" t="str">
        <f t="shared" si="34"/>
        <v>2015-07-01 00:00:00.0</v>
      </c>
      <c r="K137" t="s">
        <v>834</v>
      </c>
      <c r="L137" t="s">
        <v>1</v>
      </c>
      <c r="M137" t="str">
        <f t="shared" si="33"/>
        <v>048314</v>
      </c>
      <c r="N137">
        <v>1</v>
      </c>
      <c r="O137">
        <v>1</v>
      </c>
      <c r="P137" t="str">
        <f>"01"</f>
        <v>01</v>
      </c>
      <c r="Q137" t="str">
        <f>"05"</f>
        <v>05</v>
      </c>
      <c r="R137" t="str">
        <f>"1"</f>
        <v>1</v>
      </c>
      <c r="S137" t="s">
        <v>836</v>
      </c>
      <c r="T137" t="s">
        <v>836</v>
      </c>
      <c r="U137" t="str">
        <f t="shared" si="35"/>
        <v>2500-12-31 00:00:00.0</v>
      </c>
      <c r="V137" t="s">
        <v>837</v>
      </c>
      <c r="W137" t="str">
        <f>"048397-010298-**-**"</f>
        <v>048397-010298-**-**</v>
      </c>
      <c r="X137" t="s">
        <v>838</v>
      </c>
      <c r="Y137">
        <v>1113.0999999999999</v>
      </c>
      <c r="Z137">
        <v>1113.0999999999999</v>
      </c>
      <c r="AA137" t="str">
        <f t="shared" si="36"/>
        <v>06/08/2016</v>
      </c>
    </row>
    <row r="138" spans="1:27" x14ac:dyDescent="0.3">
      <c r="A138" t="str">
        <f t="shared" si="32"/>
        <v>048314</v>
      </c>
      <c r="B138" t="str">
        <f t="shared" si="21"/>
        <v>004697</v>
      </c>
      <c r="C138" t="s">
        <v>2980</v>
      </c>
      <c r="D138" t="s">
        <v>3839</v>
      </c>
      <c r="E138" t="s">
        <v>3840</v>
      </c>
      <c r="F138" t="s">
        <v>3841</v>
      </c>
      <c r="G138" t="s">
        <v>3842</v>
      </c>
      <c r="H138" t="str">
        <f t="shared" ref="H138:H144" si="37">"048314"</f>
        <v>048314</v>
      </c>
      <c r="I138" t="s">
        <v>833</v>
      </c>
      <c r="J138" t="str">
        <f t="shared" si="34"/>
        <v>2015-07-01 00:00:00.0</v>
      </c>
      <c r="K138" t="s">
        <v>834</v>
      </c>
      <c r="L138" t="s">
        <v>0</v>
      </c>
      <c r="M138" t="str">
        <f t="shared" si="33"/>
        <v>048314</v>
      </c>
      <c r="N138">
        <v>1</v>
      </c>
      <c r="O138">
        <v>1</v>
      </c>
      <c r="P138" t="str">
        <f>"02"</f>
        <v>02</v>
      </c>
      <c r="Q138" t="s">
        <v>835</v>
      </c>
      <c r="S138" t="s">
        <v>860</v>
      </c>
      <c r="T138" t="s">
        <v>836</v>
      </c>
      <c r="U138" t="str">
        <f t="shared" si="35"/>
        <v>2500-12-31 00:00:00.0</v>
      </c>
      <c r="V138" t="s">
        <v>837</v>
      </c>
      <c r="W138" t="str">
        <f>"048314-004697-**-**"</f>
        <v>048314-004697-**-**</v>
      </c>
      <c r="X138" t="s">
        <v>838</v>
      </c>
      <c r="Y138">
        <v>1206.25</v>
      </c>
      <c r="Z138">
        <v>1206.25</v>
      </c>
      <c r="AA138" t="str">
        <f t="shared" si="36"/>
        <v>06/08/2016</v>
      </c>
    </row>
    <row r="139" spans="1:27" x14ac:dyDescent="0.3">
      <c r="A139" t="str">
        <f t="shared" si="32"/>
        <v>048314</v>
      </c>
      <c r="B139" t="str">
        <f t="shared" si="21"/>
        <v>004697</v>
      </c>
      <c r="C139" t="s">
        <v>2840</v>
      </c>
      <c r="D139" t="s">
        <v>3839</v>
      </c>
      <c r="E139" t="s">
        <v>3840</v>
      </c>
      <c r="F139" t="s">
        <v>3841</v>
      </c>
      <c r="G139" t="s">
        <v>3842</v>
      </c>
      <c r="H139" t="str">
        <f t="shared" si="37"/>
        <v>048314</v>
      </c>
      <c r="I139" t="s">
        <v>833</v>
      </c>
      <c r="J139" t="str">
        <f t="shared" si="34"/>
        <v>2015-07-01 00:00:00.0</v>
      </c>
      <c r="K139" t="s">
        <v>834</v>
      </c>
      <c r="L139" t="s">
        <v>0</v>
      </c>
      <c r="M139" t="str">
        <f t="shared" si="33"/>
        <v>048314</v>
      </c>
      <c r="N139">
        <v>1</v>
      </c>
      <c r="O139">
        <v>1</v>
      </c>
      <c r="P139" t="str">
        <f>"05"</f>
        <v>05</v>
      </c>
      <c r="Q139" t="s">
        <v>835</v>
      </c>
      <c r="S139" t="s">
        <v>860</v>
      </c>
      <c r="T139" t="s">
        <v>836</v>
      </c>
      <c r="U139" t="str">
        <f t="shared" si="35"/>
        <v>2500-12-31 00:00:00.0</v>
      </c>
      <c r="V139" t="s">
        <v>837</v>
      </c>
      <c r="W139" t="str">
        <f>"048314-070417-**-**"</f>
        <v>048314-070417-**-**</v>
      </c>
      <c r="X139" t="s">
        <v>838</v>
      </c>
      <c r="Y139">
        <v>1125</v>
      </c>
      <c r="Z139">
        <v>1125</v>
      </c>
      <c r="AA139" t="str">
        <f t="shared" si="36"/>
        <v>06/08/2016</v>
      </c>
    </row>
    <row r="140" spans="1:27" x14ac:dyDescent="0.3">
      <c r="A140" t="str">
        <f t="shared" si="32"/>
        <v>048314</v>
      </c>
      <c r="B140" t="str">
        <f t="shared" si="21"/>
        <v>004697</v>
      </c>
      <c r="C140" t="s">
        <v>3713</v>
      </c>
      <c r="D140" t="s">
        <v>3839</v>
      </c>
      <c r="E140" t="s">
        <v>3840</v>
      </c>
      <c r="F140" t="s">
        <v>3841</v>
      </c>
      <c r="G140" t="s">
        <v>3842</v>
      </c>
      <c r="H140" t="str">
        <f t="shared" si="37"/>
        <v>048314</v>
      </c>
      <c r="I140" t="s">
        <v>833</v>
      </c>
      <c r="J140" t="str">
        <f t="shared" si="34"/>
        <v>2015-07-01 00:00:00.0</v>
      </c>
      <c r="K140" t="s">
        <v>834</v>
      </c>
      <c r="L140" t="s">
        <v>0</v>
      </c>
      <c r="M140" t="str">
        <f t="shared" si="33"/>
        <v>048314</v>
      </c>
      <c r="N140">
        <v>1</v>
      </c>
      <c r="O140">
        <v>1</v>
      </c>
      <c r="P140" t="s">
        <v>764</v>
      </c>
      <c r="Q140" t="s">
        <v>835</v>
      </c>
      <c r="S140" t="s">
        <v>860</v>
      </c>
      <c r="T140" t="s">
        <v>836</v>
      </c>
      <c r="U140" t="str">
        <f t="shared" si="35"/>
        <v>2500-12-31 00:00:00.0</v>
      </c>
      <c r="V140" t="s">
        <v>837</v>
      </c>
      <c r="W140" t="str">
        <f>"048314-004697-**-**"</f>
        <v>048314-004697-**-**</v>
      </c>
      <c r="X140" t="s">
        <v>838</v>
      </c>
      <c r="Y140">
        <v>1206.25</v>
      </c>
      <c r="Z140">
        <v>1206.25</v>
      </c>
      <c r="AA140" t="str">
        <f t="shared" si="36"/>
        <v>06/08/2016</v>
      </c>
    </row>
    <row r="141" spans="1:27" x14ac:dyDescent="0.3">
      <c r="A141" t="str">
        <f t="shared" si="32"/>
        <v>048314</v>
      </c>
      <c r="B141" t="str">
        <f t="shared" si="21"/>
        <v>004697</v>
      </c>
      <c r="C141" t="s">
        <v>3455</v>
      </c>
      <c r="D141" t="s">
        <v>3839</v>
      </c>
      <c r="E141" t="s">
        <v>3840</v>
      </c>
      <c r="F141" t="s">
        <v>3841</v>
      </c>
      <c r="G141" t="s">
        <v>3842</v>
      </c>
      <c r="H141" t="str">
        <f t="shared" si="37"/>
        <v>048314</v>
      </c>
      <c r="I141" t="s">
        <v>833</v>
      </c>
      <c r="J141" t="str">
        <f t="shared" si="34"/>
        <v>2015-07-01 00:00:00.0</v>
      </c>
      <c r="K141" t="s">
        <v>834</v>
      </c>
      <c r="L141" t="s">
        <v>0</v>
      </c>
      <c r="M141" t="str">
        <f t="shared" si="33"/>
        <v>048314</v>
      </c>
      <c r="N141">
        <v>1</v>
      </c>
      <c r="O141">
        <v>1</v>
      </c>
      <c r="P141" t="str">
        <f>"05"</f>
        <v>05</v>
      </c>
      <c r="Q141" t="s">
        <v>835</v>
      </c>
      <c r="S141" t="s">
        <v>836</v>
      </c>
      <c r="T141" t="s">
        <v>836</v>
      </c>
      <c r="U141" t="str">
        <f t="shared" si="35"/>
        <v>2500-12-31 00:00:00.0</v>
      </c>
      <c r="V141" t="s">
        <v>837</v>
      </c>
      <c r="W141" t="str">
        <f>"048314-070417-**-**"</f>
        <v>048314-070417-**-**</v>
      </c>
      <c r="X141" t="s">
        <v>838</v>
      </c>
      <c r="Y141">
        <v>1125</v>
      </c>
      <c r="Z141">
        <v>1125</v>
      </c>
      <c r="AA141" t="str">
        <f t="shared" si="36"/>
        <v>06/08/2016</v>
      </c>
    </row>
    <row r="142" spans="1:27" x14ac:dyDescent="0.3">
      <c r="A142" t="str">
        <f t="shared" si="32"/>
        <v>048314</v>
      </c>
      <c r="B142" t="str">
        <f t="shared" si="21"/>
        <v>004697</v>
      </c>
      <c r="C142" t="s">
        <v>3623</v>
      </c>
      <c r="D142" t="s">
        <v>3839</v>
      </c>
      <c r="E142" t="s">
        <v>3840</v>
      </c>
      <c r="F142" t="s">
        <v>3841</v>
      </c>
      <c r="G142" t="s">
        <v>3842</v>
      </c>
      <c r="H142" t="str">
        <f t="shared" si="37"/>
        <v>048314</v>
      </c>
      <c r="I142" t="s">
        <v>833</v>
      </c>
      <c r="J142" t="str">
        <f t="shared" si="34"/>
        <v>2015-07-01 00:00:00.0</v>
      </c>
      <c r="K142" t="s">
        <v>834</v>
      </c>
      <c r="L142" t="s">
        <v>0</v>
      </c>
      <c r="M142" t="str">
        <f t="shared" si="33"/>
        <v>048314</v>
      </c>
      <c r="N142">
        <v>1</v>
      </c>
      <c r="O142">
        <v>1</v>
      </c>
      <c r="P142" t="str">
        <f>"03"</f>
        <v>03</v>
      </c>
      <c r="Q142" t="s">
        <v>835</v>
      </c>
      <c r="S142" t="s">
        <v>836</v>
      </c>
      <c r="T142" t="s">
        <v>836</v>
      </c>
      <c r="U142" t="str">
        <f t="shared" si="35"/>
        <v>2500-12-31 00:00:00.0</v>
      </c>
      <c r="V142" t="s">
        <v>837</v>
      </c>
      <c r="W142" t="str">
        <f>"048314-004697-**-**"</f>
        <v>048314-004697-**-**</v>
      </c>
      <c r="X142" t="s">
        <v>838</v>
      </c>
      <c r="Y142">
        <v>1206.25</v>
      </c>
      <c r="Z142">
        <v>1206.25</v>
      </c>
      <c r="AA142" t="str">
        <f t="shared" si="36"/>
        <v>06/08/2016</v>
      </c>
    </row>
    <row r="143" spans="1:27" x14ac:dyDescent="0.3">
      <c r="A143" t="str">
        <f t="shared" si="32"/>
        <v>048314</v>
      </c>
      <c r="B143" t="str">
        <f t="shared" si="21"/>
        <v>004697</v>
      </c>
      <c r="C143" t="s">
        <v>967</v>
      </c>
      <c r="D143" t="s">
        <v>3839</v>
      </c>
      <c r="E143" t="s">
        <v>3840</v>
      </c>
      <c r="F143" t="s">
        <v>3841</v>
      </c>
      <c r="G143" t="s">
        <v>3842</v>
      </c>
      <c r="H143" t="str">
        <f t="shared" si="37"/>
        <v>048314</v>
      </c>
      <c r="I143" t="s">
        <v>833</v>
      </c>
      <c r="J143" t="str">
        <f t="shared" si="34"/>
        <v>2015-07-01 00:00:00.0</v>
      </c>
      <c r="K143" t="s">
        <v>834</v>
      </c>
      <c r="L143" t="s">
        <v>0</v>
      </c>
      <c r="M143" t="str">
        <f t="shared" si="33"/>
        <v>048314</v>
      </c>
      <c r="N143">
        <v>1</v>
      </c>
      <c r="O143">
        <v>1</v>
      </c>
      <c r="P143" t="str">
        <f>"01"</f>
        <v>01</v>
      </c>
      <c r="Q143" t="s">
        <v>835</v>
      </c>
      <c r="S143" t="s">
        <v>836</v>
      </c>
      <c r="T143" t="s">
        <v>836</v>
      </c>
      <c r="U143" t="str">
        <f t="shared" si="35"/>
        <v>2500-12-31 00:00:00.0</v>
      </c>
      <c r="V143" t="s">
        <v>837</v>
      </c>
      <c r="W143" t="str">
        <f>"048314-004697-**-**"</f>
        <v>048314-004697-**-**</v>
      </c>
      <c r="X143" t="s">
        <v>838</v>
      </c>
      <c r="Y143">
        <v>1206.25</v>
      </c>
      <c r="Z143">
        <v>1206.25</v>
      </c>
      <c r="AA143" t="str">
        <f t="shared" si="36"/>
        <v>06/08/2016</v>
      </c>
    </row>
    <row r="144" spans="1:27" x14ac:dyDescent="0.3">
      <c r="A144" t="str">
        <f t="shared" si="32"/>
        <v>048314</v>
      </c>
      <c r="B144" t="str">
        <f t="shared" si="21"/>
        <v>004697</v>
      </c>
      <c r="C144" t="s">
        <v>2800</v>
      </c>
      <c r="D144" t="s">
        <v>3839</v>
      </c>
      <c r="E144" t="s">
        <v>3840</v>
      </c>
      <c r="F144" t="s">
        <v>3841</v>
      </c>
      <c r="G144" t="s">
        <v>3842</v>
      </c>
      <c r="H144" t="str">
        <f t="shared" si="37"/>
        <v>048314</v>
      </c>
      <c r="I144" t="s">
        <v>833</v>
      </c>
      <c r="J144" t="str">
        <f t="shared" si="34"/>
        <v>2015-07-01 00:00:00.0</v>
      </c>
      <c r="K144" t="s">
        <v>834</v>
      </c>
      <c r="L144" t="s">
        <v>0</v>
      </c>
      <c r="M144" t="str">
        <f t="shared" si="33"/>
        <v>048314</v>
      </c>
      <c r="N144">
        <v>1</v>
      </c>
      <c r="O144">
        <v>1</v>
      </c>
      <c r="P144" t="str">
        <f>"05"</f>
        <v>05</v>
      </c>
      <c r="Q144" t="s">
        <v>835</v>
      </c>
      <c r="S144" t="s">
        <v>836</v>
      </c>
      <c r="T144" t="s">
        <v>836</v>
      </c>
      <c r="U144" t="str">
        <f t="shared" si="35"/>
        <v>2500-12-31 00:00:00.0</v>
      </c>
      <c r="V144" t="s">
        <v>837</v>
      </c>
      <c r="W144" t="str">
        <f>"048314-070417-**-**"</f>
        <v>048314-070417-**-**</v>
      </c>
      <c r="X144" t="s">
        <v>838</v>
      </c>
      <c r="Y144">
        <v>1125</v>
      </c>
      <c r="Z144">
        <v>1125</v>
      </c>
      <c r="AA144" t="str">
        <f t="shared" si="36"/>
        <v>06/08/2016</v>
      </c>
    </row>
    <row r="145" spans="1:27" x14ac:dyDescent="0.3">
      <c r="A145" t="str">
        <f t="shared" si="32"/>
        <v>048314</v>
      </c>
      <c r="B145" t="str">
        <f t="shared" si="21"/>
        <v>004697</v>
      </c>
      <c r="C145" t="s">
        <v>3175</v>
      </c>
      <c r="D145" t="s">
        <v>3839</v>
      </c>
      <c r="E145" t="s">
        <v>3840</v>
      </c>
      <c r="F145" t="s">
        <v>3841</v>
      </c>
      <c r="G145" t="s">
        <v>3842</v>
      </c>
      <c r="H145" t="str">
        <f>"048280"</f>
        <v>048280</v>
      </c>
      <c r="I145" t="s">
        <v>833</v>
      </c>
      <c r="J145" t="str">
        <f>"2016-01-05 00:00:00.0"</f>
        <v>2016-01-05 00:00:00.0</v>
      </c>
      <c r="K145" t="s">
        <v>834</v>
      </c>
      <c r="L145" t="s">
        <v>142</v>
      </c>
      <c r="M145" t="str">
        <f t="shared" si="33"/>
        <v>048314</v>
      </c>
      <c r="N145">
        <v>0.56462599999999996</v>
      </c>
      <c r="O145">
        <v>0.56462599999999996</v>
      </c>
      <c r="P145" t="s">
        <v>841</v>
      </c>
      <c r="Q145" t="str">
        <f>"16"</f>
        <v>16</v>
      </c>
      <c r="R145" t="str">
        <f>"2"</f>
        <v>2</v>
      </c>
      <c r="S145" t="s">
        <v>836</v>
      </c>
      <c r="T145" t="s">
        <v>836</v>
      </c>
      <c r="U145" t="str">
        <f t="shared" si="35"/>
        <v>2500-12-31 00:00:00.0</v>
      </c>
      <c r="V145" t="s">
        <v>837</v>
      </c>
      <c r="W145" t="str">
        <f>"048280-048280-PS-FF"</f>
        <v>048280-048280-PS-FF</v>
      </c>
      <c r="X145" t="s">
        <v>838</v>
      </c>
      <c r="Y145">
        <v>83</v>
      </c>
      <c r="Z145">
        <v>147</v>
      </c>
      <c r="AA145" t="str">
        <f>"06/15/2016"</f>
        <v>06/15/2016</v>
      </c>
    </row>
    <row r="146" spans="1:27" x14ac:dyDescent="0.3">
      <c r="A146" t="str">
        <f t="shared" si="32"/>
        <v>048314</v>
      </c>
      <c r="B146" t="str">
        <f t="shared" si="21"/>
        <v>004697</v>
      </c>
      <c r="C146" t="s">
        <v>3175</v>
      </c>
      <c r="D146" t="s">
        <v>3839</v>
      </c>
      <c r="E146" t="s">
        <v>3840</v>
      </c>
      <c r="F146" t="s">
        <v>3841</v>
      </c>
      <c r="G146" t="s">
        <v>3842</v>
      </c>
      <c r="H146" t="str">
        <f>"048280"</f>
        <v>048280</v>
      </c>
      <c r="I146" t="s">
        <v>833</v>
      </c>
      <c r="J146" t="str">
        <f t="shared" ref="J146:J156" si="38">"2015-07-01 00:00:00.0"</f>
        <v>2015-07-01 00:00:00.0</v>
      </c>
      <c r="K146" t="s">
        <v>834</v>
      </c>
      <c r="L146" t="s">
        <v>142</v>
      </c>
      <c r="M146" t="str">
        <f t="shared" si="33"/>
        <v>048314</v>
      </c>
      <c r="N146">
        <v>0.37414999999999998</v>
      </c>
      <c r="O146">
        <v>0.37414999999999998</v>
      </c>
      <c r="P146" t="s">
        <v>841</v>
      </c>
      <c r="Q146" t="str">
        <f>"16"</f>
        <v>16</v>
      </c>
      <c r="R146" t="str">
        <f>"2"</f>
        <v>2</v>
      </c>
      <c r="S146" t="s">
        <v>860</v>
      </c>
      <c r="T146" t="s">
        <v>836</v>
      </c>
      <c r="U146" t="str">
        <f>"2015-12-08 00:00:00.0"</f>
        <v>2015-12-08 00:00:00.0</v>
      </c>
      <c r="V146" t="s">
        <v>837</v>
      </c>
      <c r="W146" t="str">
        <f>"048280-048280-PS-FF"</f>
        <v>048280-048280-PS-FF</v>
      </c>
      <c r="X146" t="s">
        <v>838</v>
      </c>
      <c r="Y146">
        <v>55</v>
      </c>
      <c r="Z146">
        <v>147</v>
      </c>
      <c r="AA146" t="str">
        <f>"06/15/2016"</f>
        <v>06/15/2016</v>
      </c>
    </row>
    <row r="147" spans="1:27" x14ac:dyDescent="0.3">
      <c r="A147" t="str">
        <f t="shared" si="32"/>
        <v>048314</v>
      </c>
      <c r="B147" t="str">
        <f t="shared" si="21"/>
        <v>004697</v>
      </c>
      <c r="C147" t="s">
        <v>3280</v>
      </c>
      <c r="D147" t="s">
        <v>3839</v>
      </c>
      <c r="E147" t="s">
        <v>3840</v>
      </c>
      <c r="F147" t="s">
        <v>3841</v>
      </c>
      <c r="G147" t="s">
        <v>3842</v>
      </c>
      <c r="H147" t="str">
        <f t="shared" ref="H147:H190" si="39">"048314"</f>
        <v>048314</v>
      </c>
      <c r="I147" t="s">
        <v>833</v>
      </c>
      <c r="J147" t="str">
        <f t="shared" si="38"/>
        <v>2015-07-01 00:00:00.0</v>
      </c>
      <c r="K147" t="s">
        <v>834</v>
      </c>
      <c r="L147" t="s">
        <v>0</v>
      </c>
      <c r="M147" t="str">
        <f t="shared" si="33"/>
        <v>048314</v>
      </c>
      <c r="N147">
        <v>1</v>
      </c>
      <c r="O147">
        <v>1</v>
      </c>
      <c r="P147" t="str">
        <f>"05"</f>
        <v>05</v>
      </c>
      <c r="Q147" t="s">
        <v>835</v>
      </c>
      <c r="S147" t="s">
        <v>836</v>
      </c>
      <c r="T147" t="s">
        <v>836</v>
      </c>
      <c r="U147" t="str">
        <f t="shared" ref="U147:U155" si="40">"2500-12-31 00:00:00.0"</f>
        <v>2500-12-31 00:00:00.0</v>
      </c>
      <c r="V147" t="s">
        <v>837</v>
      </c>
      <c r="W147" t="str">
        <f>"048314-070417-**-**"</f>
        <v>048314-070417-**-**</v>
      </c>
      <c r="X147" t="s">
        <v>838</v>
      </c>
      <c r="Y147">
        <v>1125</v>
      </c>
      <c r="Z147">
        <v>1125</v>
      </c>
      <c r="AA147" t="str">
        <f t="shared" ref="AA147:AA190" si="41">"06/08/2016"</f>
        <v>06/08/2016</v>
      </c>
    </row>
    <row r="148" spans="1:27" x14ac:dyDescent="0.3">
      <c r="A148" t="str">
        <f t="shared" si="32"/>
        <v>048314</v>
      </c>
      <c r="B148" t="str">
        <f t="shared" ref="B148:B211" si="42">"004697"</f>
        <v>004697</v>
      </c>
      <c r="C148" t="s">
        <v>1698</v>
      </c>
      <c r="D148" t="s">
        <v>3839</v>
      </c>
      <c r="E148" t="s">
        <v>3840</v>
      </c>
      <c r="F148" t="s">
        <v>3841</v>
      </c>
      <c r="G148" t="s">
        <v>3842</v>
      </c>
      <c r="H148" t="str">
        <f t="shared" si="39"/>
        <v>048314</v>
      </c>
      <c r="I148" t="s">
        <v>833</v>
      </c>
      <c r="J148" t="str">
        <f t="shared" si="38"/>
        <v>2015-07-01 00:00:00.0</v>
      </c>
      <c r="K148" t="s">
        <v>834</v>
      </c>
      <c r="L148" t="s">
        <v>0</v>
      </c>
      <c r="M148" t="str">
        <f t="shared" si="33"/>
        <v>048314</v>
      </c>
      <c r="N148">
        <v>1</v>
      </c>
      <c r="O148">
        <v>1</v>
      </c>
      <c r="P148" t="str">
        <f>"01"</f>
        <v>01</v>
      </c>
      <c r="Q148" t="s">
        <v>835</v>
      </c>
      <c r="S148" t="s">
        <v>836</v>
      </c>
      <c r="T148" t="s">
        <v>836</v>
      </c>
      <c r="U148" t="str">
        <f t="shared" si="40"/>
        <v>2500-12-31 00:00:00.0</v>
      </c>
      <c r="V148" t="s">
        <v>837</v>
      </c>
      <c r="W148" t="str">
        <f>"048314-004697-**-**"</f>
        <v>048314-004697-**-**</v>
      </c>
      <c r="X148" t="s">
        <v>838</v>
      </c>
      <c r="Y148">
        <v>1206.25</v>
      </c>
      <c r="Z148">
        <v>1206.25</v>
      </c>
      <c r="AA148" t="str">
        <f t="shared" si="41"/>
        <v>06/08/2016</v>
      </c>
    </row>
    <row r="149" spans="1:27" x14ac:dyDescent="0.3">
      <c r="A149" t="str">
        <f t="shared" si="32"/>
        <v>048314</v>
      </c>
      <c r="B149" t="str">
        <f t="shared" si="42"/>
        <v>004697</v>
      </c>
      <c r="C149" t="s">
        <v>3634</v>
      </c>
      <c r="D149" t="s">
        <v>3839</v>
      </c>
      <c r="E149" t="s">
        <v>3840</v>
      </c>
      <c r="F149" t="s">
        <v>3841</v>
      </c>
      <c r="G149" t="s">
        <v>3842</v>
      </c>
      <c r="H149" t="str">
        <f t="shared" si="39"/>
        <v>048314</v>
      </c>
      <c r="I149" t="s">
        <v>833</v>
      </c>
      <c r="J149" t="str">
        <f t="shared" si="38"/>
        <v>2015-07-01 00:00:00.0</v>
      </c>
      <c r="K149" t="s">
        <v>834</v>
      </c>
      <c r="L149" t="s">
        <v>0</v>
      </c>
      <c r="M149" t="str">
        <f t="shared" si="33"/>
        <v>048314</v>
      </c>
      <c r="N149">
        <v>1</v>
      </c>
      <c r="O149">
        <v>1</v>
      </c>
      <c r="P149" t="str">
        <f>"02"</f>
        <v>02</v>
      </c>
      <c r="Q149" t="s">
        <v>835</v>
      </c>
      <c r="S149" t="s">
        <v>836</v>
      </c>
      <c r="T149" t="s">
        <v>836</v>
      </c>
      <c r="U149" t="str">
        <f t="shared" si="40"/>
        <v>2500-12-31 00:00:00.0</v>
      </c>
      <c r="V149" t="s">
        <v>837</v>
      </c>
      <c r="W149" t="str">
        <f>"048314-004697-**-**"</f>
        <v>048314-004697-**-**</v>
      </c>
      <c r="X149" t="s">
        <v>838</v>
      </c>
      <c r="Y149">
        <v>1206.25</v>
      </c>
      <c r="Z149">
        <v>1206.25</v>
      </c>
      <c r="AA149" t="str">
        <f t="shared" si="41"/>
        <v>06/08/2016</v>
      </c>
    </row>
    <row r="150" spans="1:27" x14ac:dyDescent="0.3">
      <c r="A150" t="str">
        <f t="shared" si="32"/>
        <v>048314</v>
      </c>
      <c r="B150" t="str">
        <f t="shared" si="42"/>
        <v>004697</v>
      </c>
      <c r="C150" t="s">
        <v>3306</v>
      </c>
      <c r="D150" t="s">
        <v>3839</v>
      </c>
      <c r="E150" t="s">
        <v>3840</v>
      </c>
      <c r="F150" t="s">
        <v>3841</v>
      </c>
      <c r="G150" t="s">
        <v>3842</v>
      </c>
      <c r="H150" t="str">
        <f t="shared" si="39"/>
        <v>048314</v>
      </c>
      <c r="I150" t="s">
        <v>833</v>
      </c>
      <c r="J150" t="str">
        <f t="shared" si="38"/>
        <v>2015-07-01 00:00:00.0</v>
      </c>
      <c r="K150" t="s">
        <v>834</v>
      </c>
      <c r="L150" t="s">
        <v>0</v>
      </c>
      <c r="M150" t="str">
        <f t="shared" si="33"/>
        <v>048314</v>
      </c>
      <c r="N150">
        <v>1</v>
      </c>
      <c r="O150">
        <v>1</v>
      </c>
      <c r="P150" t="str">
        <f>"04"</f>
        <v>04</v>
      </c>
      <c r="Q150" t="s">
        <v>835</v>
      </c>
      <c r="S150" t="s">
        <v>836</v>
      </c>
      <c r="T150" t="s">
        <v>836</v>
      </c>
      <c r="U150" t="str">
        <f t="shared" si="40"/>
        <v>2500-12-31 00:00:00.0</v>
      </c>
      <c r="V150" t="s">
        <v>837</v>
      </c>
      <c r="W150" t="str">
        <f>"048314-004697-**-**"</f>
        <v>048314-004697-**-**</v>
      </c>
      <c r="X150" t="s">
        <v>838</v>
      </c>
      <c r="Y150">
        <v>1206.25</v>
      </c>
      <c r="Z150">
        <v>1206.25</v>
      </c>
      <c r="AA150" t="str">
        <f t="shared" si="41"/>
        <v>06/08/2016</v>
      </c>
    </row>
    <row r="151" spans="1:27" x14ac:dyDescent="0.3">
      <c r="A151" t="str">
        <f t="shared" si="32"/>
        <v>048314</v>
      </c>
      <c r="B151" t="str">
        <f t="shared" si="42"/>
        <v>004697</v>
      </c>
      <c r="C151" t="s">
        <v>2845</v>
      </c>
      <c r="D151" t="s">
        <v>3839</v>
      </c>
      <c r="E151" t="s">
        <v>3840</v>
      </c>
      <c r="F151" t="s">
        <v>3841</v>
      </c>
      <c r="G151" t="s">
        <v>3842</v>
      </c>
      <c r="H151" t="str">
        <f t="shared" si="39"/>
        <v>048314</v>
      </c>
      <c r="I151" t="s">
        <v>833</v>
      </c>
      <c r="J151" t="str">
        <f t="shared" si="38"/>
        <v>2015-07-01 00:00:00.0</v>
      </c>
      <c r="K151" t="s">
        <v>834</v>
      </c>
      <c r="L151" t="s">
        <v>0</v>
      </c>
      <c r="M151" t="str">
        <f t="shared" si="33"/>
        <v>048314</v>
      </c>
      <c r="N151">
        <v>1</v>
      </c>
      <c r="O151">
        <v>1</v>
      </c>
      <c r="P151" t="str">
        <f>"05"</f>
        <v>05</v>
      </c>
      <c r="Q151" t="s">
        <v>835</v>
      </c>
      <c r="S151" t="s">
        <v>836</v>
      </c>
      <c r="T151" t="s">
        <v>836</v>
      </c>
      <c r="U151" t="str">
        <f t="shared" si="40"/>
        <v>2500-12-31 00:00:00.0</v>
      </c>
      <c r="V151" t="s">
        <v>837</v>
      </c>
      <c r="W151" t="str">
        <f>"048314-070417-**-**"</f>
        <v>048314-070417-**-**</v>
      </c>
      <c r="X151" t="s">
        <v>838</v>
      </c>
      <c r="Y151">
        <v>1125</v>
      </c>
      <c r="Z151">
        <v>1125</v>
      </c>
      <c r="AA151" t="str">
        <f t="shared" si="41"/>
        <v>06/08/2016</v>
      </c>
    </row>
    <row r="152" spans="1:27" x14ac:dyDescent="0.3">
      <c r="A152" t="str">
        <f t="shared" si="32"/>
        <v>048314</v>
      </c>
      <c r="B152" t="str">
        <f t="shared" si="42"/>
        <v>004697</v>
      </c>
      <c r="C152" t="s">
        <v>3089</v>
      </c>
      <c r="D152" t="s">
        <v>3839</v>
      </c>
      <c r="E152" t="s">
        <v>3840</v>
      </c>
      <c r="F152" t="s">
        <v>3841</v>
      </c>
      <c r="G152" t="s">
        <v>3842</v>
      </c>
      <c r="H152" t="str">
        <f t="shared" si="39"/>
        <v>048314</v>
      </c>
      <c r="I152" t="s">
        <v>833</v>
      </c>
      <c r="J152" t="str">
        <f t="shared" si="38"/>
        <v>2015-07-01 00:00:00.0</v>
      </c>
      <c r="K152" t="s">
        <v>834</v>
      </c>
      <c r="L152" t="s">
        <v>0</v>
      </c>
      <c r="M152" t="str">
        <f t="shared" si="33"/>
        <v>048314</v>
      </c>
      <c r="N152">
        <v>1</v>
      </c>
      <c r="O152">
        <v>1</v>
      </c>
      <c r="P152" t="str">
        <f>"05"</f>
        <v>05</v>
      </c>
      <c r="Q152" t="s">
        <v>835</v>
      </c>
      <c r="S152" t="s">
        <v>836</v>
      </c>
      <c r="T152" t="s">
        <v>836</v>
      </c>
      <c r="U152" t="str">
        <f t="shared" si="40"/>
        <v>2500-12-31 00:00:00.0</v>
      </c>
      <c r="V152" t="s">
        <v>837</v>
      </c>
      <c r="W152" t="str">
        <f>"048314-070417-**-**"</f>
        <v>048314-070417-**-**</v>
      </c>
      <c r="X152" t="s">
        <v>838</v>
      </c>
      <c r="Y152">
        <v>1125</v>
      </c>
      <c r="Z152">
        <v>1125</v>
      </c>
      <c r="AA152" t="str">
        <f t="shared" si="41"/>
        <v>06/08/2016</v>
      </c>
    </row>
    <row r="153" spans="1:27" x14ac:dyDescent="0.3">
      <c r="A153" t="str">
        <f t="shared" si="32"/>
        <v>048314</v>
      </c>
      <c r="B153" t="str">
        <f t="shared" si="42"/>
        <v>004697</v>
      </c>
      <c r="C153" t="s">
        <v>3659</v>
      </c>
      <c r="D153" t="s">
        <v>3839</v>
      </c>
      <c r="E153" t="s">
        <v>3840</v>
      </c>
      <c r="F153" t="s">
        <v>3841</v>
      </c>
      <c r="G153" t="s">
        <v>3842</v>
      </c>
      <c r="H153" t="str">
        <f t="shared" si="39"/>
        <v>048314</v>
      </c>
      <c r="I153" t="s">
        <v>833</v>
      </c>
      <c r="J153" t="str">
        <f t="shared" si="38"/>
        <v>2015-07-01 00:00:00.0</v>
      </c>
      <c r="K153" t="s">
        <v>834</v>
      </c>
      <c r="L153" t="s">
        <v>0</v>
      </c>
      <c r="M153" t="str">
        <f t="shared" si="33"/>
        <v>048314</v>
      </c>
      <c r="N153">
        <v>1</v>
      </c>
      <c r="O153">
        <v>1</v>
      </c>
      <c r="P153" t="str">
        <f>"03"</f>
        <v>03</v>
      </c>
      <c r="Q153" t="s">
        <v>835</v>
      </c>
      <c r="S153" t="s">
        <v>836</v>
      </c>
      <c r="T153" t="s">
        <v>836</v>
      </c>
      <c r="U153" t="str">
        <f t="shared" si="40"/>
        <v>2500-12-31 00:00:00.0</v>
      </c>
      <c r="V153" t="s">
        <v>837</v>
      </c>
      <c r="W153" t="str">
        <f t="shared" ref="W153:W158" si="43">"048314-004697-**-**"</f>
        <v>048314-004697-**-**</v>
      </c>
      <c r="X153" t="s">
        <v>838</v>
      </c>
      <c r="Y153">
        <v>1206.25</v>
      </c>
      <c r="Z153">
        <v>1206.25</v>
      </c>
      <c r="AA153" t="str">
        <f t="shared" si="41"/>
        <v>06/08/2016</v>
      </c>
    </row>
    <row r="154" spans="1:27" x14ac:dyDescent="0.3">
      <c r="A154" t="str">
        <f t="shared" si="32"/>
        <v>048314</v>
      </c>
      <c r="B154" t="str">
        <f t="shared" si="42"/>
        <v>004697</v>
      </c>
      <c r="C154" t="s">
        <v>998</v>
      </c>
      <c r="D154" t="s">
        <v>3839</v>
      </c>
      <c r="E154" t="s">
        <v>3840</v>
      </c>
      <c r="F154" t="s">
        <v>3841</v>
      </c>
      <c r="G154" t="s">
        <v>3842</v>
      </c>
      <c r="H154" t="str">
        <f t="shared" si="39"/>
        <v>048314</v>
      </c>
      <c r="I154" t="s">
        <v>833</v>
      </c>
      <c r="J154" t="str">
        <f t="shared" si="38"/>
        <v>2015-07-01 00:00:00.0</v>
      </c>
      <c r="K154" t="s">
        <v>834</v>
      </c>
      <c r="L154" t="s">
        <v>0</v>
      </c>
      <c r="M154" t="str">
        <f t="shared" si="33"/>
        <v>048314</v>
      </c>
      <c r="N154">
        <v>1</v>
      </c>
      <c r="O154">
        <v>1</v>
      </c>
      <c r="P154" t="str">
        <f>"01"</f>
        <v>01</v>
      </c>
      <c r="Q154" t="s">
        <v>835</v>
      </c>
      <c r="S154" t="s">
        <v>836</v>
      </c>
      <c r="T154" t="s">
        <v>836</v>
      </c>
      <c r="U154" t="str">
        <f t="shared" si="40"/>
        <v>2500-12-31 00:00:00.0</v>
      </c>
      <c r="V154" t="s">
        <v>837</v>
      </c>
      <c r="W154" t="str">
        <f t="shared" si="43"/>
        <v>048314-004697-**-**</v>
      </c>
      <c r="X154" t="s">
        <v>838</v>
      </c>
      <c r="Y154">
        <v>1206.25</v>
      </c>
      <c r="Z154">
        <v>1206.25</v>
      </c>
      <c r="AA154" t="str">
        <f t="shared" si="41"/>
        <v>06/08/2016</v>
      </c>
    </row>
    <row r="155" spans="1:27" x14ac:dyDescent="0.3">
      <c r="A155" t="str">
        <f t="shared" si="32"/>
        <v>048314</v>
      </c>
      <c r="B155" t="str">
        <f t="shared" si="42"/>
        <v>004697</v>
      </c>
      <c r="C155" t="s">
        <v>3308</v>
      </c>
      <c r="D155" t="s">
        <v>3839</v>
      </c>
      <c r="E155" t="s">
        <v>3840</v>
      </c>
      <c r="F155" t="s">
        <v>3841</v>
      </c>
      <c r="G155" t="s">
        <v>3842</v>
      </c>
      <c r="H155" t="str">
        <f t="shared" si="39"/>
        <v>048314</v>
      </c>
      <c r="I155" t="s">
        <v>833</v>
      </c>
      <c r="J155" t="str">
        <f t="shared" si="38"/>
        <v>2015-07-01 00:00:00.0</v>
      </c>
      <c r="K155" t="s">
        <v>834</v>
      </c>
      <c r="L155" t="s">
        <v>0</v>
      </c>
      <c r="M155" t="str">
        <f t="shared" si="33"/>
        <v>048314</v>
      </c>
      <c r="N155">
        <v>1</v>
      </c>
      <c r="O155">
        <v>1</v>
      </c>
      <c r="P155" t="str">
        <f>"04"</f>
        <v>04</v>
      </c>
      <c r="Q155" t="s">
        <v>835</v>
      </c>
      <c r="S155" t="s">
        <v>836</v>
      </c>
      <c r="T155" t="s">
        <v>836</v>
      </c>
      <c r="U155" t="str">
        <f t="shared" si="40"/>
        <v>2500-12-31 00:00:00.0</v>
      </c>
      <c r="V155" t="s">
        <v>837</v>
      </c>
      <c r="W155" t="str">
        <f t="shared" si="43"/>
        <v>048314-004697-**-**</v>
      </c>
      <c r="X155" t="s">
        <v>838</v>
      </c>
      <c r="Y155">
        <v>1206.25</v>
      </c>
      <c r="Z155">
        <v>1206.25</v>
      </c>
      <c r="AA155" t="str">
        <f t="shared" si="41"/>
        <v>06/08/2016</v>
      </c>
    </row>
    <row r="156" spans="1:27" x14ac:dyDescent="0.3">
      <c r="A156" t="str">
        <f t="shared" si="32"/>
        <v>048314</v>
      </c>
      <c r="B156" t="str">
        <f t="shared" si="42"/>
        <v>004697</v>
      </c>
      <c r="C156" t="s">
        <v>3583</v>
      </c>
      <c r="D156" t="s">
        <v>3839</v>
      </c>
      <c r="E156" t="s">
        <v>3840</v>
      </c>
      <c r="F156" t="s">
        <v>3841</v>
      </c>
      <c r="G156" t="s">
        <v>3842</v>
      </c>
      <c r="H156" t="str">
        <f t="shared" si="39"/>
        <v>048314</v>
      </c>
      <c r="I156" t="s">
        <v>833</v>
      </c>
      <c r="J156" t="str">
        <f t="shared" si="38"/>
        <v>2015-07-01 00:00:00.0</v>
      </c>
      <c r="K156" t="s">
        <v>834</v>
      </c>
      <c r="L156" t="s">
        <v>0</v>
      </c>
      <c r="M156" t="str">
        <f t="shared" si="33"/>
        <v>048314</v>
      </c>
      <c r="N156">
        <v>0.28497400000000001</v>
      </c>
      <c r="O156">
        <v>0.28497400000000001</v>
      </c>
      <c r="P156" t="str">
        <f>"03"</f>
        <v>03</v>
      </c>
      <c r="Q156" t="s">
        <v>835</v>
      </c>
      <c r="S156" t="s">
        <v>836</v>
      </c>
      <c r="T156" t="s">
        <v>836</v>
      </c>
      <c r="U156" t="str">
        <f>"2015-11-16 00:00:00.0"</f>
        <v>2015-11-16 00:00:00.0</v>
      </c>
      <c r="V156" t="s">
        <v>837</v>
      </c>
      <c r="W156" t="str">
        <f t="shared" si="43"/>
        <v>048314-004697-**-**</v>
      </c>
      <c r="X156" t="s">
        <v>838</v>
      </c>
      <c r="Y156">
        <v>343.75</v>
      </c>
      <c r="Z156">
        <v>1206.25</v>
      </c>
      <c r="AA156" t="str">
        <f t="shared" si="41"/>
        <v>06/08/2016</v>
      </c>
    </row>
    <row r="157" spans="1:27" x14ac:dyDescent="0.3">
      <c r="A157" t="str">
        <f t="shared" si="32"/>
        <v>048314</v>
      </c>
      <c r="B157" t="str">
        <f t="shared" si="42"/>
        <v>004697</v>
      </c>
      <c r="C157" t="s">
        <v>3583</v>
      </c>
      <c r="D157" t="s">
        <v>3839</v>
      </c>
      <c r="E157" t="s">
        <v>3840</v>
      </c>
      <c r="F157" t="s">
        <v>3841</v>
      </c>
      <c r="G157" t="s">
        <v>3842</v>
      </c>
      <c r="H157" t="str">
        <f t="shared" si="39"/>
        <v>048314</v>
      </c>
      <c r="I157" t="s">
        <v>833</v>
      </c>
      <c r="J157" t="str">
        <f>"2015-11-17 00:00:00.0"</f>
        <v>2015-11-17 00:00:00.0</v>
      </c>
      <c r="K157" t="s">
        <v>834</v>
      </c>
      <c r="L157" t="s">
        <v>0</v>
      </c>
      <c r="M157" t="str">
        <f t="shared" si="33"/>
        <v>048314</v>
      </c>
      <c r="N157">
        <v>0.71502600000000005</v>
      </c>
      <c r="O157">
        <v>0.71502600000000005</v>
      </c>
      <c r="P157" t="str">
        <f>"03"</f>
        <v>03</v>
      </c>
      <c r="Q157" t="str">
        <f>"05"</f>
        <v>05</v>
      </c>
      <c r="R157" t="str">
        <f>"1"</f>
        <v>1</v>
      </c>
      <c r="S157" t="s">
        <v>836</v>
      </c>
      <c r="T157" t="s">
        <v>836</v>
      </c>
      <c r="U157" t="str">
        <f>"2500-12-31 00:00:00.0"</f>
        <v>2500-12-31 00:00:00.0</v>
      </c>
      <c r="V157" t="s">
        <v>837</v>
      </c>
      <c r="W157" t="str">
        <f t="shared" si="43"/>
        <v>048314-004697-**-**</v>
      </c>
      <c r="X157" t="s">
        <v>838</v>
      </c>
      <c r="Y157">
        <v>862.5</v>
      </c>
      <c r="Z157">
        <v>1206.25</v>
      </c>
      <c r="AA157" t="str">
        <f t="shared" si="41"/>
        <v>06/08/2016</v>
      </c>
    </row>
    <row r="158" spans="1:27" x14ac:dyDescent="0.3">
      <c r="A158" t="str">
        <f t="shared" si="32"/>
        <v>048314</v>
      </c>
      <c r="B158" t="str">
        <f t="shared" si="42"/>
        <v>004697</v>
      </c>
      <c r="C158" t="s">
        <v>902</v>
      </c>
      <c r="D158" t="s">
        <v>3839</v>
      </c>
      <c r="E158" t="s">
        <v>3840</v>
      </c>
      <c r="F158" t="s">
        <v>3841</v>
      </c>
      <c r="G158" t="s">
        <v>3842</v>
      </c>
      <c r="H158" t="str">
        <f t="shared" si="39"/>
        <v>048314</v>
      </c>
      <c r="I158" t="s">
        <v>833</v>
      </c>
      <c r="J158" t="str">
        <f>"2015-08-21 00:00:00.0"</f>
        <v>2015-08-21 00:00:00.0</v>
      </c>
      <c r="K158" t="s">
        <v>834</v>
      </c>
      <c r="L158" t="s">
        <v>0</v>
      </c>
      <c r="M158" t="str">
        <f t="shared" si="33"/>
        <v>048314</v>
      </c>
      <c r="N158">
        <v>0.76683900000000005</v>
      </c>
      <c r="O158">
        <v>0.76683900000000005</v>
      </c>
      <c r="P158" t="s">
        <v>764</v>
      </c>
      <c r="Q158" t="s">
        <v>835</v>
      </c>
      <c r="S158" t="s">
        <v>836</v>
      </c>
      <c r="T158" t="s">
        <v>836</v>
      </c>
      <c r="U158" t="str">
        <f>"2016-04-05 00:00:00.0"</f>
        <v>2016-04-05 00:00:00.0</v>
      </c>
      <c r="V158" t="s">
        <v>837</v>
      </c>
      <c r="W158" t="str">
        <f t="shared" si="43"/>
        <v>048314-004697-**-**</v>
      </c>
      <c r="X158" t="s">
        <v>838</v>
      </c>
      <c r="Y158">
        <v>925</v>
      </c>
      <c r="Z158">
        <v>1206.25</v>
      </c>
      <c r="AA158" t="str">
        <f t="shared" si="41"/>
        <v>06/08/2016</v>
      </c>
    </row>
    <row r="159" spans="1:27" x14ac:dyDescent="0.3">
      <c r="A159" t="str">
        <f t="shared" si="32"/>
        <v>048314</v>
      </c>
      <c r="B159" t="str">
        <f t="shared" si="42"/>
        <v>004697</v>
      </c>
      <c r="C159" t="s">
        <v>3378</v>
      </c>
      <c r="D159" t="s">
        <v>3839</v>
      </c>
      <c r="E159" t="s">
        <v>3840</v>
      </c>
      <c r="F159" t="s">
        <v>3841</v>
      </c>
      <c r="G159" t="s">
        <v>3842</v>
      </c>
      <c r="H159" t="str">
        <f t="shared" si="39"/>
        <v>048314</v>
      </c>
      <c r="I159" t="s">
        <v>833</v>
      </c>
      <c r="J159" t="str">
        <f t="shared" ref="J159:J164" si="44">"2015-07-01 00:00:00.0"</f>
        <v>2015-07-01 00:00:00.0</v>
      </c>
      <c r="K159" t="s">
        <v>834</v>
      </c>
      <c r="L159" t="s">
        <v>0</v>
      </c>
      <c r="M159" t="str">
        <f t="shared" si="33"/>
        <v>048314</v>
      </c>
      <c r="N159">
        <v>1</v>
      </c>
      <c r="O159">
        <v>1</v>
      </c>
      <c r="P159" t="str">
        <f>"05"</f>
        <v>05</v>
      </c>
      <c r="Q159" t="s">
        <v>835</v>
      </c>
      <c r="S159" t="s">
        <v>836</v>
      </c>
      <c r="T159" t="s">
        <v>836</v>
      </c>
      <c r="U159" t="str">
        <f t="shared" ref="U159:U171" si="45">"2500-12-31 00:00:00.0"</f>
        <v>2500-12-31 00:00:00.0</v>
      </c>
      <c r="V159" t="s">
        <v>837</v>
      </c>
      <c r="W159" t="str">
        <f>"048314-070417-**-**"</f>
        <v>048314-070417-**-**</v>
      </c>
      <c r="X159" t="s">
        <v>838</v>
      </c>
      <c r="Y159">
        <v>1125</v>
      </c>
      <c r="Z159">
        <v>1125</v>
      </c>
      <c r="AA159" t="str">
        <f t="shared" si="41"/>
        <v>06/08/2016</v>
      </c>
    </row>
    <row r="160" spans="1:27" x14ac:dyDescent="0.3">
      <c r="A160" t="str">
        <f t="shared" si="32"/>
        <v>048314</v>
      </c>
      <c r="B160" t="str">
        <f t="shared" si="42"/>
        <v>004697</v>
      </c>
      <c r="C160" t="s">
        <v>1073</v>
      </c>
      <c r="D160" t="s">
        <v>3839</v>
      </c>
      <c r="E160" t="s">
        <v>3840</v>
      </c>
      <c r="F160" t="s">
        <v>3841</v>
      </c>
      <c r="G160" t="s">
        <v>3842</v>
      </c>
      <c r="H160" t="str">
        <f t="shared" si="39"/>
        <v>048314</v>
      </c>
      <c r="I160" t="s">
        <v>833</v>
      </c>
      <c r="J160" t="str">
        <f t="shared" si="44"/>
        <v>2015-07-01 00:00:00.0</v>
      </c>
      <c r="K160" t="s">
        <v>834</v>
      </c>
      <c r="L160" t="s">
        <v>0</v>
      </c>
      <c r="M160" t="str">
        <f t="shared" si="33"/>
        <v>048314</v>
      </c>
      <c r="N160">
        <v>1</v>
      </c>
      <c r="O160">
        <v>1</v>
      </c>
      <c r="P160" t="str">
        <f>"02"</f>
        <v>02</v>
      </c>
      <c r="Q160" t="s">
        <v>835</v>
      </c>
      <c r="S160" t="s">
        <v>836</v>
      </c>
      <c r="T160" t="s">
        <v>836</v>
      </c>
      <c r="U160" t="str">
        <f t="shared" si="45"/>
        <v>2500-12-31 00:00:00.0</v>
      </c>
      <c r="V160" t="s">
        <v>837</v>
      </c>
      <c r="W160" t="str">
        <f>"048314-038430-**-**"</f>
        <v>048314-038430-**-**</v>
      </c>
      <c r="X160" t="s">
        <v>838</v>
      </c>
      <c r="Y160">
        <v>1206.25</v>
      </c>
      <c r="Z160">
        <v>1206.25</v>
      </c>
      <c r="AA160" t="str">
        <f t="shared" si="41"/>
        <v>06/08/2016</v>
      </c>
    </row>
    <row r="161" spans="1:27" x14ac:dyDescent="0.3">
      <c r="A161" t="str">
        <f t="shared" si="32"/>
        <v>048314</v>
      </c>
      <c r="B161" t="str">
        <f t="shared" si="42"/>
        <v>004697</v>
      </c>
      <c r="C161" t="s">
        <v>3290</v>
      </c>
      <c r="D161" t="s">
        <v>3839</v>
      </c>
      <c r="E161" t="s">
        <v>3840</v>
      </c>
      <c r="F161" t="s">
        <v>3841</v>
      </c>
      <c r="G161" t="s">
        <v>3842</v>
      </c>
      <c r="H161" t="str">
        <f t="shared" si="39"/>
        <v>048314</v>
      </c>
      <c r="I161" t="s">
        <v>833</v>
      </c>
      <c r="J161" t="str">
        <f t="shared" si="44"/>
        <v>2015-07-01 00:00:00.0</v>
      </c>
      <c r="K161" t="s">
        <v>834</v>
      </c>
      <c r="L161" t="s">
        <v>0</v>
      </c>
      <c r="M161" t="str">
        <f t="shared" si="33"/>
        <v>048314</v>
      </c>
      <c r="N161">
        <v>1</v>
      </c>
      <c r="O161">
        <v>1</v>
      </c>
      <c r="P161" t="str">
        <f>"05"</f>
        <v>05</v>
      </c>
      <c r="Q161" t="s">
        <v>835</v>
      </c>
      <c r="S161" t="s">
        <v>836</v>
      </c>
      <c r="T161" t="s">
        <v>836</v>
      </c>
      <c r="U161" t="str">
        <f t="shared" si="45"/>
        <v>2500-12-31 00:00:00.0</v>
      </c>
      <c r="V161" t="s">
        <v>837</v>
      </c>
      <c r="W161" t="str">
        <f>"048314-070417-**-**"</f>
        <v>048314-070417-**-**</v>
      </c>
      <c r="X161" t="s">
        <v>838</v>
      </c>
      <c r="Y161">
        <v>1125</v>
      </c>
      <c r="Z161">
        <v>1125</v>
      </c>
      <c r="AA161" t="str">
        <f t="shared" si="41"/>
        <v>06/08/2016</v>
      </c>
    </row>
    <row r="162" spans="1:27" x14ac:dyDescent="0.3">
      <c r="A162" t="str">
        <f t="shared" si="32"/>
        <v>048314</v>
      </c>
      <c r="B162" t="str">
        <f t="shared" si="42"/>
        <v>004697</v>
      </c>
      <c r="C162" t="s">
        <v>3612</v>
      </c>
      <c r="D162" t="s">
        <v>3839</v>
      </c>
      <c r="E162" t="s">
        <v>3840</v>
      </c>
      <c r="F162" t="s">
        <v>3841</v>
      </c>
      <c r="G162" t="s">
        <v>3842</v>
      </c>
      <c r="H162" t="str">
        <f t="shared" si="39"/>
        <v>048314</v>
      </c>
      <c r="I162" t="s">
        <v>833</v>
      </c>
      <c r="J162" t="str">
        <f t="shared" si="44"/>
        <v>2015-07-01 00:00:00.0</v>
      </c>
      <c r="K162" t="s">
        <v>834</v>
      </c>
      <c r="L162" t="s">
        <v>0</v>
      </c>
      <c r="M162" t="str">
        <f t="shared" si="33"/>
        <v>048314</v>
      </c>
      <c r="N162">
        <v>1</v>
      </c>
      <c r="O162">
        <v>1</v>
      </c>
      <c r="P162" t="str">
        <f>"03"</f>
        <v>03</v>
      </c>
      <c r="Q162" t="s">
        <v>835</v>
      </c>
      <c r="S162" t="s">
        <v>836</v>
      </c>
      <c r="T162" t="s">
        <v>836</v>
      </c>
      <c r="U162" t="str">
        <f t="shared" si="45"/>
        <v>2500-12-31 00:00:00.0</v>
      </c>
      <c r="V162" t="s">
        <v>837</v>
      </c>
      <c r="W162" t="str">
        <f>"048314-004697-**-**"</f>
        <v>048314-004697-**-**</v>
      </c>
      <c r="X162" t="s">
        <v>838</v>
      </c>
      <c r="Y162">
        <v>1206.25</v>
      </c>
      <c r="Z162">
        <v>1206.25</v>
      </c>
      <c r="AA162" t="str">
        <f t="shared" si="41"/>
        <v>06/08/2016</v>
      </c>
    </row>
    <row r="163" spans="1:27" x14ac:dyDescent="0.3">
      <c r="A163" t="str">
        <f t="shared" si="32"/>
        <v>048314</v>
      </c>
      <c r="B163" t="str">
        <f t="shared" si="42"/>
        <v>004697</v>
      </c>
      <c r="C163" t="s">
        <v>3002</v>
      </c>
      <c r="D163" t="s">
        <v>3839</v>
      </c>
      <c r="E163" t="s">
        <v>3840</v>
      </c>
      <c r="F163" t="s">
        <v>3841</v>
      </c>
      <c r="G163" t="s">
        <v>3842</v>
      </c>
      <c r="H163" t="str">
        <f t="shared" si="39"/>
        <v>048314</v>
      </c>
      <c r="I163" t="s">
        <v>833</v>
      </c>
      <c r="J163" t="str">
        <f t="shared" si="44"/>
        <v>2015-07-01 00:00:00.0</v>
      </c>
      <c r="K163" t="s">
        <v>834</v>
      </c>
      <c r="L163" t="s">
        <v>0</v>
      </c>
      <c r="M163" t="str">
        <f t="shared" si="33"/>
        <v>048314</v>
      </c>
      <c r="N163">
        <v>1</v>
      </c>
      <c r="O163">
        <v>1</v>
      </c>
      <c r="P163" t="str">
        <f>"01"</f>
        <v>01</v>
      </c>
      <c r="Q163" t="s">
        <v>835</v>
      </c>
      <c r="S163" t="s">
        <v>860</v>
      </c>
      <c r="T163" t="s">
        <v>836</v>
      </c>
      <c r="U163" t="str">
        <f t="shared" si="45"/>
        <v>2500-12-31 00:00:00.0</v>
      </c>
      <c r="V163" t="s">
        <v>837</v>
      </c>
      <c r="W163" t="str">
        <f>"048314-004697-**-**"</f>
        <v>048314-004697-**-**</v>
      </c>
      <c r="X163" t="s">
        <v>838</v>
      </c>
      <c r="Y163">
        <v>1206.25</v>
      </c>
      <c r="Z163">
        <v>1206.25</v>
      </c>
      <c r="AA163" t="str">
        <f t="shared" si="41"/>
        <v>06/08/2016</v>
      </c>
    </row>
    <row r="164" spans="1:27" x14ac:dyDescent="0.3">
      <c r="A164" t="str">
        <f t="shared" si="32"/>
        <v>048314</v>
      </c>
      <c r="B164" t="str">
        <f t="shared" si="42"/>
        <v>004697</v>
      </c>
      <c r="C164" t="s">
        <v>3310</v>
      </c>
      <c r="D164" t="s">
        <v>3839</v>
      </c>
      <c r="E164" t="s">
        <v>3840</v>
      </c>
      <c r="F164" t="s">
        <v>3841</v>
      </c>
      <c r="G164" t="s">
        <v>3842</v>
      </c>
      <c r="H164" t="str">
        <f t="shared" si="39"/>
        <v>048314</v>
      </c>
      <c r="I164" t="s">
        <v>833</v>
      </c>
      <c r="J164" t="str">
        <f t="shared" si="44"/>
        <v>2015-07-01 00:00:00.0</v>
      </c>
      <c r="K164" t="s">
        <v>834</v>
      </c>
      <c r="L164" t="s">
        <v>0</v>
      </c>
      <c r="M164" t="str">
        <f t="shared" si="33"/>
        <v>048314</v>
      </c>
      <c r="N164">
        <v>1</v>
      </c>
      <c r="O164">
        <v>1</v>
      </c>
      <c r="P164" t="str">
        <f>"04"</f>
        <v>04</v>
      </c>
      <c r="Q164" t="s">
        <v>835</v>
      </c>
      <c r="S164" t="s">
        <v>836</v>
      </c>
      <c r="T164" t="s">
        <v>836</v>
      </c>
      <c r="U164" t="str">
        <f t="shared" si="45"/>
        <v>2500-12-31 00:00:00.0</v>
      </c>
      <c r="V164" t="s">
        <v>837</v>
      </c>
      <c r="W164" t="str">
        <f>"048314-004697-**-**"</f>
        <v>048314-004697-**-**</v>
      </c>
      <c r="X164" t="s">
        <v>838</v>
      </c>
      <c r="Y164">
        <v>1206.25</v>
      </c>
      <c r="Z164">
        <v>1206.25</v>
      </c>
      <c r="AA164" t="str">
        <f t="shared" si="41"/>
        <v>06/08/2016</v>
      </c>
    </row>
    <row r="165" spans="1:27" x14ac:dyDescent="0.3">
      <c r="A165" t="str">
        <f t="shared" si="32"/>
        <v>048314</v>
      </c>
      <c r="B165" t="str">
        <f t="shared" si="42"/>
        <v>004697</v>
      </c>
      <c r="C165" t="s">
        <v>1072</v>
      </c>
      <c r="D165" t="s">
        <v>3839</v>
      </c>
      <c r="E165" t="s">
        <v>3840</v>
      </c>
      <c r="F165" t="s">
        <v>3841</v>
      </c>
      <c r="G165" t="s">
        <v>3842</v>
      </c>
      <c r="H165" t="str">
        <f t="shared" si="39"/>
        <v>048314</v>
      </c>
      <c r="I165" t="s">
        <v>833</v>
      </c>
      <c r="J165" t="str">
        <f>"2015-08-01 00:00:00.0"</f>
        <v>2015-08-01 00:00:00.0</v>
      </c>
      <c r="K165" t="s">
        <v>834</v>
      </c>
      <c r="L165" t="s">
        <v>0</v>
      </c>
      <c r="M165" t="str">
        <f t="shared" si="33"/>
        <v>048314</v>
      </c>
      <c r="N165">
        <v>1</v>
      </c>
      <c r="O165">
        <v>1</v>
      </c>
      <c r="P165" t="s">
        <v>764</v>
      </c>
      <c r="Q165" t="s">
        <v>835</v>
      </c>
      <c r="S165" t="s">
        <v>836</v>
      </c>
      <c r="T165" t="s">
        <v>836</v>
      </c>
      <c r="U165" t="str">
        <f t="shared" si="45"/>
        <v>2500-12-31 00:00:00.0</v>
      </c>
      <c r="V165" t="s">
        <v>837</v>
      </c>
      <c r="W165" t="str">
        <f>"048314-004697-**-**"</f>
        <v>048314-004697-**-**</v>
      </c>
      <c r="X165" t="s">
        <v>838</v>
      </c>
      <c r="Y165">
        <v>1206.25</v>
      </c>
      <c r="Z165">
        <v>1206.25</v>
      </c>
      <c r="AA165" t="str">
        <f t="shared" si="41"/>
        <v>06/08/2016</v>
      </c>
    </row>
    <row r="166" spans="1:27" x14ac:dyDescent="0.3">
      <c r="A166" t="str">
        <f t="shared" si="32"/>
        <v>048314</v>
      </c>
      <c r="B166" t="str">
        <f t="shared" si="42"/>
        <v>004697</v>
      </c>
      <c r="C166" t="s">
        <v>854</v>
      </c>
      <c r="D166" t="s">
        <v>3839</v>
      </c>
      <c r="E166" t="s">
        <v>3840</v>
      </c>
      <c r="F166" t="s">
        <v>3841</v>
      </c>
      <c r="G166" t="s">
        <v>3842</v>
      </c>
      <c r="H166" t="str">
        <f t="shared" si="39"/>
        <v>048314</v>
      </c>
      <c r="I166" t="s">
        <v>833</v>
      </c>
      <c r="J166" t="str">
        <f>"2015-07-01 00:00:00.0"</f>
        <v>2015-07-01 00:00:00.0</v>
      </c>
      <c r="K166" t="s">
        <v>834</v>
      </c>
      <c r="L166" t="s">
        <v>0</v>
      </c>
      <c r="M166" t="str">
        <f t="shared" si="33"/>
        <v>048314</v>
      </c>
      <c r="N166">
        <v>1</v>
      </c>
      <c r="O166">
        <v>1</v>
      </c>
      <c r="P166" t="str">
        <f>"02"</f>
        <v>02</v>
      </c>
      <c r="Q166" t="s">
        <v>835</v>
      </c>
      <c r="S166" t="s">
        <v>836</v>
      </c>
      <c r="T166" t="s">
        <v>836</v>
      </c>
      <c r="U166" t="str">
        <f t="shared" si="45"/>
        <v>2500-12-31 00:00:00.0</v>
      </c>
      <c r="V166" t="s">
        <v>837</v>
      </c>
      <c r="W166" t="str">
        <f>"048314-004697-**-**"</f>
        <v>048314-004697-**-**</v>
      </c>
      <c r="X166" t="s">
        <v>838</v>
      </c>
      <c r="Y166">
        <v>1206.25</v>
      </c>
      <c r="Z166">
        <v>1206.25</v>
      </c>
      <c r="AA166" t="str">
        <f t="shared" si="41"/>
        <v>06/08/2016</v>
      </c>
    </row>
    <row r="167" spans="1:27" x14ac:dyDescent="0.3">
      <c r="A167" t="str">
        <f t="shared" si="32"/>
        <v>048314</v>
      </c>
      <c r="B167" t="str">
        <f t="shared" si="42"/>
        <v>004697</v>
      </c>
      <c r="C167" t="s">
        <v>2847</v>
      </c>
      <c r="D167" t="s">
        <v>3839</v>
      </c>
      <c r="E167" t="s">
        <v>3840</v>
      </c>
      <c r="F167" t="s">
        <v>3841</v>
      </c>
      <c r="G167" t="s">
        <v>3842</v>
      </c>
      <c r="H167" t="str">
        <f t="shared" si="39"/>
        <v>048314</v>
      </c>
      <c r="I167" t="s">
        <v>833</v>
      </c>
      <c r="J167" t="str">
        <f>"2015-07-01 00:00:00.0"</f>
        <v>2015-07-01 00:00:00.0</v>
      </c>
      <c r="K167" t="s">
        <v>834</v>
      </c>
      <c r="L167" t="s">
        <v>0</v>
      </c>
      <c r="M167" t="str">
        <f t="shared" si="33"/>
        <v>048314</v>
      </c>
      <c r="N167">
        <v>1</v>
      </c>
      <c r="O167">
        <v>1</v>
      </c>
      <c r="P167" t="str">
        <f>"05"</f>
        <v>05</v>
      </c>
      <c r="Q167" t="s">
        <v>835</v>
      </c>
      <c r="S167" t="s">
        <v>836</v>
      </c>
      <c r="T167" t="s">
        <v>836</v>
      </c>
      <c r="U167" t="str">
        <f t="shared" si="45"/>
        <v>2500-12-31 00:00:00.0</v>
      </c>
      <c r="V167" t="s">
        <v>837</v>
      </c>
      <c r="W167" t="str">
        <f>"048314-070417-**-**"</f>
        <v>048314-070417-**-**</v>
      </c>
      <c r="X167" t="s">
        <v>838</v>
      </c>
      <c r="Y167">
        <v>1125</v>
      </c>
      <c r="Z167">
        <v>1125</v>
      </c>
      <c r="AA167" t="str">
        <f t="shared" si="41"/>
        <v>06/08/2016</v>
      </c>
    </row>
    <row r="168" spans="1:27" x14ac:dyDescent="0.3">
      <c r="A168" t="str">
        <f t="shared" si="32"/>
        <v>048314</v>
      </c>
      <c r="B168" t="str">
        <f t="shared" si="42"/>
        <v>004697</v>
      </c>
      <c r="C168" t="s">
        <v>3445</v>
      </c>
      <c r="D168" t="s">
        <v>3839</v>
      </c>
      <c r="E168" t="s">
        <v>3840</v>
      </c>
      <c r="F168" t="s">
        <v>3841</v>
      </c>
      <c r="G168" t="s">
        <v>3842</v>
      </c>
      <c r="H168" t="str">
        <f t="shared" si="39"/>
        <v>048314</v>
      </c>
      <c r="I168" t="s">
        <v>833</v>
      </c>
      <c r="J168" t="str">
        <f>"2015-07-01 00:00:00.0"</f>
        <v>2015-07-01 00:00:00.0</v>
      </c>
      <c r="K168" t="s">
        <v>834</v>
      </c>
      <c r="L168" t="s">
        <v>0</v>
      </c>
      <c r="M168" t="str">
        <f t="shared" si="33"/>
        <v>048314</v>
      </c>
      <c r="N168">
        <v>1</v>
      </c>
      <c r="O168">
        <v>1</v>
      </c>
      <c r="P168" t="str">
        <f>"04"</f>
        <v>04</v>
      </c>
      <c r="Q168" t="s">
        <v>835</v>
      </c>
      <c r="S168" t="s">
        <v>836</v>
      </c>
      <c r="T168" t="s">
        <v>836</v>
      </c>
      <c r="U168" t="str">
        <f t="shared" si="45"/>
        <v>2500-12-31 00:00:00.0</v>
      </c>
      <c r="V168" t="s">
        <v>837</v>
      </c>
      <c r="W168" t="str">
        <f>"048314-004697-**-**"</f>
        <v>048314-004697-**-**</v>
      </c>
      <c r="X168" t="s">
        <v>838</v>
      </c>
      <c r="Y168">
        <v>1206.25</v>
      </c>
      <c r="Z168">
        <v>1206.25</v>
      </c>
      <c r="AA168" t="str">
        <f t="shared" si="41"/>
        <v>06/08/2016</v>
      </c>
    </row>
    <row r="169" spans="1:27" x14ac:dyDescent="0.3">
      <c r="A169" t="str">
        <f t="shared" si="32"/>
        <v>048314</v>
      </c>
      <c r="B169" t="str">
        <f t="shared" si="42"/>
        <v>004697</v>
      </c>
      <c r="C169" t="s">
        <v>2508</v>
      </c>
      <c r="D169" t="s">
        <v>3839</v>
      </c>
      <c r="E169" t="s">
        <v>3840</v>
      </c>
      <c r="F169" t="s">
        <v>3841</v>
      </c>
      <c r="G169" t="s">
        <v>3842</v>
      </c>
      <c r="H169" t="str">
        <f t="shared" si="39"/>
        <v>048314</v>
      </c>
      <c r="I169" t="s">
        <v>833</v>
      </c>
      <c r="J169" t="str">
        <f>"2015-07-01 00:00:00.0"</f>
        <v>2015-07-01 00:00:00.0</v>
      </c>
      <c r="K169" t="s">
        <v>834</v>
      </c>
      <c r="L169" t="s">
        <v>0</v>
      </c>
      <c r="M169" t="str">
        <f t="shared" si="33"/>
        <v>048314</v>
      </c>
      <c r="N169">
        <v>1</v>
      </c>
      <c r="O169">
        <v>1</v>
      </c>
      <c r="P169" t="str">
        <f>"02"</f>
        <v>02</v>
      </c>
      <c r="Q169" t="s">
        <v>835</v>
      </c>
      <c r="S169" t="s">
        <v>836</v>
      </c>
      <c r="T169" t="s">
        <v>836</v>
      </c>
      <c r="U169" t="str">
        <f t="shared" si="45"/>
        <v>2500-12-31 00:00:00.0</v>
      </c>
      <c r="V169" t="s">
        <v>837</v>
      </c>
      <c r="W169" t="str">
        <f>"048314-004697-**-**"</f>
        <v>048314-004697-**-**</v>
      </c>
      <c r="X169" t="s">
        <v>838</v>
      </c>
      <c r="Y169">
        <v>1206.25</v>
      </c>
      <c r="Z169">
        <v>1206.25</v>
      </c>
      <c r="AA169" t="str">
        <f t="shared" si="41"/>
        <v>06/08/2016</v>
      </c>
    </row>
    <row r="170" spans="1:27" x14ac:dyDescent="0.3">
      <c r="A170" t="str">
        <f t="shared" si="32"/>
        <v>048314</v>
      </c>
      <c r="B170" t="str">
        <f t="shared" si="42"/>
        <v>004697</v>
      </c>
      <c r="C170" t="s">
        <v>3078</v>
      </c>
      <c r="D170" t="s">
        <v>3839</v>
      </c>
      <c r="E170" t="s">
        <v>3840</v>
      </c>
      <c r="F170" t="s">
        <v>3841</v>
      </c>
      <c r="G170" t="s">
        <v>3842</v>
      </c>
      <c r="H170" t="str">
        <f t="shared" si="39"/>
        <v>048314</v>
      </c>
      <c r="I170" t="s">
        <v>833</v>
      </c>
      <c r="J170" t="str">
        <f>"2015-07-01 00:00:00.0"</f>
        <v>2015-07-01 00:00:00.0</v>
      </c>
      <c r="K170" t="s">
        <v>834</v>
      </c>
      <c r="L170" t="s">
        <v>0</v>
      </c>
      <c r="M170" t="str">
        <f t="shared" si="33"/>
        <v>048314</v>
      </c>
      <c r="N170">
        <v>1</v>
      </c>
      <c r="O170">
        <v>1</v>
      </c>
      <c r="P170" t="str">
        <f>"05"</f>
        <v>05</v>
      </c>
      <c r="Q170" t="s">
        <v>835</v>
      </c>
      <c r="S170" t="s">
        <v>836</v>
      </c>
      <c r="T170" t="s">
        <v>836</v>
      </c>
      <c r="U170" t="str">
        <f t="shared" si="45"/>
        <v>2500-12-31 00:00:00.0</v>
      </c>
      <c r="V170" t="s">
        <v>837</v>
      </c>
      <c r="W170" t="str">
        <f>"048314-070417-**-**"</f>
        <v>048314-070417-**-**</v>
      </c>
      <c r="X170" t="s">
        <v>838</v>
      </c>
      <c r="Y170">
        <v>1125</v>
      </c>
      <c r="Z170">
        <v>1125</v>
      </c>
      <c r="AA170" t="str">
        <f t="shared" si="41"/>
        <v>06/08/2016</v>
      </c>
    </row>
    <row r="171" spans="1:27" x14ac:dyDescent="0.3">
      <c r="A171" t="str">
        <f t="shared" si="32"/>
        <v>048314</v>
      </c>
      <c r="B171" t="str">
        <f t="shared" si="42"/>
        <v>004697</v>
      </c>
      <c r="C171" t="s">
        <v>3703</v>
      </c>
      <c r="D171" t="s">
        <v>3839</v>
      </c>
      <c r="E171" t="s">
        <v>3840</v>
      </c>
      <c r="F171" t="s">
        <v>3841</v>
      </c>
      <c r="G171" t="s">
        <v>3842</v>
      </c>
      <c r="H171" t="str">
        <f t="shared" si="39"/>
        <v>048314</v>
      </c>
      <c r="I171" t="s">
        <v>833</v>
      </c>
      <c r="J171" t="str">
        <f>"2015-11-19 00:00:00.0"</f>
        <v>2015-11-19 00:00:00.0</v>
      </c>
      <c r="K171" t="s">
        <v>834</v>
      </c>
      <c r="L171" t="s">
        <v>0</v>
      </c>
      <c r="M171" t="str">
        <f t="shared" si="33"/>
        <v>048314</v>
      </c>
      <c r="N171">
        <v>0.70466300000000004</v>
      </c>
      <c r="O171">
        <v>0.70466300000000004</v>
      </c>
      <c r="P171" t="str">
        <f>"01"</f>
        <v>01</v>
      </c>
      <c r="Q171" t="s">
        <v>835</v>
      </c>
      <c r="S171" t="s">
        <v>860</v>
      </c>
      <c r="T171" t="s">
        <v>836</v>
      </c>
      <c r="U171" t="str">
        <f t="shared" si="45"/>
        <v>2500-12-31 00:00:00.0</v>
      </c>
      <c r="V171" t="s">
        <v>837</v>
      </c>
      <c r="W171" t="str">
        <f>"048314-004697-**-**"</f>
        <v>048314-004697-**-**</v>
      </c>
      <c r="X171" t="s">
        <v>838</v>
      </c>
      <c r="Y171">
        <v>850</v>
      </c>
      <c r="Z171">
        <v>1206.25</v>
      </c>
      <c r="AA171" t="str">
        <f t="shared" si="41"/>
        <v>06/08/2016</v>
      </c>
    </row>
    <row r="172" spans="1:27" x14ac:dyDescent="0.3">
      <c r="A172" t="str">
        <f t="shared" si="32"/>
        <v>048314</v>
      </c>
      <c r="B172" t="str">
        <f t="shared" si="42"/>
        <v>004697</v>
      </c>
      <c r="C172" t="s">
        <v>3703</v>
      </c>
      <c r="D172" t="s">
        <v>3839</v>
      </c>
      <c r="E172" t="s">
        <v>3840</v>
      </c>
      <c r="F172" t="s">
        <v>3841</v>
      </c>
      <c r="G172" t="s">
        <v>3842</v>
      </c>
      <c r="H172" t="str">
        <f t="shared" si="39"/>
        <v>048314</v>
      </c>
      <c r="I172" t="s">
        <v>833</v>
      </c>
      <c r="J172" t="str">
        <f>"2015-07-01 00:00:00.0"</f>
        <v>2015-07-01 00:00:00.0</v>
      </c>
      <c r="K172" t="s">
        <v>834</v>
      </c>
      <c r="L172" t="s">
        <v>0</v>
      </c>
      <c r="M172" t="str">
        <f t="shared" si="33"/>
        <v>048314</v>
      </c>
      <c r="N172">
        <v>0.29533700000000002</v>
      </c>
      <c r="O172">
        <v>0.29533700000000002</v>
      </c>
      <c r="P172" t="str">
        <f>"01"</f>
        <v>01</v>
      </c>
      <c r="Q172" t="s">
        <v>835</v>
      </c>
      <c r="S172" t="s">
        <v>836</v>
      </c>
      <c r="T172" t="s">
        <v>836</v>
      </c>
      <c r="U172" t="str">
        <f>"2015-11-18 00:00:00.0"</f>
        <v>2015-11-18 00:00:00.0</v>
      </c>
      <c r="V172" t="s">
        <v>837</v>
      </c>
      <c r="W172" t="str">
        <f>"048314-004697-**-**"</f>
        <v>048314-004697-**-**</v>
      </c>
      <c r="X172" t="s">
        <v>838</v>
      </c>
      <c r="Y172">
        <v>356.25</v>
      </c>
      <c r="Z172">
        <v>1206.25</v>
      </c>
      <c r="AA172" t="str">
        <f t="shared" si="41"/>
        <v>06/08/2016</v>
      </c>
    </row>
    <row r="173" spans="1:27" x14ac:dyDescent="0.3">
      <c r="A173" t="str">
        <f t="shared" si="32"/>
        <v>048314</v>
      </c>
      <c r="B173" t="str">
        <f t="shared" si="42"/>
        <v>004697</v>
      </c>
      <c r="C173" t="s">
        <v>1006</v>
      </c>
      <c r="D173" t="s">
        <v>3839</v>
      </c>
      <c r="E173" t="s">
        <v>3840</v>
      </c>
      <c r="F173" t="s">
        <v>3841</v>
      </c>
      <c r="G173" t="s">
        <v>3842</v>
      </c>
      <c r="H173" t="str">
        <f t="shared" si="39"/>
        <v>048314</v>
      </c>
      <c r="I173" t="s">
        <v>833</v>
      </c>
      <c r="J173" t="str">
        <f>"2015-08-01 00:00:00.0"</f>
        <v>2015-08-01 00:00:00.0</v>
      </c>
      <c r="K173" t="s">
        <v>834</v>
      </c>
      <c r="L173" t="s">
        <v>0</v>
      </c>
      <c r="M173" t="str">
        <f t="shared" si="33"/>
        <v>048314</v>
      </c>
      <c r="N173">
        <v>1</v>
      </c>
      <c r="O173">
        <v>1</v>
      </c>
      <c r="P173" t="s">
        <v>764</v>
      </c>
      <c r="Q173" t="s">
        <v>835</v>
      </c>
      <c r="S173" t="s">
        <v>836</v>
      </c>
      <c r="T173" t="s">
        <v>836</v>
      </c>
      <c r="U173" t="str">
        <f t="shared" ref="U173:U202" si="46">"2500-12-31 00:00:00.0"</f>
        <v>2500-12-31 00:00:00.0</v>
      </c>
      <c r="V173" t="s">
        <v>837</v>
      </c>
      <c r="W173" t="str">
        <f>"048314-004697-**-**"</f>
        <v>048314-004697-**-**</v>
      </c>
      <c r="X173" t="s">
        <v>838</v>
      </c>
      <c r="Y173">
        <v>1206.25</v>
      </c>
      <c r="Z173">
        <v>1206.25</v>
      </c>
      <c r="AA173" t="str">
        <f t="shared" si="41"/>
        <v>06/08/2016</v>
      </c>
    </row>
    <row r="174" spans="1:27" x14ac:dyDescent="0.3">
      <c r="A174" t="str">
        <f t="shared" si="32"/>
        <v>048314</v>
      </c>
      <c r="B174" t="str">
        <f t="shared" si="42"/>
        <v>004697</v>
      </c>
      <c r="C174" t="s">
        <v>1501</v>
      </c>
      <c r="D174" t="s">
        <v>3839</v>
      </c>
      <c r="E174" t="s">
        <v>3840</v>
      </c>
      <c r="F174" t="s">
        <v>3841</v>
      </c>
      <c r="G174" t="s">
        <v>3842</v>
      </c>
      <c r="H174" t="str">
        <f t="shared" si="39"/>
        <v>048314</v>
      </c>
      <c r="I174" t="s">
        <v>833</v>
      </c>
      <c r="J174" t="str">
        <f t="shared" ref="J174:J182" si="47">"2015-07-01 00:00:00.0"</f>
        <v>2015-07-01 00:00:00.0</v>
      </c>
      <c r="K174" t="s">
        <v>834</v>
      </c>
      <c r="L174" t="s">
        <v>0</v>
      </c>
      <c r="M174" t="str">
        <f t="shared" si="33"/>
        <v>048314</v>
      </c>
      <c r="N174">
        <v>1</v>
      </c>
      <c r="O174">
        <v>1</v>
      </c>
      <c r="P174" t="str">
        <f>"03"</f>
        <v>03</v>
      </c>
      <c r="Q174" t="s">
        <v>835</v>
      </c>
      <c r="S174" t="s">
        <v>836</v>
      </c>
      <c r="T174" t="s">
        <v>836</v>
      </c>
      <c r="U174" t="str">
        <f t="shared" si="46"/>
        <v>2500-12-31 00:00:00.0</v>
      </c>
      <c r="V174" t="s">
        <v>837</v>
      </c>
      <c r="W174" t="str">
        <f>"048314-004697-**-**"</f>
        <v>048314-004697-**-**</v>
      </c>
      <c r="X174" t="s">
        <v>838</v>
      </c>
      <c r="Y174">
        <v>1206.25</v>
      </c>
      <c r="Z174">
        <v>1206.25</v>
      </c>
      <c r="AA174" t="str">
        <f t="shared" si="41"/>
        <v>06/08/2016</v>
      </c>
    </row>
    <row r="175" spans="1:27" x14ac:dyDescent="0.3">
      <c r="A175" t="str">
        <f t="shared" si="32"/>
        <v>048314</v>
      </c>
      <c r="B175" t="str">
        <f t="shared" si="42"/>
        <v>004697</v>
      </c>
      <c r="C175" t="s">
        <v>3003</v>
      </c>
      <c r="D175" t="s">
        <v>3839</v>
      </c>
      <c r="E175" t="s">
        <v>3840</v>
      </c>
      <c r="F175" t="s">
        <v>3841</v>
      </c>
      <c r="G175" t="s">
        <v>3842</v>
      </c>
      <c r="H175" t="str">
        <f t="shared" si="39"/>
        <v>048314</v>
      </c>
      <c r="I175" t="s">
        <v>833</v>
      </c>
      <c r="J175" t="str">
        <f t="shared" si="47"/>
        <v>2015-07-01 00:00:00.0</v>
      </c>
      <c r="K175" t="s">
        <v>834</v>
      </c>
      <c r="L175" t="s">
        <v>0</v>
      </c>
      <c r="M175" t="str">
        <f t="shared" si="33"/>
        <v>048314</v>
      </c>
      <c r="N175">
        <v>1</v>
      </c>
      <c r="O175">
        <v>1</v>
      </c>
      <c r="P175" t="str">
        <f>"01"</f>
        <v>01</v>
      </c>
      <c r="Q175" t="str">
        <f>"15"</f>
        <v>15</v>
      </c>
      <c r="R175" t="str">
        <f>"2"</f>
        <v>2</v>
      </c>
      <c r="S175" t="s">
        <v>836</v>
      </c>
      <c r="T175" t="s">
        <v>836</v>
      </c>
      <c r="U175" t="str">
        <f t="shared" si="46"/>
        <v>2500-12-31 00:00:00.0</v>
      </c>
      <c r="V175" t="s">
        <v>837</v>
      </c>
      <c r="W175" t="str">
        <f>"048314-004697-**-**"</f>
        <v>048314-004697-**-**</v>
      </c>
      <c r="X175" t="s">
        <v>838</v>
      </c>
      <c r="Y175">
        <v>1206.25</v>
      </c>
      <c r="Z175">
        <v>1206.25</v>
      </c>
      <c r="AA175" t="str">
        <f t="shared" si="41"/>
        <v>06/08/2016</v>
      </c>
    </row>
    <row r="176" spans="1:27" x14ac:dyDescent="0.3">
      <c r="A176" t="str">
        <f t="shared" si="32"/>
        <v>048314</v>
      </c>
      <c r="B176" t="str">
        <f t="shared" si="42"/>
        <v>004697</v>
      </c>
      <c r="C176" t="s">
        <v>2801</v>
      </c>
      <c r="D176" t="s">
        <v>3839</v>
      </c>
      <c r="E176" t="s">
        <v>3840</v>
      </c>
      <c r="F176" t="s">
        <v>3841</v>
      </c>
      <c r="G176" t="s">
        <v>3842</v>
      </c>
      <c r="H176" t="str">
        <f t="shared" si="39"/>
        <v>048314</v>
      </c>
      <c r="I176" t="s">
        <v>833</v>
      </c>
      <c r="J176" t="str">
        <f t="shared" si="47"/>
        <v>2015-07-01 00:00:00.0</v>
      </c>
      <c r="K176" t="s">
        <v>834</v>
      </c>
      <c r="L176" t="s">
        <v>0</v>
      </c>
      <c r="M176" t="str">
        <f t="shared" si="33"/>
        <v>048314</v>
      </c>
      <c r="N176">
        <v>1</v>
      </c>
      <c r="O176">
        <v>1</v>
      </c>
      <c r="P176" t="str">
        <f>"05"</f>
        <v>05</v>
      </c>
      <c r="Q176" t="s">
        <v>835</v>
      </c>
      <c r="S176" t="s">
        <v>836</v>
      </c>
      <c r="T176" t="s">
        <v>836</v>
      </c>
      <c r="U176" t="str">
        <f t="shared" si="46"/>
        <v>2500-12-31 00:00:00.0</v>
      </c>
      <c r="V176" t="s">
        <v>837</v>
      </c>
      <c r="W176" t="str">
        <f>"048314-070417-**-**"</f>
        <v>048314-070417-**-**</v>
      </c>
      <c r="X176" t="s">
        <v>838</v>
      </c>
      <c r="Y176">
        <v>1125</v>
      </c>
      <c r="Z176">
        <v>1125</v>
      </c>
      <c r="AA176" t="str">
        <f t="shared" si="41"/>
        <v>06/08/2016</v>
      </c>
    </row>
    <row r="177" spans="1:27" x14ac:dyDescent="0.3">
      <c r="A177" t="str">
        <f t="shared" si="32"/>
        <v>048314</v>
      </c>
      <c r="B177" t="str">
        <f t="shared" si="42"/>
        <v>004697</v>
      </c>
      <c r="C177" t="s">
        <v>3295</v>
      </c>
      <c r="D177" t="s">
        <v>3839</v>
      </c>
      <c r="E177" t="s">
        <v>3840</v>
      </c>
      <c r="F177" t="s">
        <v>3841</v>
      </c>
      <c r="G177" t="s">
        <v>3842</v>
      </c>
      <c r="H177" t="str">
        <f t="shared" si="39"/>
        <v>048314</v>
      </c>
      <c r="I177" t="s">
        <v>833</v>
      </c>
      <c r="J177" t="str">
        <f t="shared" si="47"/>
        <v>2015-07-01 00:00:00.0</v>
      </c>
      <c r="K177" t="s">
        <v>834</v>
      </c>
      <c r="L177" t="s">
        <v>0</v>
      </c>
      <c r="M177" t="str">
        <f t="shared" si="33"/>
        <v>048314</v>
      </c>
      <c r="N177">
        <v>1</v>
      </c>
      <c r="O177">
        <v>1</v>
      </c>
      <c r="P177" t="str">
        <f>"05"</f>
        <v>05</v>
      </c>
      <c r="Q177" t="s">
        <v>835</v>
      </c>
      <c r="S177" t="s">
        <v>836</v>
      </c>
      <c r="T177" t="s">
        <v>836</v>
      </c>
      <c r="U177" t="str">
        <f t="shared" si="46"/>
        <v>2500-12-31 00:00:00.0</v>
      </c>
      <c r="V177" t="s">
        <v>837</v>
      </c>
      <c r="W177" t="str">
        <f>"048314-070417-**-**"</f>
        <v>048314-070417-**-**</v>
      </c>
      <c r="X177" t="s">
        <v>838</v>
      </c>
      <c r="Y177">
        <v>1125</v>
      </c>
      <c r="Z177">
        <v>1125</v>
      </c>
      <c r="AA177" t="str">
        <f t="shared" si="41"/>
        <v>06/08/2016</v>
      </c>
    </row>
    <row r="178" spans="1:27" x14ac:dyDescent="0.3">
      <c r="A178" t="str">
        <f t="shared" si="32"/>
        <v>048314</v>
      </c>
      <c r="B178" t="str">
        <f t="shared" si="42"/>
        <v>004697</v>
      </c>
      <c r="C178" t="s">
        <v>1693</v>
      </c>
      <c r="D178" t="s">
        <v>3839</v>
      </c>
      <c r="E178" t="s">
        <v>3840</v>
      </c>
      <c r="F178" t="s">
        <v>3841</v>
      </c>
      <c r="G178" t="s">
        <v>3842</v>
      </c>
      <c r="H178" t="str">
        <f t="shared" si="39"/>
        <v>048314</v>
      </c>
      <c r="I178" t="s">
        <v>833</v>
      </c>
      <c r="J178" t="str">
        <f t="shared" si="47"/>
        <v>2015-07-01 00:00:00.0</v>
      </c>
      <c r="K178" t="s">
        <v>834</v>
      </c>
      <c r="L178" t="s">
        <v>0</v>
      </c>
      <c r="M178" t="str">
        <f t="shared" si="33"/>
        <v>048314</v>
      </c>
      <c r="N178">
        <v>1</v>
      </c>
      <c r="O178">
        <v>1</v>
      </c>
      <c r="P178" t="str">
        <f>"02"</f>
        <v>02</v>
      </c>
      <c r="Q178" t="s">
        <v>835</v>
      </c>
      <c r="S178" t="s">
        <v>836</v>
      </c>
      <c r="T178" t="s">
        <v>836</v>
      </c>
      <c r="U178" t="str">
        <f t="shared" si="46"/>
        <v>2500-12-31 00:00:00.0</v>
      </c>
      <c r="V178" t="s">
        <v>837</v>
      </c>
      <c r="W178" t="str">
        <f t="shared" ref="W178:W190" si="48">"048314-004697-**-**"</f>
        <v>048314-004697-**-**</v>
      </c>
      <c r="X178" t="s">
        <v>838</v>
      </c>
      <c r="Y178">
        <v>1206.25</v>
      </c>
      <c r="Z178">
        <v>1206.25</v>
      </c>
      <c r="AA178" t="str">
        <f t="shared" si="41"/>
        <v>06/08/2016</v>
      </c>
    </row>
    <row r="179" spans="1:27" x14ac:dyDescent="0.3">
      <c r="A179" t="str">
        <f t="shared" si="32"/>
        <v>048314</v>
      </c>
      <c r="B179" t="str">
        <f t="shared" si="42"/>
        <v>004697</v>
      </c>
      <c r="C179" t="s">
        <v>951</v>
      </c>
      <c r="D179" t="s">
        <v>3839</v>
      </c>
      <c r="E179" t="s">
        <v>3840</v>
      </c>
      <c r="F179" t="s">
        <v>3841</v>
      </c>
      <c r="G179" t="s">
        <v>3842</v>
      </c>
      <c r="H179" t="str">
        <f t="shared" si="39"/>
        <v>048314</v>
      </c>
      <c r="I179" t="s">
        <v>833</v>
      </c>
      <c r="J179" t="str">
        <f t="shared" si="47"/>
        <v>2015-07-01 00:00:00.0</v>
      </c>
      <c r="K179" t="s">
        <v>834</v>
      </c>
      <c r="L179" t="s">
        <v>0</v>
      </c>
      <c r="M179" t="str">
        <f t="shared" si="33"/>
        <v>048314</v>
      </c>
      <c r="N179">
        <v>1</v>
      </c>
      <c r="O179">
        <v>1</v>
      </c>
      <c r="P179" t="s">
        <v>764</v>
      </c>
      <c r="Q179" t="s">
        <v>835</v>
      </c>
      <c r="S179" t="s">
        <v>836</v>
      </c>
      <c r="T179" t="s">
        <v>836</v>
      </c>
      <c r="U179" t="str">
        <f t="shared" si="46"/>
        <v>2500-12-31 00:00:00.0</v>
      </c>
      <c r="V179" t="s">
        <v>837</v>
      </c>
      <c r="W179" t="str">
        <f t="shared" si="48"/>
        <v>048314-004697-**-**</v>
      </c>
      <c r="X179" t="s">
        <v>838</v>
      </c>
      <c r="Y179">
        <v>1206.25</v>
      </c>
      <c r="Z179">
        <v>1206.25</v>
      </c>
      <c r="AA179" t="str">
        <f t="shared" si="41"/>
        <v>06/08/2016</v>
      </c>
    </row>
    <row r="180" spans="1:27" x14ac:dyDescent="0.3">
      <c r="A180" t="str">
        <f t="shared" si="32"/>
        <v>048314</v>
      </c>
      <c r="B180" t="str">
        <f t="shared" si="42"/>
        <v>004697</v>
      </c>
      <c r="C180" t="s">
        <v>3192</v>
      </c>
      <c r="D180" t="s">
        <v>3839</v>
      </c>
      <c r="E180" t="s">
        <v>3840</v>
      </c>
      <c r="F180" t="s">
        <v>3841</v>
      </c>
      <c r="G180" t="s">
        <v>3842</v>
      </c>
      <c r="H180" t="str">
        <f t="shared" si="39"/>
        <v>048314</v>
      </c>
      <c r="I180" t="s">
        <v>833</v>
      </c>
      <c r="J180" t="str">
        <f t="shared" si="47"/>
        <v>2015-07-01 00:00:00.0</v>
      </c>
      <c r="K180" t="s">
        <v>834</v>
      </c>
      <c r="L180" t="s">
        <v>0</v>
      </c>
      <c r="M180" t="str">
        <f t="shared" si="33"/>
        <v>048314</v>
      </c>
      <c r="N180">
        <v>1</v>
      </c>
      <c r="O180">
        <v>1</v>
      </c>
      <c r="P180" t="str">
        <f>"03"</f>
        <v>03</v>
      </c>
      <c r="Q180" t="s">
        <v>835</v>
      </c>
      <c r="S180" t="s">
        <v>836</v>
      </c>
      <c r="T180" t="s">
        <v>836</v>
      </c>
      <c r="U180" t="str">
        <f t="shared" si="46"/>
        <v>2500-12-31 00:00:00.0</v>
      </c>
      <c r="V180" t="s">
        <v>837</v>
      </c>
      <c r="W180" t="str">
        <f t="shared" si="48"/>
        <v>048314-004697-**-**</v>
      </c>
      <c r="X180" t="s">
        <v>838</v>
      </c>
      <c r="Y180">
        <v>1206.25</v>
      </c>
      <c r="Z180">
        <v>1206.25</v>
      </c>
      <c r="AA180" t="str">
        <f t="shared" si="41"/>
        <v>06/08/2016</v>
      </c>
    </row>
    <row r="181" spans="1:27" x14ac:dyDescent="0.3">
      <c r="A181" t="str">
        <f t="shared" si="32"/>
        <v>048314</v>
      </c>
      <c r="B181" t="str">
        <f t="shared" si="42"/>
        <v>004697</v>
      </c>
      <c r="C181" t="s">
        <v>2963</v>
      </c>
      <c r="D181" t="s">
        <v>3839</v>
      </c>
      <c r="E181" t="s">
        <v>3840</v>
      </c>
      <c r="F181" t="s">
        <v>3841</v>
      </c>
      <c r="G181" t="s">
        <v>3842</v>
      </c>
      <c r="H181" t="str">
        <f t="shared" si="39"/>
        <v>048314</v>
      </c>
      <c r="I181" t="s">
        <v>833</v>
      </c>
      <c r="J181" t="str">
        <f t="shared" si="47"/>
        <v>2015-07-01 00:00:00.0</v>
      </c>
      <c r="K181" t="s">
        <v>834</v>
      </c>
      <c r="L181" t="s">
        <v>0</v>
      </c>
      <c r="M181" t="str">
        <f t="shared" si="33"/>
        <v>048314</v>
      </c>
      <c r="N181">
        <v>1</v>
      </c>
      <c r="O181">
        <v>1</v>
      </c>
      <c r="P181" t="str">
        <f>"02"</f>
        <v>02</v>
      </c>
      <c r="Q181" t="s">
        <v>835</v>
      </c>
      <c r="S181" t="s">
        <v>836</v>
      </c>
      <c r="T181" t="s">
        <v>836</v>
      </c>
      <c r="U181" t="str">
        <f t="shared" si="46"/>
        <v>2500-12-31 00:00:00.0</v>
      </c>
      <c r="V181" t="s">
        <v>837</v>
      </c>
      <c r="W181" t="str">
        <f t="shared" si="48"/>
        <v>048314-004697-**-**</v>
      </c>
      <c r="X181" t="s">
        <v>838</v>
      </c>
      <c r="Y181">
        <v>1206.25</v>
      </c>
      <c r="Z181">
        <v>1206.25</v>
      </c>
      <c r="AA181" t="str">
        <f t="shared" si="41"/>
        <v>06/08/2016</v>
      </c>
    </row>
    <row r="182" spans="1:27" x14ac:dyDescent="0.3">
      <c r="A182" t="str">
        <f t="shared" si="32"/>
        <v>048314</v>
      </c>
      <c r="B182" t="str">
        <f t="shared" si="42"/>
        <v>004697</v>
      </c>
      <c r="C182" t="s">
        <v>3037</v>
      </c>
      <c r="D182" t="s">
        <v>3839</v>
      </c>
      <c r="E182" t="s">
        <v>3840</v>
      </c>
      <c r="F182" t="s">
        <v>3841</v>
      </c>
      <c r="G182" t="s">
        <v>3842</v>
      </c>
      <c r="H182" t="str">
        <f t="shared" si="39"/>
        <v>048314</v>
      </c>
      <c r="I182" t="s">
        <v>833</v>
      </c>
      <c r="J182" t="str">
        <f t="shared" si="47"/>
        <v>2015-07-01 00:00:00.0</v>
      </c>
      <c r="K182" t="s">
        <v>834</v>
      </c>
      <c r="L182" t="s">
        <v>0</v>
      </c>
      <c r="M182" t="str">
        <f t="shared" si="33"/>
        <v>048314</v>
      </c>
      <c r="N182">
        <v>1</v>
      </c>
      <c r="O182">
        <v>1</v>
      </c>
      <c r="P182" t="str">
        <f>"01"</f>
        <v>01</v>
      </c>
      <c r="Q182" t="s">
        <v>835</v>
      </c>
      <c r="S182" t="s">
        <v>836</v>
      </c>
      <c r="T182" t="s">
        <v>836</v>
      </c>
      <c r="U182" t="str">
        <f t="shared" si="46"/>
        <v>2500-12-31 00:00:00.0</v>
      </c>
      <c r="V182" t="s">
        <v>837</v>
      </c>
      <c r="W182" t="str">
        <f t="shared" si="48"/>
        <v>048314-004697-**-**</v>
      </c>
      <c r="X182" t="s">
        <v>838</v>
      </c>
      <c r="Y182">
        <v>1206.25</v>
      </c>
      <c r="Z182">
        <v>1206.25</v>
      </c>
      <c r="AA182" t="str">
        <f t="shared" si="41"/>
        <v>06/08/2016</v>
      </c>
    </row>
    <row r="183" spans="1:27" x14ac:dyDescent="0.3">
      <c r="A183" t="str">
        <f t="shared" si="32"/>
        <v>048314</v>
      </c>
      <c r="B183" t="str">
        <f t="shared" si="42"/>
        <v>004697</v>
      </c>
      <c r="C183" t="s">
        <v>3679</v>
      </c>
      <c r="D183" t="s">
        <v>3839</v>
      </c>
      <c r="E183" t="s">
        <v>3840</v>
      </c>
      <c r="F183" t="s">
        <v>3841</v>
      </c>
      <c r="G183" t="s">
        <v>3842</v>
      </c>
      <c r="H183" t="str">
        <f t="shared" si="39"/>
        <v>048314</v>
      </c>
      <c r="I183" t="s">
        <v>833</v>
      </c>
      <c r="J183" t="str">
        <f>"2015-08-01 00:00:00.0"</f>
        <v>2015-08-01 00:00:00.0</v>
      </c>
      <c r="K183" t="s">
        <v>834</v>
      </c>
      <c r="L183" t="s">
        <v>0</v>
      </c>
      <c r="M183" t="str">
        <f t="shared" si="33"/>
        <v>048314</v>
      </c>
      <c r="N183">
        <v>1</v>
      </c>
      <c r="O183">
        <v>1</v>
      </c>
      <c r="P183" t="s">
        <v>764</v>
      </c>
      <c r="Q183" t="s">
        <v>835</v>
      </c>
      <c r="S183" t="s">
        <v>836</v>
      </c>
      <c r="T183" t="s">
        <v>836</v>
      </c>
      <c r="U183" t="str">
        <f t="shared" si="46"/>
        <v>2500-12-31 00:00:00.0</v>
      </c>
      <c r="V183" t="s">
        <v>837</v>
      </c>
      <c r="W183" t="str">
        <f t="shared" si="48"/>
        <v>048314-004697-**-**</v>
      </c>
      <c r="X183" t="s">
        <v>838</v>
      </c>
      <c r="Y183">
        <v>1206.25</v>
      </c>
      <c r="Z183">
        <v>1206.25</v>
      </c>
      <c r="AA183" t="str">
        <f t="shared" si="41"/>
        <v>06/08/2016</v>
      </c>
    </row>
    <row r="184" spans="1:27" x14ac:dyDescent="0.3">
      <c r="A184" t="str">
        <f t="shared" si="32"/>
        <v>048314</v>
      </c>
      <c r="B184" t="str">
        <f t="shared" si="42"/>
        <v>004697</v>
      </c>
      <c r="C184" t="s">
        <v>3118</v>
      </c>
      <c r="D184" t="s">
        <v>3839</v>
      </c>
      <c r="E184" t="s">
        <v>3840</v>
      </c>
      <c r="F184" t="s">
        <v>3841</v>
      </c>
      <c r="G184" t="s">
        <v>3842</v>
      </c>
      <c r="H184" t="str">
        <f t="shared" si="39"/>
        <v>048314</v>
      </c>
      <c r="I184" t="s">
        <v>833</v>
      </c>
      <c r="J184" t="str">
        <f>"2015-07-01 00:00:00.0"</f>
        <v>2015-07-01 00:00:00.0</v>
      </c>
      <c r="K184" t="s">
        <v>834</v>
      </c>
      <c r="L184" t="s">
        <v>0</v>
      </c>
      <c r="M184" t="str">
        <f t="shared" si="33"/>
        <v>048314</v>
      </c>
      <c r="N184">
        <v>1</v>
      </c>
      <c r="O184">
        <v>1</v>
      </c>
      <c r="P184" t="str">
        <f>"03"</f>
        <v>03</v>
      </c>
      <c r="Q184" t="s">
        <v>835</v>
      </c>
      <c r="S184" t="s">
        <v>836</v>
      </c>
      <c r="T184" t="s">
        <v>836</v>
      </c>
      <c r="U184" t="str">
        <f t="shared" si="46"/>
        <v>2500-12-31 00:00:00.0</v>
      </c>
      <c r="V184" t="s">
        <v>837</v>
      </c>
      <c r="W184" t="str">
        <f t="shared" si="48"/>
        <v>048314-004697-**-**</v>
      </c>
      <c r="X184" t="s">
        <v>838</v>
      </c>
      <c r="Y184">
        <v>1206.25</v>
      </c>
      <c r="Z184">
        <v>1206.25</v>
      </c>
      <c r="AA184" t="str">
        <f t="shared" si="41"/>
        <v>06/08/2016</v>
      </c>
    </row>
    <row r="185" spans="1:27" x14ac:dyDescent="0.3">
      <c r="A185" t="str">
        <f t="shared" si="32"/>
        <v>048314</v>
      </c>
      <c r="B185" t="str">
        <f t="shared" si="42"/>
        <v>004697</v>
      </c>
      <c r="C185" t="s">
        <v>2982</v>
      </c>
      <c r="D185" t="s">
        <v>3839</v>
      </c>
      <c r="E185" t="s">
        <v>3840</v>
      </c>
      <c r="F185" t="s">
        <v>3841</v>
      </c>
      <c r="G185" t="s">
        <v>3842</v>
      </c>
      <c r="H185" t="str">
        <f t="shared" si="39"/>
        <v>048314</v>
      </c>
      <c r="I185" t="s">
        <v>833</v>
      </c>
      <c r="J185" t="str">
        <f>"2015-07-01 00:00:00.0"</f>
        <v>2015-07-01 00:00:00.0</v>
      </c>
      <c r="K185" t="s">
        <v>834</v>
      </c>
      <c r="L185" t="s">
        <v>0</v>
      </c>
      <c r="M185" t="str">
        <f t="shared" si="33"/>
        <v>048314</v>
      </c>
      <c r="N185">
        <v>1</v>
      </c>
      <c r="O185">
        <v>1</v>
      </c>
      <c r="P185" t="str">
        <f>"02"</f>
        <v>02</v>
      </c>
      <c r="Q185" t="s">
        <v>835</v>
      </c>
      <c r="S185" t="s">
        <v>836</v>
      </c>
      <c r="T185" t="s">
        <v>836</v>
      </c>
      <c r="U185" t="str">
        <f t="shared" si="46"/>
        <v>2500-12-31 00:00:00.0</v>
      </c>
      <c r="V185" t="s">
        <v>837</v>
      </c>
      <c r="W185" t="str">
        <f t="shared" si="48"/>
        <v>048314-004697-**-**</v>
      </c>
      <c r="X185" t="s">
        <v>838</v>
      </c>
      <c r="Y185">
        <v>1206.25</v>
      </c>
      <c r="Z185">
        <v>1206.25</v>
      </c>
      <c r="AA185" t="str">
        <f t="shared" si="41"/>
        <v>06/08/2016</v>
      </c>
    </row>
    <row r="186" spans="1:27" x14ac:dyDescent="0.3">
      <c r="A186" t="str">
        <f t="shared" si="32"/>
        <v>048314</v>
      </c>
      <c r="B186" t="str">
        <f t="shared" si="42"/>
        <v>004697</v>
      </c>
      <c r="C186" t="s">
        <v>2543</v>
      </c>
      <c r="D186" t="s">
        <v>3839</v>
      </c>
      <c r="E186" t="s">
        <v>3840</v>
      </c>
      <c r="F186" t="s">
        <v>3841</v>
      </c>
      <c r="G186" t="s">
        <v>3842</v>
      </c>
      <c r="H186" t="str">
        <f t="shared" si="39"/>
        <v>048314</v>
      </c>
      <c r="I186" t="s">
        <v>833</v>
      </c>
      <c r="J186" t="str">
        <f>"2015-08-01 00:00:00.0"</f>
        <v>2015-08-01 00:00:00.0</v>
      </c>
      <c r="K186" t="s">
        <v>834</v>
      </c>
      <c r="L186" t="s">
        <v>0</v>
      </c>
      <c r="M186" t="str">
        <f t="shared" si="33"/>
        <v>048314</v>
      </c>
      <c r="N186">
        <v>1</v>
      </c>
      <c r="O186">
        <v>1</v>
      </c>
      <c r="P186" t="s">
        <v>764</v>
      </c>
      <c r="Q186" t="s">
        <v>835</v>
      </c>
      <c r="S186" t="s">
        <v>836</v>
      </c>
      <c r="T186" t="s">
        <v>836</v>
      </c>
      <c r="U186" t="str">
        <f t="shared" si="46"/>
        <v>2500-12-31 00:00:00.0</v>
      </c>
      <c r="V186" t="s">
        <v>837</v>
      </c>
      <c r="W186" t="str">
        <f t="shared" si="48"/>
        <v>048314-004697-**-**</v>
      </c>
      <c r="X186" t="s">
        <v>838</v>
      </c>
      <c r="Y186">
        <v>1206.25</v>
      </c>
      <c r="Z186">
        <v>1206.25</v>
      </c>
      <c r="AA186" t="str">
        <f t="shared" si="41"/>
        <v>06/08/2016</v>
      </c>
    </row>
    <row r="187" spans="1:27" x14ac:dyDescent="0.3">
      <c r="A187" t="str">
        <f t="shared" si="32"/>
        <v>048314</v>
      </c>
      <c r="B187" t="str">
        <f t="shared" si="42"/>
        <v>004697</v>
      </c>
      <c r="C187" t="s">
        <v>1047</v>
      </c>
      <c r="D187" t="s">
        <v>3839</v>
      </c>
      <c r="E187" t="s">
        <v>3840</v>
      </c>
      <c r="F187" t="s">
        <v>3841</v>
      </c>
      <c r="G187" t="s">
        <v>3842</v>
      </c>
      <c r="H187" t="str">
        <f t="shared" si="39"/>
        <v>048314</v>
      </c>
      <c r="I187" t="s">
        <v>833</v>
      </c>
      <c r="J187" t="str">
        <f>"2015-07-01 00:00:00.0"</f>
        <v>2015-07-01 00:00:00.0</v>
      </c>
      <c r="K187" t="s">
        <v>834</v>
      </c>
      <c r="L187" t="s">
        <v>0</v>
      </c>
      <c r="M187" t="str">
        <f t="shared" si="33"/>
        <v>048314</v>
      </c>
      <c r="N187">
        <v>1</v>
      </c>
      <c r="O187">
        <v>1</v>
      </c>
      <c r="P187" t="str">
        <f>"04"</f>
        <v>04</v>
      </c>
      <c r="Q187" t="str">
        <f>"10"</f>
        <v>10</v>
      </c>
      <c r="R187" t="str">
        <f>"2"</f>
        <v>2</v>
      </c>
      <c r="S187" t="s">
        <v>836</v>
      </c>
      <c r="T187" t="s">
        <v>836</v>
      </c>
      <c r="U187" t="str">
        <f t="shared" si="46"/>
        <v>2500-12-31 00:00:00.0</v>
      </c>
      <c r="V187" t="s">
        <v>837</v>
      </c>
      <c r="W187" t="str">
        <f t="shared" si="48"/>
        <v>048314-004697-**-**</v>
      </c>
      <c r="X187" t="s">
        <v>838</v>
      </c>
      <c r="Y187">
        <v>1206.25</v>
      </c>
      <c r="Z187">
        <v>1206.25</v>
      </c>
      <c r="AA187" t="str">
        <f t="shared" si="41"/>
        <v>06/08/2016</v>
      </c>
    </row>
    <row r="188" spans="1:27" x14ac:dyDescent="0.3">
      <c r="A188" t="str">
        <f t="shared" si="32"/>
        <v>048314</v>
      </c>
      <c r="B188" t="str">
        <f t="shared" si="42"/>
        <v>004697</v>
      </c>
      <c r="C188" t="s">
        <v>2851</v>
      </c>
      <c r="D188" t="s">
        <v>3839</v>
      </c>
      <c r="E188" t="s">
        <v>3840</v>
      </c>
      <c r="F188" t="s">
        <v>3841</v>
      </c>
      <c r="G188" t="s">
        <v>3842</v>
      </c>
      <c r="H188" t="str">
        <f t="shared" si="39"/>
        <v>048314</v>
      </c>
      <c r="I188" t="s">
        <v>833</v>
      </c>
      <c r="J188" t="str">
        <f>"2015-07-01 00:00:00.0"</f>
        <v>2015-07-01 00:00:00.0</v>
      </c>
      <c r="K188" t="s">
        <v>834</v>
      </c>
      <c r="L188" t="s">
        <v>0</v>
      </c>
      <c r="M188" t="str">
        <f t="shared" si="33"/>
        <v>048314</v>
      </c>
      <c r="N188">
        <v>1</v>
      </c>
      <c r="O188">
        <v>1</v>
      </c>
      <c r="P188" t="str">
        <f>"04"</f>
        <v>04</v>
      </c>
      <c r="Q188" t="str">
        <f>"10"</f>
        <v>10</v>
      </c>
      <c r="R188" t="str">
        <f>"2"</f>
        <v>2</v>
      </c>
      <c r="S188" t="s">
        <v>836</v>
      </c>
      <c r="T188" t="s">
        <v>836</v>
      </c>
      <c r="U188" t="str">
        <f t="shared" si="46"/>
        <v>2500-12-31 00:00:00.0</v>
      </c>
      <c r="V188" t="s">
        <v>837</v>
      </c>
      <c r="W188" t="str">
        <f t="shared" si="48"/>
        <v>048314-004697-**-**</v>
      </c>
      <c r="X188" t="s">
        <v>838</v>
      </c>
      <c r="Y188">
        <v>1206.25</v>
      </c>
      <c r="Z188">
        <v>1206.25</v>
      </c>
      <c r="AA188" t="str">
        <f t="shared" si="41"/>
        <v>06/08/2016</v>
      </c>
    </row>
    <row r="189" spans="1:27" x14ac:dyDescent="0.3">
      <c r="A189" t="str">
        <f t="shared" si="32"/>
        <v>048314</v>
      </c>
      <c r="B189" t="str">
        <f t="shared" si="42"/>
        <v>004697</v>
      </c>
      <c r="C189" t="s">
        <v>3173</v>
      </c>
      <c r="D189" t="s">
        <v>3839</v>
      </c>
      <c r="E189" t="s">
        <v>3840</v>
      </c>
      <c r="F189" t="s">
        <v>3841</v>
      </c>
      <c r="G189" t="s">
        <v>3842</v>
      </c>
      <c r="H189" t="str">
        <f t="shared" si="39"/>
        <v>048314</v>
      </c>
      <c r="I189" t="s">
        <v>833</v>
      </c>
      <c r="J189" t="str">
        <f>"2015-08-06 00:00:00.0"</f>
        <v>2015-08-06 00:00:00.0</v>
      </c>
      <c r="K189" t="s">
        <v>834</v>
      </c>
      <c r="L189" t="s">
        <v>0</v>
      </c>
      <c r="M189" t="str">
        <f t="shared" si="33"/>
        <v>048314</v>
      </c>
      <c r="N189">
        <v>1</v>
      </c>
      <c r="O189">
        <v>1</v>
      </c>
      <c r="P189" t="s">
        <v>764</v>
      </c>
      <c r="Q189" t="s">
        <v>835</v>
      </c>
      <c r="S189" t="s">
        <v>836</v>
      </c>
      <c r="T189" t="s">
        <v>836</v>
      </c>
      <c r="U189" t="str">
        <f t="shared" si="46"/>
        <v>2500-12-31 00:00:00.0</v>
      </c>
      <c r="V189" t="s">
        <v>837</v>
      </c>
      <c r="W189" t="str">
        <f t="shared" si="48"/>
        <v>048314-004697-**-**</v>
      </c>
      <c r="X189" t="s">
        <v>838</v>
      </c>
      <c r="Y189">
        <v>1206.25</v>
      </c>
      <c r="Z189">
        <v>1206.25</v>
      </c>
      <c r="AA189" t="str">
        <f t="shared" si="41"/>
        <v>06/08/2016</v>
      </c>
    </row>
    <row r="190" spans="1:27" x14ac:dyDescent="0.3">
      <c r="A190" t="str">
        <f t="shared" si="32"/>
        <v>048314</v>
      </c>
      <c r="B190" t="str">
        <f t="shared" si="42"/>
        <v>004697</v>
      </c>
      <c r="C190" t="s">
        <v>3572</v>
      </c>
      <c r="D190" t="s">
        <v>3839</v>
      </c>
      <c r="E190" t="s">
        <v>3840</v>
      </c>
      <c r="F190" t="s">
        <v>3841</v>
      </c>
      <c r="G190" t="s">
        <v>3842</v>
      </c>
      <c r="H190" t="str">
        <f t="shared" si="39"/>
        <v>048314</v>
      </c>
      <c r="I190" t="s">
        <v>833</v>
      </c>
      <c r="J190" t="str">
        <f>"2015-07-01 00:00:00.0"</f>
        <v>2015-07-01 00:00:00.0</v>
      </c>
      <c r="K190" t="s">
        <v>834</v>
      </c>
      <c r="L190" t="s">
        <v>0</v>
      </c>
      <c r="M190" t="str">
        <f t="shared" si="33"/>
        <v>048314</v>
      </c>
      <c r="N190">
        <v>1</v>
      </c>
      <c r="O190">
        <v>1</v>
      </c>
      <c r="P190" t="str">
        <f>"03"</f>
        <v>03</v>
      </c>
      <c r="Q190" t="s">
        <v>835</v>
      </c>
      <c r="S190" t="s">
        <v>836</v>
      </c>
      <c r="T190" t="s">
        <v>836</v>
      </c>
      <c r="U190" t="str">
        <f t="shared" si="46"/>
        <v>2500-12-31 00:00:00.0</v>
      </c>
      <c r="V190" t="s">
        <v>837</v>
      </c>
      <c r="W190" t="str">
        <f t="shared" si="48"/>
        <v>048314-004697-**-**</v>
      </c>
      <c r="X190" t="s">
        <v>838</v>
      </c>
      <c r="Y190">
        <v>1206.25</v>
      </c>
      <c r="Z190">
        <v>1206.25</v>
      </c>
      <c r="AA190" t="str">
        <f t="shared" si="41"/>
        <v>06/08/2016</v>
      </c>
    </row>
    <row r="191" spans="1:27" x14ac:dyDescent="0.3">
      <c r="A191" t="str">
        <f t="shared" si="32"/>
        <v>048314</v>
      </c>
      <c r="B191" t="str">
        <f t="shared" si="42"/>
        <v>004697</v>
      </c>
      <c r="C191" t="s">
        <v>1545</v>
      </c>
      <c r="D191" t="s">
        <v>3839</v>
      </c>
      <c r="E191" t="s">
        <v>3840</v>
      </c>
      <c r="F191" t="s">
        <v>3841</v>
      </c>
      <c r="G191" t="s">
        <v>3842</v>
      </c>
      <c r="H191" t="str">
        <f>"048280"</f>
        <v>048280</v>
      </c>
      <c r="I191" t="s">
        <v>833</v>
      </c>
      <c r="J191" t="str">
        <f>"2015-11-17 00:00:00.0"</f>
        <v>2015-11-17 00:00:00.0</v>
      </c>
      <c r="K191" t="s">
        <v>834</v>
      </c>
      <c r="L191" t="s">
        <v>142</v>
      </c>
      <c r="M191" t="str">
        <f t="shared" si="33"/>
        <v>048314</v>
      </c>
      <c r="N191">
        <v>0.69230800000000003</v>
      </c>
      <c r="O191">
        <v>0.69230800000000003</v>
      </c>
      <c r="P191" t="s">
        <v>841</v>
      </c>
      <c r="Q191" t="str">
        <f>"04"</f>
        <v>04</v>
      </c>
      <c r="R191" t="str">
        <f>"4"</f>
        <v>4</v>
      </c>
      <c r="S191" t="s">
        <v>836</v>
      </c>
      <c r="T191" t="s">
        <v>836</v>
      </c>
      <c r="U191" t="str">
        <f t="shared" si="46"/>
        <v>2500-12-31 00:00:00.0</v>
      </c>
      <c r="V191" t="s">
        <v>837</v>
      </c>
      <c r="W191" t="str">
        <f>"048280-048280-PS-IC"</f>
        <v>048280-048280-PS-IC</v>
      </c>
      <c r="X191" t="s">
        <v>838</v>
      </c>
      <c r="Y191">
        <v>27</v>
      </c>
      <c r="Z191">
        <v>39</v>
      </c>
      <c r="AA191" t="str">
        <f>"06/15/2016"</f>
        <v>06/15/2016</v>
      </c>
    </row>
    <row r="192" spans="1:27" x14ac:dyDescent="0.3">
      <c r="A192" t="str">
        <f t="shared" si="32"/>
        <v>048314</v>
      </c>
      <c r="B192" t="str">
        <f t="shared" si="42"/>
        <v>004697</v>
      </c>
      <c r="C192" t="s">
        <v>2852</v>
      </c>
      <c r="D192" t="s">
        <v>3839</v>
      </c>
      <c r="E192" t="s">
        <v>3840</v>
      </c>
      <c r="F192" t="s">
        <v>3841</v>
      </c>
      <c r="G192" t="s">
        <v>3842</v>
      </c>
      <c r="H192" t="str">
        <f>"048314"</f>
        <v>048314</v>
      </c>
      <c r="I192" t="s">
        <v>833</v>
      </c>
      <c r="J192" t="str">
        <f t="shared" ref="J192:J200" si="49">"2015-07-01 00:00:00.0"</f>
        <v>2015-07-01 00:00:00.0</v>
      </c>
      <c r="K192" t="s">
        <v>834</v>
      </c>
      <c r="L192" t="s">
        <v>0</v>
      </c>
      <c r="M192" t="str">
        <f t="shared" si="33"/>
        <v>048314</v>
      </c>
      <c r="N192">
        <v>1</v>
      </c>
      <c r="O192">
        <v>1</v>
      </c>
      <c r="P192" t="str">
        <f>"05"</f>
        <v>05</v>
      </c>
      <c r="Q192" t="s">
        <v>835</v>
      </c>
      <c r="S192" t="s">
        <v>836</v>
      </c>
      <c r="T192" t="s">
        <v>836</v>
      </c>
      <c r="U192" t="str">
        <f t="shared" si="46"/>
        <v>2500-12-31 00:00:00.0</v>
      </c>
      <c r="V192" t="s">
        <v>837</v>
      </c>
      <c r="W192" t="str">
        <f>"048314-070417-**-**"</f>
        <v>048314-070417-**-**</v>
      </c>
      <c r="X192" t="s">
        <v>838</v>
      </c>
      <c r="Y192">
        <v>1125</v>
      </c>
      <c r="Z192">
        <v>1125</v>
      </c>
      <c r="AA192" t="str">
        <f>"06/08/2016"</f>
        <v>06/08/2016</v>
      </c>
    </row>
    <row r="193" spans="1:27" x14ac:dyDescent="0.3">
      <c r="A193" t="str">
        <f t="shared" si="32"/>
        <v>048314</v>
      </c>
      <c r="B193" t="str">
        <f t="shared" si="42"/>
        <v>004697</v>
      </c>
      <c r="C193" t="s">
        <v>2518</v>
      </c>
      <c r="D193" t="s">
        <v>3839</v>
      </c>
      <c r="E193" t="s">
        <v>3840</v>
      </c>
      <c r="F193" t="s">
        <v>3841</v>
      </c>
      <c r="G193" t="s">
        <v>3842</v>
      </c>
      <c r="H193" t="str">
        <f>"048314"</f>
        <v>048314</v>
      </c>
      <c r="I193" t="s">
        <v>833</v>
      </c>
      <c r="J193" t="str">
        <f t="shared" si="49"/>
        <v>2015-07-01 00:00:00.0</v>
      </c>
      <c r="K193" t="s">
        <v>834</v>
      </c>
      <c r="L193" t="s">
        <v>0</v>
      </c>
      <c r="M193" t="str">
        <f t="shared" si="33"/>
        <v>048314</v>
      </c>
      <c r="N193">
        <v>1</v>
      </c>
      <c r="O193">
        <v>1</v>
      </c>
      <c r="P193" t="str">
        <f>"02"</f>
        <v>02</v>
      </c>
      <c r="Q193" t="s">
        <v>835</v>
      </c>
      <c r="S193" t="s">
        <v>836</v>
      </c>
      <c r="T193" t="s">
        <v>836</v>
      </c>
      <c r="U193" t="str">
        <f t="shared" si="46"/>
        <v>2500-12-31 00:00:00.0</v>
      </c>
      <c r="V193" t="s">
        <v>837</v>
      </c>
      <c r="W193" t="str">
        <f>"048314-004697-**-**"</f>
        <v>048314-004697-**-**</v>
      </c>
      <c r="X193" t="s">
        <v>838</v>
      </c>
      <c r="Y193">
        <v>1206.25</v>
      </c>
      <c r="Z193">
        <v>1206.25</v>
      </c>
      <c r="AA193" t="str">
        <f>"06/08/2016"</f>
        <v>06/08/2016</v>
      </c>
    </row>
    <row r="194" spans="1:27" x14ac:dyDescent="0.3">
      <c r="A194" t="str">
        <f t="shared" ref="A194:A257" si="50">"048314"</f>
        <v>048314</v>
      </c>
      <c r="B194" t="str">
        <f t="shared" si="42"/>
        <v>004697</v>
      </c>
      <c r="C194" t="s">
        <v>3716</v>
      </c>
      <c r="D194" t="s">
        <v>3839</v>
      </c>
      <c r="E194" t="s">
        <v>3840</v>
      </c>
      <c r="F194" t="s">
        <v>3841</v>
      </c>
      <c r="G194" t="s">
        <v>3842</v>
      </c>
      <c r="H194" t="str">
        <f>"048280"</f>
        <v>048280</v>
      </c>
      <c r="I194" t="s">
        <v>833</v>
      </c>
      <c r="J194" t="str">
        <f t="shared" si="49"/>
        <v>2015-07-01 00:00:00.0</v>
      </c>
      <c r="K194" t="s">
        <v>834</v>
      </c>
      <c r="L194" t="s">
        <v>142</v>
      </c>
      <c r="M194" t="str">
        <f t="shared" ref="M194:M229" si="51">"048314"</f>
        <v>048314</v>
      </c>
      <c r="N194">
        <v>1</v>
      </c>
      <c r="O194">
        <v>1</v>
      </c>
      <c r="P194" t="s">
        <v>841</v>
      </c>
      <c r="Q194" t="str">
        <f>"16"</f>
        <v>16</v>
      </c>
      <c r="R194" t="str">
        <f>"2"</f>
        <v>2</v>
      </c>
      <c r="S194" t="s">
        <v>860</v>
      </c>
      <c r="T194" t="s">
        <v>836</v>
      </c>
      <c r="U194" t="str">
        <f t="shared" si="46"/>
        <v>2500-12-31 00:00:00.0</v>
      </c>
      <c r="V194" t="s">
        <v>837</v>
      </c>
      <c r="W194" t="str">
        <f>"048280-048280-PS-FP"</f>
        <v>048280-048280-PS-FP</v>
      </c>
      <c r="X194" t="s">
        <v>838</v>
      </c>
      <c r="Y194">
        <v>147</v>
      </c>
      <c r="Z194">
        <v>147</v>
      </c>
      <c r="AA194" t="str">
        <f>"06/15/2016"</f>
        <v>06/15/2016</v>
      </c>
    </row>
    <row r="195" spans="1:27" x14ac:dyDescent="0.3">
      <c r="A195" t="str">
        <f t="shared" si="50"/>
        <v>048314</v>
      </c>
      <c r="B195" t="str">
        <f t="shared" si="42"/>
        <v>004697</v>
      </c>
      <c r="C195" t="s">
        <v>3598</v>
      </c>
      <c r="D195" t="s">
        <v>3839</v>
      </c>
      <c r="E195" t="s">
        <v>3840</v>
      </c>
      <c r="F195" t="s">
        <v>3841</v>
      </c>
      <c r="G195" t="s">
        <v>3842</v>
      </c>
      <c r="H195" t="str">
        <f>"048314"</f>
        <v>048314</v>
      </c>
      <c r="I195" t="s">
        <v>833</v>
      </c>
      <c r="J195" t="str">
        <f t="shared" si="49"/>
        <v>2015-07-01 00:00:00.0</v>
      </c>
      <c r="K195" t="s">
        <v>834</v>
      </c>
      <c r="L195" t="s">
        <v>0</v>
      </c>
      <c r="M195" t="str">
        <f t="shared" si="51"/>
        <v>048314</v>
      </c>
      <c r="N195">
        <v>1</v>
      </c>
      <c r="O195">
        <v>1</v>
      </c>
      <c r="P195" t="str">
        <f>"03"</f>
        <v>03</v>
      </c>
      <c r="Q195" t="s">
        <v>835</v>
      </c>
      <c r="S195" t="s">
        <v>836</v>
      </c>
      <c r="T195" t="s">
        <v>836</v>
      </c>
      <c r="U195" t="str">
        <f t="shared" si="46"/>
        <v>2500-12-31 00:00:00.0</v>
      </c>
      <c r="V195" t="s">
        <v>837</v>
      </c>
      <c r="W195" t="str">
        <f>"048314-004697-**-**"</f>
        <v>048314-004697-**-**</v>
      </c>
      <c r="X195" t="s">
        <v>838</v>
      </c>
      <c r="Y195">
        <v>1206.25</v>
      </c>
      <c r="Z195">
        <v>1206.25</v>
      </c>
      <c r="AA195" t="str">
        <f>"06/08/2016"</f>
        <v>06/08/2016</v>
      </c>
    </row>
    <row r="196" spans="1:27" x14ac:dyDescent="0.3">
      <c r="A196" t="str">
        <f t="shared" si="50"/>
        <v>048314</v>
      </c>
      <c r="B196" t="str">
        <f t="shared" si="42"/>
        <v>004697</v>
      </c>
      <c r="C196" t="s">
        <v>3720</v>
      </c>
      <c r="D196" t="s">
        <v>3839</v>
      </c>
      <c r="E196" t="s">
        <v>3840</v>
      </c>
      <c r="F196" t="s">
        <v>3841</v>
      </c>
      <c r="G196" t="s">
        <v>3842</v>
      </c>
      <c r="H196" t="str">
        <f>"048314"</f>
        <v>048314</v>
      </c>
      <c r="I196" t="s">
        <v>833</v>
      </c>
      <c r="J196" t="str">
        <f t="shared" si="49"/>
        <v>2015-07-01 00:00:00.0</v>
      </c>
      <c r="K196" t="s">
        <v>834</v>
      </c>
      <c r="L196" t="s">
        <v>0</v>
      </c>
      <c r="M196" t="str">
        <f t="shared" si="51"/>
        <v>048314</v>
      </c>
      <c r="N196">
        <v>1</v>
      </c>
      <c r="O196">
        <v>1</v>
      </c>
      <c r="P196" t="str">
        <f>"01"</f>
        <v>01</v>
      </c>
      <c r="Q196" t="s">
        <v>835</v>
      </c>
      <c r="S196" t="s">
        <v>836</v>
      </c>
      <c r="T196" t="s">
        <v>836</v>
      </c>
      <c r="U196" t="str">
        <f t="shared" si="46"/>
        <v>2500-12-31 00:00:00.0</v>
      </c>
      <c r="V196" t="s">
        <v>837</v>
      </c>
      <c r="W196" t="str">
        <f>"048314-004697-**-**"</f>
        <v>048314-004697-**-**</v>
      </c>
      <c r="X196" t="s">
        <v>838</v>
      </c>
      <c r="Y196">
        <v>1206.25</v>
      </c>
      <c r="Z196">
        <v>1206.25</v>
      </c>
      <c r="AA196" t="str">
        <f>"06/08/2016"</f>
        <v>06/08/2016</v>
      </c>
    </row>
    <row r="197" spans="1:27" x14ac:dyDescent="0.3">
      <c r="A197" t="str">
        <f t="shared" si="50"/>
        <v>048314</v>
      </c>
      <c r="B197" t="str">
        <f t="shared" si="42"/>
        <v>004697</v>
      </c>
      <c r="C197" t="s">
        <v>3408</v>
      </c>
      <c r="D197" t="s">
        <v>3839</v>
      </c>
      <c r="E197" t="s">
        <v>3840</v>
      </c>
      <c r="F197" t="s">
        <v>3841</v>
      </c>
      <c r="G197" t="s">
        <v>3842</v>
      </c>
      <c r="H197" t="str">
        <f>"048314"</f>
        <v>048314</v>
      </c>
      <c r="I197" t="s">
        <v>833</v>
      </c>
      <c r="J197" t="str">
        <f t="shared" si="49"/>
        <v>2015-07-01 00:00:00.0</v>
      </c>
      <c r="K197" t="s">
        <v>834</v>
      </c>
      <c r="L197" t="s">
        <v>0</v>
      </c>
      <c r="M197" t="str">
        <f t="shared" si="51"/>
        <v>048314</v>
      </c>
      <c r="N197">
        <v>1</v>
      </c>
      <c r="O197">
        <v>1</v>
      </c>
      <c r="P197" t="str">
        <f>"04"</f>
        <v>04</v>
      </c>
      <c r="Q197" t="s">
        <v>835</v>
      </c>
      <c r="S197" t="s">
        <v>836</v>
      </c>
      <c r="T197" t="s">
        <v>836</v>
      </c>
      <c r="U197" t="str">
        <f t="shared" si="46"/>
        <v>2500-12-31 00:00:00.0</v>
      </c>
      <c r="V197" t="s">
        <v>837</v>
      </c>
      <c r="W197" t="str">
        <f>"048314-004697-**-**"</f>
        <v>048314-004697-**-**</v>
      </c>
      <c r="X197" t="s">
        <v>838</v>
      </c>
      <c r="Y197">
        <v>1206.25</v>
      </c>
      <c r="Z197">
        <v>1206.25</v>
      </c>
      <c r="AA197" t="str">
        <f>"06/08/2016"</f>
        <v>06/08/2016</v>
      </c>
    </row>
    <row r="198" spans="1:27" x14ac:dyDescent="0.3">
      <c r="A198" t="str">
        <f t="shared" si="50"/>
        <v>048314</v>
      </c>
      <c r="B198" t="str">
        <f t="shared" si="42"/>
        <v>004697</v>
      </c>
      <c r="C198" t="s">
        <v>2984</v>
      </c>
      <c r="D198" t="s">
        <v>3839</v>
      </c>
      <c r="E198" t="s">
        <v>3840</v>
      </c>
      <c r="F198" t="s">
        <v>3841</v>
      </c>
      <c r="G198" t="s">
        <v>3842</v>
      </c>
      <c r="H198" t="str">
        <f>"048314"</f>
        <v>048314</v>
      </c>
      <c r="I198" t="s">
        <v>833</v>
      </c>
      <c r="J198" t="str">
        <f t="shared" si="49"/>
        <v>2015-07-01 00:00:00.0</v>
      </c>
      <c r="K198" t="s">
        <v>834</v>
      </c>
      <c r="L198" t="s">
        <v>0</v>
      </c>
      <c r="M198" t="str">
        <f>"048306"</f>
        <v>048306</v>
      </c>
      <c r="N198">
        <v>1</v>
      </c>
      <c r="O198">
        <v>1</v>
      </c>
      <c r="P198" t="str">
        <f>"01"</f>
        <v>01</v>
      </c>
      <c r="Q198" t="s">
        <v>835</v>
      </c>
      <c r="S198" t="s">
        <v>836</v>
      </c>
      <c r="T198" t="s">
        <v>836</v>
      </c>
      <c r="U198" t="str">
        <f t="shared" si="46"/>
        <v>2500-12-31 00:00:00.0</v>
      </c>
      <c r="V198" t="s">
        <v>837</v>
      </c>
      <c r="W198" t="str">
        <f>"048314-004697-**-**"</f>
        <v>048314-004697-**-**</v>
      </c>
      <c r="X198" t="s">
        <v>838</v>
      </c>
      <c r="Y198">
        <v>1206.25</v>
      </c>
      <c r="Z198">
        <v>1206.25</v>
      </c>
      <c r="AA198" t="str">
        <f>"06/08/2016"</f>
        <v>06/08/2016</v>
      </c>
    </row>
    <row r="199" spans="1:27" x14ac:dyDescent="0.3">
      <c r="A199" t="str">
        <f t="shared" si="50"/>
        <v>048314</v>
      </c>
      <c r="B199" t="str">
        <f t="shared" si="42"/>
        <v>004697</v>
      </c>
      <c r="C199" t="s">
        <v>3487</v>
      </c>
      <c r="D199" t="s">
        <v>3839</v>
      </c>
      <c r="E199" t="s">
        <v>3840</v>
      </c>
      <c r="F199" t="s">
        <v>3841</v>
      </c>
      <c r="G199" t="s">
        <v>3842</v>
      </c>
      <c r="H199" t="str">
        <f>"048363"</f>
        <v>048363</v>
      </c>
      <c r="I199" t="s">
        <v>833</v>
      </c>
      <c r="J199" t="str">
        <f t="shared" si="49"/>
        <v>2015-07-01 00:00:00.0</v>
      </c>
      <c r="K199" t="s">
        <v>834</v>
      </c>
      <c r="L199" t="s">
        <v>1</v>
      </c>
      <c r="M199" t="str">
        <f t="shared" ref="M199:M259" si="52">"048314"</f>
        <v>048314</v>
      </c>
      <c r="N199">
        <v>1</v>
      </c>
      <c r="O199">
        <v>1</v>
      </c>
      <c r="P199" t="str">
        <f>"03"</f>
        <v>03</v>
      </c>
      <c r="Q199" t="s">
        <v>835</v>
      </c>
      <c r="S199" t="s">
        <v>836</v>
      </c>
      <c r="T199" t="s">
        <v>836</v>
      </c>
      <c r="U199" t="str">
        <f t="shared" si="46"/>
        <v>2500-12-31 00:00:00.0</v>
      </c>
      <c r="V199" t="s">
        <v>837</v>
      </c>
      <c r="W199" t="str">
        <f>"048363-026211-**-**"</f>
        <v>048363-026211-**-**</v>
      </c>
      <c r="X199" t="s">
        <v>838</v>
      </c>
      <c r="Y199">
        <v>1127</v>
      </c>
      <c r="Z199">
        <v>1127</v>
      </c>
      <c r="AA199" t="str">
        <f>"06/15/2016"</f>
        <v>06/15/2016</v>
      </c>
    </row>
    <row r="200" spans="1:27" x14ac:dyDescent="0.3">
      <c r="A200" t="str">
        <f t="shared" si="50"/>
        <v>048314</v>
      </c>
      <c r="B200" t="str">
        <f t="shared" si="42"/>
        <v>004697</v>
      </c>
      <c r="C200" t="s">
        <v>3240</v>
      </c>
      <c r="D200" t="s">
        <v>3839</v>
      </c>
      <c r="E200" t="s">
        <v>3840</v>
      </c>
      <c r="F200" t="s">
        <v>3841</v>
      </c>
      <c r="G200" t="s">
        <v>3842</v>
      </c>
      <c r="H200" t="str">
        <f t="shared" ref="H200:H221" si="53">"048314"</f>
        <v>048314</v>
      </c>
      <c r="I200" t="s">
        <v>833</v>
      </c>
      <c r="J200" t="str">
        <f t="shared" si="49"/>
        <v>2015-07-01 00:00:00.0</v>
      </c>
      <c r="K200" t="s">
        <v>834</v>
      </c>
      <c r="L200" t="s">
        <v>0</v>
      </c>
      <c r="M200" t="str">
        <f t="shared" si="52"/>
        <v>048314</v>
      </c>
      <c r="N200">
        <v>1</v>
      </c>
      <c r="O200">
        <v>1</v>
      </c>
      <c r="P200" t="str">
        <f>"02"</f>
        <v>02</v>
      </c>
      <c r="Q200" t="s">
        <v>835</v>
      </c>
      <c r="S200" t="s">
        <v>836</v>
      </c>
      <c r="T200" t="s">
        <v>836</v>
      </c>
      <c r="U200" t="str">
        <f t="shared" si="46"/>
        <v>2500-12-31 00:00:00.0</v>
      </c>
      <c r="V200" t="s">
        <v>837</v>
      </c>
      <c r="W200" t="str">
        <f t="shared" ref="W200:W211" si="54">"048314-004697-**-**"</f>
        <v>048314-004697-**-**</v>
      </c>
      <c r="X200" t="s">
        <v>838</v>
      </c>
      <c r="Y200">
        <v>1206.25</v>
      </c>
      <c r="Z200">
        <v>1206.25</v>
      </c>
      <c r="AA200" t="str">
        <f t="shared" ref="AA200:AA221" si="55">"06/08/2016"</f>
        <v>06/08/2016</v>
      </c>
    </row>
    <row r="201" spans="1:27" x14ac:dyDescent="0.3">
      <c r="A201" t="str">
        <f t="shared" si="50"/>
        <v>048314</v>
      </c>
      <c r="B201" t="str">
        <f t="shared" si="42"/>
        <v>004697</v>
      </c>
      <c r="C201" t="s">
        <v>2813</v>
      </c>
      <c r="D201" t="s">
        <v>3839</v>
      </c>
      <c r="E201" t="s">
        <v>3840</v>
      </c>
      <c r="F201" t="s">
        <v>3841</v>
      </c>
      <c r="G201" t="s">
        <v>3842</v>
      </c>
      <c r="H201" t="str">
        <f t="shared" si="53"/>
        <v>048314</v>
      </c>
      <c r="I201" t="s">
        <v>833</v>
      </c>
      <c r="J201" t="str">
        <f>"2015-08-01 00:00:00.0"</f>
        <v>2015-08-01 00:00:00.0</v>
      </c>
      <c r="K201" t="s">
        <v>834</v>
      </c>
      <c r="L201" t="s">
        <v>0</v>
      </c>
      <c r="M201" t="str">
        <f t="shared" si="52"/>
        <v>048314</v>
      </c>
      <c r="N201">
        <v>1</v>
      </c>
      <c r="O201">
        <v>1</v>
      </c>
      <c r="P201" t="s">
        <v>764</v>
      </c>
      <c r="Q201" t="s">
        <v>835</v>
      </c>
      <c r="S201" t="s">
        <v>836</v>
      </c>
      <c r="T201" t="s">
        <v>836</v>
      </c>
      <c r="U201" t="str">
        <f t="shared" si="46"/>
        <v>2500-12-31 00:00:00.0</v>
      </c>
      <c r="V201" t="s">
        <v>837</v>
      </c>
      <c r="W201" t="str">
        <f t="shared" si="54"/>
        <v>048314-004697-**-**</v>
      </c>
      <c r="X201" t="s">
        <v>838</v>
      </c>
      <c r="Y201">
        <v>1206.25</v>
      </c>
      <c r="Z201">
        <v>1206.25</v>
      </c>
      <c r="AA201" t="str">
        <f t="shared" si="55"/>
        <v>06/08/2016</v>
      </c>
    </row>
    <row r="202" spans="1:27" x14ac:dyDescent="0.3">
      <c r="A202" t="str">
        <f t="shared" si="50"/>
        <v>048314</v>
      </c>
      <c r="B202" t="str">
        <f t="shared" si="42"/>
        <v>004697</v>
      </c>
      <c r="C202" t="s">
        <v>2048</v>
      </c>
      <c r="D202" t="s">
        <v>3839</v>
      </c>
      <c r="E202" t="s">
        <v>3840</v>
      </c>
      <c r="F202" t="s">
        <v>3841</v>
      </c>
      <c r="G202" t="s">
        <v>3842</v>
      </c>
      <c r="H202" t="str">
        <f t="shared" si="53"/>
        <v>048314</v>
      </c>
      <c r="I202" t="s">
        <v>833</v>
      </c>
      <c r="J202" t="str">
        <f>"2016-02-04 00:00:00.0"</f>
        <v>2016-02-04 00:00:00.0</v>
      </c>
      <c r="K202" t="s">
        <v>834</v>
      </c>
      <c r="L202" t="s">
        <v>0</v>
      </c>
      <c r="M202" t="str">
        <f t="shared" si="52"/>
        <v>048314</v>
      </c>
      <c r="N202">
        <v>0.44559599999999999</v>
      </c>
      <c r="O202">
        <v>0.44559599999999999</v>
      </c>
      <c r="P202" t="str">
        <f>"03"</f>
        <v>03</v>
      </c>
      <c r="Q202" t="s">
        <v>835</v>
      </c>
      <c r="S202" t="s">
        <v>836</v>
      </c>
      <c r="T202" t="s">
        <v>836</v>
      </c>
      <c r="U202" t="str">
        <f t="shared" si="46"/>
        <v>2500-12-31 00:00:00.0</v>
      </c>
      <c r="V202" t="s">
        <v>837</v>
      </c>
      <c r="W202" t="str">
        <f t="shared" si="54"/>
        <v>048314-004697-**-**</v>
      </c>
      <c r="X202" t="s">
        <v>838</v>
      </c>
      <c r="Y202">
        <v>537.5</v>
      </c>
      <c r="Z202">
        <v>1206.25</v>
      </c>
      <c r="AA202" t="str">
        <f t="shared" si="55"/>
        <v>06/08/2016</v>
      </c>
    </row>
    <row r="203" spans="1:27" x14ac:dyDescent="0.3">
      <c r="A203" t="str">
        <f t="shared" si="50"/>
        <v>048314</v>
      </c>
      <c r="B203" t="str">
        <f t="shared" si="42"/>
        <v>004697</v>
      </c>
      <c r="C203" t="s">
        <v>2048</v>
      </c>
      <c r="D203" t="s">
        <v>3839</v>
      </c>
      <c r="E203" t="s">
        <v>3840</v>
      </c>
      <c r="F203" t="s">
        <v>3841</v>
      </c>
      <c r="G203" t="s">
        <v>3842</v>
      </c>
      <c r="H203" t="str">
        <f t="shared" si="53"/>
        <v>048314</v>
      </c>
      <c r="I203" t="s">
        <v>833</v>
      </c>
      <c r="J203" t="str">
        <f>"2015-07-01 00:00:00.0"</f>
        <v>2015-07-01 00:00:00.0</v>
      </c>
      <c r="K203" t="s">
        <v>834</v>
      </c>
      <c r="L203" t="s">
        <v>0</v>
      </c>
      <c r="M203" t="str">
        <f t="shared" si="52"/>
        <v>048314</v>
      </c>
      <c r="N203">
        <v>0.55440400000000001</v>
      </c>
      <c r="O203">
        <v>0.55440400000000001</v>
      </c>
      <c r="P203" t="str">
        <f>"03"</f>
        <v>03</v>
      </c>
      <c r="Q203" t="s">
        <v>835</v>
      </c>
      <c r="S203" t="s">
        <v>836</v>
      </c>
      <c r="T203" t="s">
        <v>836</v>
      </c>
      <c r="U203" t="str">
        <f>"2016-02-03 00:00:00.0"</f>
        <v>2016-02-03 00:00:00.0</v>
      </c>
      <c r="V203" t="s">
        <v>837</v>
      </c>
      <c r="W203" t="str">
        <f t="shared" si="54"/>
        <v>048314-004697-**-**</v>
      </c>
      <c r="X203" t="s">
        <v>838</v>
      </c>
      <c r="Y203">
        <v>668.75</v>
      </c>
      <c r="Z203">
        <v>1206.25</v>
      </c>
      <c r="AA203" t="str">
        <f t="shared" si="55"/>
        <v>06/08/2016</v>
      </c>
    </row>
    <row r="204" spans="1:27" x14ac:dyDescent="0.3">
      <c r="A204" t="str">
        <f t="shared" si="50"/>
        <v>048314</v>
      </c>
      <c r="B204" t="str">
        <f t="shared" si="42"/>
        <v>004697</v>
      </c>
      <c r="C204" t="s">
        <v>3575</v>
      </c>
      <c r="D204" t="s">
        <v>3839</v>
      </c>
      <c r="E204" t="s">
        <v>3840</v>
      </c>
      <c r="F204" t="s">
        <v>3841</v>
      </c>
      <c r="G204" t="s">
        <v>3842</v>
      </c>
      <c r="H204" t="str">
        <f t="shared" si="53"/>
        <v>048314</v>
      </c>
      <c r="I204" t="s">
        <v>833</v>
      </c>
      <c r="J204" t="str">
        <f>"2015-07-01 00:00:00.0"</f>
        <v>2015-07-01 00:00:00.0</v>
      </c>
      <c r="K204" t="s">
        <v>834</v>
      </c>
      <c r="L204" t="s">
        <v>0</v>
      </c>
      <c r="M204" t="str">
        <f t="shared" si="52"/>
        <v>048314</v>
      </c>
      <c r="N204">
        <v>1</v>
      </c>
      <c r="O204">
        <v>1</v>
      </c>
      <c r="P204" t="str">
        <f>"03"</f>
        <v>03</v>
      </c>
      <c r="Q204" t="s">
        <v>835</v>
      </c>
      <c r="S204" t="s">
        <v>836</v>
      </c>
      <c r="T204" t="s">
        <v>836</v>
      </c>
      <c r="U204" t="str">
        <f>"2500-12-31 00:00:00.0"</f>
        <v>2500-12-31 00:00:00.0</v>
      </c>
      <c r="V204" t="s">
        <v>837</v>
      </c>
      <c r="W204" t="str">
        <f t="shared" si="54"/>
        <v>048314-004697-**-**</v>
      </c>
      <c r="X204" t="s">
        <v>838</v>
      </c>
      <c r="Y204">
        <v>1206.25</v>
      </c>
      <c r="Z204">
        <v>1206.25</v>
      </c>
      <c r="AA204" t="str">
        <f t="shared" si="55"/>
        <v>06/08/2016</v>
      </c>
    </row>
    <row r="205" spans="1:27" x14ac:dyDescent="0.3">
      <c r="A205" t="str">
        <f t="shared" si="50"/>
        <v>048314</v>
      </c>
      <c r="B205" t="str">
        <f t="shared" si="42"/>
        <v>004697</v>
      </c>
      <c r="C205" t="s">
        <v>3257</v>
      </c>
      <c r="D205" t="s">
        <v>3839</v>
      </c>
      <c r="E205" t="s">
        <v>3840</v>
      </c>
      <c r="F205" t="s">
        <v>3841</v>
      </c>
      <c r="G205" t="s">
        <v>3842</v>
      </c>
      <c r="H205" t="str">
        <f t="shared" si="53"/>
        <v>048314</v>
      </c>
      <c r="I205" t="s">
        <v>833</v>
      </c>
      <c r="J205" t="str">
        <f>"2015-07-01 00:00:00.0"</f>
        <v>2015-07-01 00:00:00.0</v>
      </c>
      <c r="K205" t="s">
        <v>834</v>
      </c>
      <c r="L205" t="s">
        <v>0</v>
      </c>
      <c r="M205" t="str">
        <f t="shared" si="52"/>
        <v>048314</v>
      </c>
      <c r="N205">
        <v>1</v>
      </c>
      <c r="O205">
        <v>1</v>
      </c>
      <c r="P205" t="str">
        <f>"02"</f>
        <v>02</v>
      </c>
      <c r="Q205" t="s">
        <v>835</v>
      </c>
      <c r="S205" t="s">
        <v>836</v>
      </c>
      <c r="T205" t="s">
        <v>836</v>
      </c>
      <c r="U205" t="str">
        <f>"2500-12-31 00:00:00.0"</f>
        <v>2500-12-31 00:00:00.0</v>
      </c>
      <c r="V205" t="s">
        <v>837</v>
      </c>
      <c r="W205" t="str">
        <f t="shared" si="54"/>
        <v>048314-004697-**-**</v>
      </c>
      <c r="X205" t="s">
        <v>838</v>
      </c>
      <c r="Y205">
        <v>1206.25</v>
      </c>
      <c r="Z205">
        <v>1206.25</v>
      </c>
      <c r="AA205" t="str">
        <f t="shared" si="55"/>
        <v>06/08/2016</v>
      </c>
    </row>
    <row r="206" spans="1:27" x14ac:dyDescent="0.3">
      <c r="A206" t="str">
        <f t="shared" si="50"/>
        <v>048314</v>
      </c>
      <c r="B206" t="str">
        <f t="shared" si="42"/>
        <v>004697</v>
      </c>
      <c r="C206" t="s">
        <v>3237</v>
      </c>
      <c r="D206" t="s">
        <v>3839</v>
      </c>
      <c r="E206" t="s">
        <v>3840</v>
      </c>
      <c r="F206" t="s">
        <v>3841</v>
      </c>
      <c r="G206" t="s">
        <v>3842</v>
      </c>
      <c r="H206" t="str">
        <f t="shared" si="53"/>
        <v>048314</v>
      </c>
      <c r="I206" t="s">
        <v>833</v>
      </c>
      <c r="J206" t="str">
        <f>"2015-08-01 00:00:00.0"</f>
        <v>2015-08-01 00:00:00.0</v>
      </c>
      <c r="K206" t="s">
        <v>834</v>
      </c>
      <c r="L206" t="s">
        <v>0</v>
      </c>
      <c r="M206" t="str">
        <f t="shared" si="52"/>
        <v>048314</v>
      </c>
      <c r="N206">
        <v>1</v>
      </c>
      <c r="O206">
        <v>1</v>
      </c>
      <c r="P206" t="s">
        <v>764</v>
      </c>
      <c r="Q206" t="s">
        <v>835</v>
      </c>
      <c r="S206" t="s">
        <v>836</v>
      </c>
      <c r="T206" t="s">
        <v>836</v>
      </c>
      <c r="U206" t="str">
        <f>"2500-12-31 00:00:00.0"</f>
        <v>2500-12-31 00:00:00.0</v>
      </c>
      <c r="V206" t="s">
        <v>837</v>
      </c>
      <c r="W206" t="str">
        <f t="shared" si="54"/>
        <v>048314-004697-**-**</v>
      </c>
      <c r="X206" t="s">
        <v>838</v>
      </c>
      <c r="Y206">
        <v>1206.25</v>
      </c>
      <c r="Z206">
        <v>1206.25</v>
      </c>
      <c r="AA206" t="str">
        <f t="shared" si="55"/>
        <v>06/08/2016</v>
      </c>
    </row>
    <row r="207" spans="1:27" x14ac:dyDescent="0.3">
      <c r="A207" t="str">
        <f t="shared" si="50"/>
        <v>048314</v>
      </c>
      <c r="B207" t="str">
        <f t="shared" si="42"/>
        <v>004697</v>
      </c>
      <c r="C207" t="s">
        <v>3311</v>
      </c>
      <c r="D207" t="s">
        <v>3839</v>
      </c>
      <c r="E207" t="s">
        <v>3840</v>
      </c>
      <c r="F207" t="s">
        <v>3841</v>
      </c>
      <c r="G207" t="s">
        <v>3842</v>
      </c>
      <c r="H207" t="str">
        <f t="shared" si="53"/>
        <v>048314</v>
      </c>
      <c r="I207" t="s">
        <v>833</v>
      </c>
      <c r="J207" t="str">
        <f>"2015-07-01 00:00:00.0"</f>
        <v>2015-07-01 00:00:00.0</v>
      </c>
      <c r="K207" t="s">
        <v>834</v>
      </c>
      <c r="L207" t="s">
        <v>0</v>
      </c>
      <c r="M207" t="str">
        <f t="shared" si="52"/>
        <v>048314</v>
      </c>
      <c r="N207">
        <v>1</v>
      </c>
      <c r="O207">
        <v>1</v>
      </c>
      <c r="P207" t="str">
        <f>"04"</f>
        <v>04</v>
      </c>
      <c r="Q207" t="s">
        <v>835</v>
      </c>
      <c r="S207" t="s">
        <v>836</v>
      </c>
      <c r="T207" t="s">
        <v>836</v>
      </c>
      <c r="U207" t="str">
        <f>"2500-12-31 00:00:00.0"</f>
        <v>2500-12-31 00:00:00.0</v>
      </c>
      <c r="V207" t="s">
        <v>837</v>
      </c>
      <c r="W207" t="str">
        <f t="shared" si="54"/>
        <v>048314-004697-**-**</v>
      </c>
      <c r="X207" t="s">
        <v>838</v>
      </c>
      <c r="Y207">
        <v>1206.25</v>
      </c>
      <c r="Z207">
        <v>1206.25</v>
      </c>
      <c r="AA207" t="str">
        <f t="shared" si="55"/>
        <v>06/08/2016</v>
      </c>
    </row>
    <row r="208" spans="1:27" x14ac:dyDescent="0.3">
      <c r="A208" t="str">
        <f t="shared" si="50"/>
        <v>048314</v>
      </c>
      <c r="B208" t="str">
        <f t="shared" si="42"/>
        <v>004697</v>
      </c>
      <c r="C208" t="s">
        <v>3264</v>
      </c>
      <c r="D208" t="s">
        <v>3839</v>
      </c>
      <c r="E208" t="s">
        <v>3840</v>
      </c>
      <c r="F208" t="s">
        <v>3841</v>
      </c>
      <c r="G208" t="s">
        <v>3842</v>
      </c>
      <c r="H208" t="str">
        <f t="shared" si="53"/>
        <v>048314</v>
      </c>
      <c r="I208" t="s">
        <v>833</v>
      </c>
      <c r="J208" t="str">
        <f>"2015-07-01 00:00:00.0"</f>
        <v>2015-07-01 00:00:00.0</v>
      </c>
      <c r="K208" t="s">
        <v>834</v>
      </c>
      <c r="L208" t="s">
        <v>0</v>
      </c>
      <c r="M208" t="str">
        <f t="shared" si="52"/>
        <v>048314</v>
      </c>
      <c r="N208">
        <v>0.64766800000000002</v>
      </c>
      <c r="O208">
        <v>0.64766800000000002</v>
      </c>
      <c r="P208" t="str">
        <f>"04"</f>
        <v>04</v>
      </c>
      <c r="Q208" t="s">
        <v>835</v>
      </c>
      <c r="S208" t="s">
        <v>836</v>
      </c>
      <c r="T208" t="s">
        <v>836</v>
      </c>
      <c r="U208" t="str">
        <f>"2016-03-02 00:00:00.0"</f>
        <v>2016-03-02 00:00:00.0</v>
      </c>
      <c r="V208" t="s">
        <v>837</v>
      </c>
      <c r="W208" t="str">
        <f t="shared" si="54"/>
        <v>048314-004697-**-**</v>
      </c>
      <c r="X208" t="s">
        <v>838</v>
      </c>
      <c r="Y208">
        <v>781.25</v>
      </c>
      <c r="Z208">
        <v>1206.25</v>
      </c>
      <c r="AA208" t="str">
        <f t="shared" si="55"/>
        <v>06/08/2016</v>
      </c>
    </row>
    <row r="209" spans="1:27" x14ac:dyDescent="0.3">
      <c r="A209" t="str">
        <f t="shared" si="50"/>
        <v>048314</v>
      </c>
      <c r="B209" t="str">
        <f t="shared" si="42"/>
        <v>004697</v>
      </c>
      <c r="C209" t="s">
        <v>3264</v>
      </c>
      <c r="D209" t="s">
        <v>3839</v>
      </c>
      <c r="E209" t="s">
        <v>3840</v>
      </c>
      <c r="F209" t="s">
        <v>3841</v>
      </c>
      <c r="G209" t="s">
        <v>3842</v>
      </c>
      <c r="H209" t="str">
        <f t="shared" si="53"/>
        <v>048314</v>
      </c>
      <c r="I209" t="s">
        <v>833</v>
      </c>
      <c r="J209" t="str">
        <f>"2016-03-03 00:00:00.0"</f>
        <v>2016-03-03 00:00:00.0</v>
      </c>
      <c r="K209" t="s">
        <v>834</v>
      </c>
      <c r="L209" t="s">
        <v>0</v>
      </c>
      <c r="M209" t="str">
        <f t="shared" si="52"/>
        <v>048314</v>
      </c>
      <c r="N209">
        <v>0.35233199999999998</v>
      </c>
      <c r="O209">
        <v>0.35233199999999998</v>
      </c>
      <c r="P209" t="str">
        <f>"04"</f>
        <v>04</v>
      </c>
      <c r="Q209" t="s">
        <v>835</v>
      </c>
      <c r="S209" t="s">
        <v>836</v>
      </c>
      <c r="T209" t="s">
        <v>836</v>
      </c>
      <c r="U209" t="str">
        <f t="shared" ref="U209:U225" si="56">"2500-12-31 00:00:00.0"</f>
        <v>2500-12-31 00:00:00.0</v>
      </c>
      <c r="V209" t="s">
        <v>837</v>
      </c>
      <c r="W209" t="str">
        <f t="shared" si="54"/>
        <v>048314-004697-**-**</v>
      </c>
      <c r="X209" t="s">
        <v>838</v>
      </c>
      <c r="Y209">
        <v>425</v>
      </c>
      <c r="Z209">
        <v>1206.25</v>
      </c>
      <c r="AA209" t="str">
        <f t="shared" si="55"/>
        <v>06/08/2016</v>
      </c>
    </row>
    <row r="210" spans="1:27" x14ac:dyDescent="0.3">
      <c r="A210" t="str">
        <f t="shared" si="50"/>
        <v>048314</v>
      </c>
      <c r="B210" t="str">
        <f t="shared" si="42"/>
        <v>004697</v>
      </c>
      <c r="C210" t="s">
        <v>3604</v>
      </c>
      <c r="D210" t="s">
        <v>3839</v>
      </c>
      <c r="E210" t="s">
        <v>3840</v>
      </c>
      <c r="F210" t="s">
        <v>3841</v>
      </c>
      <c r="G210" t="s">
        <v>3842</v>
      </c>
      <c r="H210" t="str">
        <f t="shared" si="53"/>
        <v>048314</v>
      </c>
      <c r="I210" t="s">
        <v>833</v>
      </c>
      <c r="J210" t="str">
        <f t="shared" ref="J210:J218" si="57">"2015-07-01 00:00:00.0"</f>
        <v>2015-07-01 00:00:00.0</v>
      </c>
      <c r="K210" t="s">
        <v>834</v>
      </c>
      <c r="L210" t="s">
        <v>0</v>
      </c>
      <c r="M210" t="str">
        <f t="shared" si="52"/>
        <v>048314</v>
      </c>
      <c r="N210">
        <v>1</v>
      </c>
      <c r="O210">
        <v>1</v>
      </c>
      <c r="P210" t="str">
        <f>"03"</f>
        <v>03</v>
      </c>
      <c r="Q210" t="s">
        <v>835</v>
      </c>
      <c r="S210" t="s">
        <v>836</v>
      </c>
      <c r="T210" t="s">
        <v>836</v>
      </c>
      <c r="U210" t="str">
        <f t="shared" si="56"/>
        <v>2500-12-31 00:00:00.0</v>
      </c>
      <c r="V210" t="s">
        <v>837</v>
      </c>
      <c r="W210" t="str">
        <f t="shared" si="54"/>
        <v>048314-004697-**-**</v>
      </c>
      <c r="X210" t="s">
        <v>838</v>
      </c>
      <c r="Y210">
        <v>1206.25</v>
      </c>
      <c r="Z210">
        <v>1206.25</v>
      </c>
      <c r="AA210" t="str">
        <f t="shared" si="55"/>
        <v>06/08/2016</v>
      </c>
    </row>
    <row r="211" spans="1:27" x14ac:dyDescent="0.3">
      <c r="A211" t="str">
        <f t="shared" si="50"/>
        <v>048314</v>
      </c>
      <c r="B211" t="str">
        <f t="shared" si="42"/>
        <v>004697</v>
      </c>
      <c r="C211" t="s">
        <v>3403</v>
      </c>
      <c r="D211" t="s">
        <v>3839</v>
      </c>
      <c r="E211" t="s">
        <v>3840</v>
      </c>
      <c r="F211" t="s">
        <v>3841</v>
      </c>
      <c r="G211" t="s">
        <v>3842</v>
      </c>
      <c r="H211" t="str">
        <f t="shared" si="53"/>
        <v>048314</v>
      </c>
      <c r="I211" t="s">
        <v>833</v>
      </c>
      <c r="J211" t="str">
        <f t="shared" si="57"/>
        <v>2015-07-01 00:00:00.0</v>
      </c>
      <c r="K211" t="s">
        <v>834</v>
      </c>
      <c r="L211" t="s">
        <v>0</v>
      </c>
      <c r="M211" t="str">
        <f t="shared" si="52"/>
        <v>048314</v>
      </c>
      <c r="N211">
        <v>1</v>
      </c>
      <c r="O211">
        <v>1</v>
      </c>
      <c r="P211" t="str">
        <f>"04"</f>
        <v>04</v>
      </c>
      <c r="Q211" t="s">
        <v>835</v>
      </c>
      <c r="S211" t="s">
        <v>836</v>
      </c>
      <c r="T211" t="s">
        <v>836</v>
      </c>
      <c r="U211" t="str">
        <f t="shared" si="56"/>
        <v>2500-12-31 00:00:00.0</v>
      </c>
      <c r="V211" t="s">
        <v>837</v>
      </c>
      <c r="W211" t="str">
        <f t="shared" si="54"/>
        <v>048314-004697-**-**</v>
      </c>
      <c r="X211" t="s">
        <v>838</v>
      </c>
      <c r="Y211">
        <v>1206.25</v>
      </c>
      <c r="Z211">
        <v>1206.25</v>
      </c>
      <c r="AA211" t="str">
        <f t="shared" si="55"/>
        <v>06/08/2016</v>
      </c>
    </row>
    <row r="212" spans="1:27" x14ac:dyDescent="0.3">
      <c r="A212" t="str">
        <f t="shared" si="50"/>
        <v>048314</v>
      </c>
      <c r="B212" t="str">
        <f t="shared" ref="B212:B275" si="58">"004697"</f>
        <v>004697</v>
      </c>
      <c r="C212" t="s">
        <v>2853</v>
      </c>
      <c r="D212" t="s">
        <v>3839</v>
      </c>
      <c r="E212" t="s">
        <v>3840</v>
      </c>
      <c r="F212" t="s">
        <v>3841</v>
      </c>
      <c r="G212" t="s">
        <v>3842</v>
      </c>
      <c r="H212" t="str">
        <f t="shared" si="53"/>
        <v>048314</v>
      </c>
      <c r="I212" t="s">
        <v>833</v>
      </c>
      <c r="J212" t="str">
        <f t="shared" si="57"/>
        <v>2015-07-01 00:00:00.0</v>
      </c>
      <c r="K212" t="s">
        <v>834</v>
      </c>
      <c r="L212" t="s">
        <v>0</v>
      </c>
      <c r="M212" t="str">
        <f t="shared" si="52"/>
        <v>048314</v>
      </c>
      <c r="N212">
        <v>1</v>
      </c>
      <c r="O212">
        <v>1</v>
      </c>
      <c r="P212" t="str">
        <f>"05"</f>
        <v>05</v>
      </c>
      <c r="Q212" t="str">
        <f>"15"</f>
        <v>15</v>
      </c>
      <c r="R212" t="str">
        <f>"2"</f>
        <v>2</v>
      </c>
      <c r="S212" t="s">
        <v>836</v>
      </c>
      <c r="T212" t="s">
        <v>836</v>
      </c>
      <c r="U212" t="str">
        <f t="shared" si="56"/>
        <v>2500-12-31 00:00:00.0</v>
      </c>
      <c r="V212" t="s">
        <v>837</v>
      </c>
      <c r="W212" t="str">
        <f>"048314-070417-**-**"</f>
        <v>048314-070417-**-**</v>
      </c>
      <c r="X212" t="s">
        <v>838</v>
      </c>
      <c r="Y212">
        <v>1125</v>
      </c>
      <c r="Z212">
        <v>1125</v>
      </c>
      <c r="AA212" t="str">
        <f t="shared" si="55"/>
        <v>06/08/2016</v>
      </c>
    </row>
    <row r="213" spans="1:27" x14ac:dyDescent="0.3">
      <c r="A213" t="str">
        <f t="shared" si="50"/>
        <v>048314</v>
      </c>
      <c r="B213" t="str">
        <f t="shared" si="58"/>
        <v>004697</v>
      </c>
      <c r="C213" t="s">
        <v>3589</v>
      </c>
      <c r="D213" t="s">
        <v>3839</v>
      </c>
      <c r="E213" t="s">
        <v>3840</v>
      </c>
      <c r="F213" t="s">
        <v>3841</v>
      </c>
      <c r="G213" t="s">
        <v>3842</v>
      </c>
      <c r="H213" t="str">
        <f t="shared" si="53"/>
        <v>048314</v>
      </c>
      <c r="I213" t="s">
        <v>833</v>
      </c>
      <c r="J213" t="str">
        <f t="shared" si="57"/>
        <v>2015-07-01 00:00:00.0</v>
      </c>
      <c r="K213" t="s">
        <v>834</v>
      </c>
      <c r="L213" t="s">
        <v>0</v>
      </c>
      <c r="M213" t="str">
        <f t="shared" si="52"/>
        <v>048314</v>
      </c>
      <c r="N213">
        <v>1</v>
      </c>
      <c r="O213">
        <v>1</v>
      </c>
      <c r="P213" t="str">
        <f>"03"</f>
        <v>03</v>
      </c>
      <c r="Q213" t="s">
        <v>835</v>
      </c>
      <c r="S213" t="s">
        <v>836</v>
      </c>
      <c r="T213" t="s">
        <v>836</v>
      </c>
      <c r="U213" t="str">
        <f t="shared" si="56"/>
        <v>2500-12-31 00:00:00.0</v>
      </c>
      <c r="V213" t="s">
        <v>837</v>
      </c>
      <c r="W213" t="str">
        <f>"048314-004697-**-**"</f>
        <v>048314-004697-**-**</v>
      </c>
      <c r="X213" t="s">
        <v>838</v>
      </c>
      <c r="Y213">
        <v>1206.25</v>
      </c>
      <c r="Z213">
        <v>1206.25</v>
      </c>
      <c r="AA213" t="str">
        <f t="shared" si="55"/>
        <v>06/08/2016</v>
      </c>
    </row>
    <row r="214" spans="1:27" x14ac:dyDescent="0.3">
      <c r="A214" t="str">
        <f t="shared" si="50"/>
        <v>048314</v>
      </c>
      <c r="B214" t="str">
        <f t="shared" si="58"/>
        <v>004697</v>
      </c>
      <c r="C214" t="s">
        <v>3374</v>
      </c>
      <c r="D214" t="s">
        <v>3839</v>
      </c>
      <c r="E214" t="s">
        <v>3840</v>
      </c>
      <c r="F214" t="s">
        <v>3841</v>
      </c>
      <c r="G214" t="s">
        <v>3842</v>
      </c>
      <c r="H214" t="str">
        <f t="shared" si="53"/>
        <v>048314</v>
      </c>
      <c r="I214" t="s">
        <v>833</v>
      </c>
      <c r="J214" t="str">
        <f t="shared" si="57"/>
        <v>2015-07-01 00:00:00.0</v>
      </c>
      <c r="K214" t="s">
        <v>834</v>
      </c>
      <c r="L214" t="s">
        <v>0</v>
      </c>
      <c r="M214" t="str">
        <f t="shared" si="52"/>
        <v>048314</v>
      </c>
      <c r="N214">
        <v>1</v>
      </c>
      <c r="O214">
        <v>1</v>
      </c>
      <c r="P214" t="str">
        <f>"04"</f>
        <v>04</v>
      </c>
      <c r="Q214" t="str">
        <f>"10"</f>
        <v>10</v>
      </c>
      <c r="R214" t="str">
        <f>"2"</f>
        <v>2</v>
      </c>
      <c r="S214" t="s">
        <v>860</v>
      </c>
      <c r="T214" t="s">
        <v>836</v>
      </c>
      <c r="U214" t="str">
        <f t="shared" si="56"/>
        <v>2500-12-31 00:00:00.0</v>
      </c>
      <c r="V214" t="s">
        <v>837</v>
      </c>
      <c r="W214" t="str">
        <f>"048314-004697-**-**"</f>
        <v>048314-004697-**-**</v>
      </c>
      <c r="X214" t="s">
        <v>838</v>
      </c>
      <c r="Y214">
        <v>1206.25</v>
      </c>
      <c r="Z214">
        <v>1206.25</v>
      </c>
      <c r="AA214" t="str">
        <f t="shared" si="55"/>
        <v>06/08/2016</v>
      </c>
    </row>
    <row r="215" spans="1:27" x14ac:dyDescent="0.3">
      <c r="A215" t="str">
        <f t="shared" si="50"/>
        <v>048314</v>
      </c>
      <c r="B215" t="str">
        <f t="shared" si="58"/>
        <v>004697</v>
      </c>
      <c r="C215" t="s">
        <v>3083</v>
      </c>
      <c r="D215" t="s">
        <v>3839</v>
      </c>
      <c r="E215" t="s">
        <v>3840</v>
      </c>
      <c r="F215" t="s">
        <v>3841</v>
      </c>
      <c r="G215" t="s">
        <v>3842</v>
      </c>
      <c r="H215" t="str">
        <f t="shared" si="53"/>
        <v>048314</v>
      </c>
      <c r="I215" t="s">
        <v>833</v>
      </c>
      <c r="J215" t="str">
        <f t="shared" si="57"/>
        <v>2015-07-01 00:00:00.0</v>
      </c>
      <c r="K215" t="s">
        <v>834</v>
      </c>
      <c r="L215" t="s">
        <v>0</v>
      </c>
      <c r="M215" t="str">
        <f t="shared" si="52"/>
        <v>048314</v>
      </c>
      <c r="N215">
        <v>1</v>
      </c>
      <c r="O215">
        <v>1</v>
      </c>
      <c r="P215" t="str">
        <f>"05"</f>
        <v>05</v>
      </c>
      <c r="Q215" t="str">
        <f>"10"</f>
        <v>10</v>
      </c>
      <c r="R215" t="str">
        <f>"2"</f>
        <v>2</v>
      </c>
      <c r="S215" t="s">
        <v>860</v>
      </c>
      <c r="T215" t="s">
        <v>836</v>
      </c>
      <c r="U215" t="str">
        <f t="shared" si="56"/>
        <v>2500-12-31 00:00:00.0</v>
      </c>
      <c r="V215" t="s">
        <v>837</v>
      </c>
      <c r="W215" t="str">
        <f>"048314-070417-**-**"</f>
        <v>048314-070417-**-**</v>
      </c>
      <c r="X215" t="s">
        <v>838</v>
      </c>
      <c r="Y215">
        <v>1125</v>
      </c>
      <c r="Z215">
        <v>1125</v>
      </c>
      <c r="AA215" t="str">
        <f t="shared" si="55"/>
        <v>06/08/2016</v>
      </c>
    </row>
    <row r="216" spans="1:27" x14ac:dyDescent="0.3">
      <c r="A216" t="str">
        <f t="shared" si="50"/>
        <v>048314</v>
      </c>
      <c r="B216" t="str">
        <f t="shared" si="58"/>
        <v>004697</v>
      </c>
      <c r="C216" t="s">
        <v>3052</v>
      </c>
      <c r="D216" t="s">
        <v>3839</v>
      </c>
      <c r="E216" t="s">
        <v>3840</v>
      </c>
      <c r="F216" t="s">
        <v>3841</v>
      </c>
      <c r="G216" t="s">
        <v>3842</v>
      </c>
      <c r="H216" t="str">
        <f t="shared" si="53"/>
        <v>048314</v>
      </c>
      <c r="I216" t="s">
        <v>833</v>
      </c>
      <c r="J216" t="str">
        <f t="shared" si="57"/>
        <v>2015-07-01 00:00:00.0</v>
      </c>
      <c r="K216" t="s">
        <v>834</v>
      </c>
      <c r="L216" t="s">
        <v>0</v>
      </c>
      <c r="M216" t="str">
        <f t="shared" si="52"/>
        <v>048314</v>
      </c>
      <c r="N216">
        <v>1</v>
      </c>
      <c r="O216">
        <v>1</v>
      </c>
      <c r="P216" t="str">
        <f>"01"</f>
        <v>01</v>
      </c>
      <c r="Q216" t="s">
        <v>835</v>
      </c>
      <c r="S216" t="s">
        <v>836</v>
      </c>
      <c r="T216" t="s">
        <v>836</v>
      </c>
      <c r="U216" t="str">
        <f t="shared" si="56"/>
        <v>2500-12-31 00:00:00.0</v>
      </c>
      <c r="V216" t="s">
        <v>837</v>
      </c>
      <c r="W216" t="str">
        <f>"048314-004697-**-**"</f>
        <v>048314-004697-**-**</v>
      </c>
      <c r="X216" t="s">
        <v>838</v>
      </c>
      <c r="Y216">
        <v>1206.25</v>
      </c>
      <c r="Z216">
        <v>1206.25</v>
      </c>
      <c r="AA216" t="str">
        <f t="shared" si="55"/>
        <v>06/08/2016</v>
      </c>
    </row>
    <row r="217" spans="1:27" x14ac:dyDescent="0.3">
      <c r="A217" t="str">
        <f t="shared" si="50"/>
        <v>048314</v>
      </c>
      <c r="B217" t="str">
        <f t="shared" si="58"/>
        <v>004697</v>
      </c>
      <c r="C217" t="s">
        <v>1085</v>
      </c>
      <c r="D217" t="s">
        <v>3839</v>
      </c>
      <c r="E217" t="s">
        <v>3840</v>
      </c>
      <c r="F217" t="s">
        <v>3841</v>
      </c>
      <c r="G217" t="s">
        <v>3842</v>
      </c>
      <c r="H217" t="str">
        <f t="shared" si="53"/>
        <v>048314</v>
      </c>
      <c r="I217" t="s">
        <v>833</v>
      </c>
      <c r="J217" t="str">
        <f t="shared" si="57"/>
        <v>2015-07-01 00:00:00.0</v>
      </c>
      <c r="K217" t="s">
        <v>834</v>
      </c>
      <c r="L217" t="s">
        <v>0</v>
      </c>
      <c r="M217" t="str">
        <f t="shared" si="52"/>
        <v>048314</v>
      </c>
      <c r="N217">
        <v>1</v>
      </c>
      <c r="O217">
        <v>1</v>
      </c>
      <c r="P217" t="str">
        <f>"02"</f>
        <v>02</v>
      </c>
      <c r="Q217" t="s">
        <v>835</v>
      </c>
      <c r="S217" t="s">
        <v>836</v>
      </c>
      <c r="T217" t="s">
        <v>836</v>
      </c>
      <c r="U217" t="str">
        <f t="shared" si="56"/>
        <v>2500-12-31 00:00:00.0</v>
      </c>
      <c r="V217" t="s">
        <v>837</v>
      </c>
      <c r="W217" t="str">
        <f>"048314-004697-**-**"</f>
        <v>048314-004697-**-**</v>
      </c>
      <c r="X217" t="s">
        <v>838</v>
      </c>
      <c r="Y217">
        <v>1206.25</v>
      </c>
      <c r="Z217">
        <v>1206.25</v>
      </c>
      <c r="AA217" t="str">
        <f t="shared" si="55"/>
        <v>06/08/2016</v>
      </c>
    </row>
    <row r="218" spans="1:27" x14ac:dyDescent="0.3">
      <c r="A218" t="str">
        <f t="shared" si="50"/>
        <v>048314</v>
      </c>
      <c r="B218" t="str">
        <f t="shared" si="58"/>
        <v>004697</v>
      </c>
      <c r="C218" t="s">
        <v>2854</v>
      </c>
      <c r="D218" t="s">
        <v>3839</v>
      </c>
      <c r="E218" t="s">
        <v>3840</v>
      </c>
      <c r="F218" t="s">
        <v>3841</v>
      </c>
      <c r="G218" t="s">
        <v>3842</v>
      </c>
      <c r="H218" t="str">
        <f t="shared" si="53"/>
        <v>048314</v>
      </c>
      <c r="I218" t="s">
        <v>833</v>
      </c>
      <c r="J218" t="str">
        <f t="shared" si="57"/>
        <v>2015-07-01 00:00:00.0</v>
      </c>
      <c r="K218" t="s">
        <v>834</v>
      </c>
      <c r="L218" t="s">
        <v>0</v>
      </c>
      <c r="M218" t="str">
        <f t="shared" si="52"/>
        <v>048314</v>
      </c>
      <c r="N218">
        <v>1</v>
      </c>
      <c r="O218">
        <v>1</v>
      </c>
      <c r="P218" t="str">
        <f>"05"</f>
        <v>05</v>
      </c>
      <c r="Q218" t="s">
        <v>835</v>
      </c>
      <c r="S218" t="s">
        <v>836</v>
      </c>
      <c r="T218" t="s">
        <v>836</v>
      </c>
      <c r="U218" t="str">
        <f t="shared" si="56"/>
        <v>2500-12-31 00:00:00.0</v>
      </c>
      <c r="V218" t="s">
        <v>837</v>
      </c>
      <c r="W218" t="str">
        <f>"048314-070417-**-**"</f>
        <v>048314-070417-**-**</v>
      </c>
      <c r="X218" t="s">
        <v>838</v>
      </c>
      <c r="Y218">
        <v>1125</v>
      </c>
      <c r="Z218">
        <v>1125</v>
      </c>
      <c r="AA218" t="str">
        <f t="shared" si="55"/>
        <v>06/08/2016</v>
      </c>
    </row>
    <row r="219" spans="1:27" x14ac:dyDescent="0.3">
      <c r="A219" t="str">
        <f t="shared" si="50"/>
        <v>048314</v>
      </c>
      <c r="B219" t="str">
        <f t="shared" si="58"/>
        <v>004697</v>
      </c>
      <c r="C219" t="s">
        <v>3699</v>
      </c>
      <c r="D219" t="s">
        <v>3839</v>
      </c>
      <c r="E219" t="s">
        <v>3840</v>
      </c>
      <c r="F219" t="s">
        <v>3841</v>
      </c>
      <c r="G219" t="s">
        <v>3842</v>
      </c>
      <c r="H219" t="str">
        <f t="shared" si="53"/>
        <v>048314</v>
      </c>
      <c r="I219" t="s">
        <v>833</v>
      </c>
      <c r="J219" t="str">
        <f>"2015-08-01 00:00:00.0"</f>
        <v>2015-08-01 00:00:00.0</v>
      </c>
      <c r="K219" t="s">
        <v>834</v>
      </c>
      <c r="L219" t="s">
        <v>0</v>
      </c>
      <c r="M219" t="str">
        <f t="shared" si="52"/>
        <v>048314</v>
      </c>
      <c r="N219">
        <v>1</v>
      </c>
      <c r="O219">
        <v>1</v>
      </c>
      <c r="P219" t="s">
        <v>764</v>
      </c>
      <c r="Q219" t="s">
        <v>835</v>
      </c>
      <c r="S219" t="s">
        <v>836</v>
      </c>
      <c r="T219" t="s">
        <v>836</v>
      </c>
      <c r="U219" t="str">
        <f t="shared" si="56"/>
        <v>2500-12-31 00:00:00.0</v>
      </c>
      <c r="V219" t="s">
        <v>837</v>
      </c>
      <c r="W219" t="str">
        <f>"048314-004697-**-**"</f>
        <v>048314-004697-**-**</v>
      </c>
      <c r="X219" t="s">
        <v>838</v>
      </c>
      <c r="Y219">
        <v>1206.25</v>
      </c>
      <c r="Z219">
        <v>1206.25</v>
      </c>
      <c r="AA219" t="str">
        <f t="shared" si="55"/>
        <v>06/08/2016</v>
      </c>
    </row>
    <row r="220" spans="1:27" x14ac:dyDescent="0.3">
      <c r="A220" t="str">
        <f t="shared" si="50"/>
        <v>048314</v>
      </c>
      <c r="B220" t="str">
        <f t="shared" si="58"/>
        <v>004697</v>
      </c>
      <c r="C220" t="s">
        <v>1722</v>
      </c>
      <c r="D220" t="s">
        <v>3839</v>
      </c>
      <c r="E220" t="s">
        <v>3840</v>
      </c>
      <c r="F220" t="s">
        <v>3841</v>
      </c>
      <c r="G220" t="s">
        <v>3842</v>
      </c>
      <c r="H220" t="str">
        <f t="shared" si="53"/>
        <v>048314</v>
      </c>
      <c r="I220" t="s">
        <v>833</v>
      </c>
      <c r="J220" t="str">
        <f t="shared" ref="J220:J226" si="59">"2015-07-01 00:00:00.0"</f>
        <v>2015-07-01 00:00:00.0</v>
      </c>
      <c r="K220" t="s">
        <v>834</v>
      </c>
      <c r="L220" t="s">
        <v>0</v>
      </c>
      <c r="M220" t="str">
        <f t="shared" si="52"/>
        <v>048314</v>
      </c>
      <c r="N220">
        <v>1</v>
      </c>
      <c r="O220">
        <v>1</v>
      </c>
      <c r="P220" t="str">
        <f>"03"</f>
        <v>03</v>
      </c>
      <c r="Q220" t="s">
        <v>835</v>
      </c>
      <c r="S220" t="s">
        <v>836</v>
      </c>
      <c r="T220" t="s">
        <v>836</v>
      </c>
      <c r="U220" t="str">
        <f t="shared" si="56"/>
        <v>2500-12-31 00:00:00.0</v>
      </c>
      <c r="V220" t="s">
        <v>837</v>
      </c>
      <c r="W220" t="str">
        <f>"048314-004697-**-**"</f>
        <v>048314-004697-**-**</v>
      </c>
      <c r="X220" t="s">
        <v>838</v>
      </c>
      <c r="Y220">
        <v>1206.25</v>
      </c>
      <c r="Z220">
        <v>1206.25</v>
      </c>
      <c r="AA220" t="str">
        <f t="shared" si="55"/>
        <v>06/08/2016</v>
      </c>
    </row>
    <row r="221" spans="1:27" x14ac:dyDescent="0.3">
      <c r="A221" t="str">
        <f t="shared" si="50"/>
        <v>048314</v>
      </c>
      <c r="B221" t="str">
        <f t="shared" si="58"/>
        <v>004697</v>
      </c>
      <c r="C221" t="s">
        <v>3579</v>
      </c>
      <c r="D221" t="s">
        <v>3839</v>
      </c>
      <c r="E221" t="s">
        <v>3840</v>
      </c>
      <c r="F221" t="s">
        <v>3841</v>
      </c>
      <c r="G221" t="s">
        <v>3842</v>
      </c>
      <c r="H221" t="str">
        <f t="shared" si="53"/>
        <v>048314</v>
      </c>
      <c r="I221" t="s">
        <v>833</v>
      </c>
      <c r="J221" t="str">
        <f t="shared" si="59"/>
        <v>2015-07-01 00:00:00.0</v>
      </c>
      <c r="K221" t="s">
        <v>834</v>
      </c>
      <c r="L221" t="s">
        <v>0</v>
      </c>
      <c r="M221" t="str">
        <f t="shared" si="52"/>
        <v>048314</v>
      </c>
      <c r="N221">
        <v>1</v>
      </c>
      <c r="O221">
        <v>1</v>
      </c>
      <c r="P221" t="str">
        <f>"03"</f>
        <v>03</v>
      </c>
      <c r="Q221" t="s">
        <v>835</v>
      </c>
      <c r="S221" t="s">
        <v>836</v>
      </c>
      <c r="T221" t="s">
        <v>836</v>
      </c>
      <c r="U221" t="str">
        <f t="shared" si="56"/>
        <v>2500-12-31 00:00:00.0</v>
      </c>
      <c r="V221" t="s">
        <v>837</v>
      </c>
      <c r="W221" t="str">
        <f>"048314-004697-**-**"</f>
        <v>048314-004697-**-**</v>
      </c>
      <c r="X221" t="s">
        <v>838</v>
      </c>
      <c r="Y221">
        <v>1206.25</v>
      </c>
      <c r="Z221">
        <v>1206.25</v>
      </c>
      <c r="AA221" t="str">
        <f t="shared" si="55"/>
        <v>06/08/2016</v>
      </c>
    </row>
    <row r="222" spans="1:27" x14ac:dyDescent="0.3">
      <c r="A222" t="str">
        <f t="shared" si="50"/>
        <v>048314</v>
      </c>
      <c r="B222" t="str">
        <f t="shared" si="58"/>
        <v>004697</v>
      </c>
      <c r="C222" t="s">
        <v>959</v>
      </c>
      <c r="D222" t="s">
        <v>3839</v>
      </c>
      <c r="E222" t="s">
        <v>3840</v>
      </c>
      <c r="F222" t="s">
        <v>3841</v>
      </c>
      <c r="G222" t="s">
        <v>3842</v>
      </c>
      <c r="H222" t="str">
        <f>"048280"</f>
        <v>048280</v>
      </c>
      <c r="I222" t="s">
        <v>833</v>
      </c>
      <c r="J222" t="str">
        <f t="shared" si="59"/>
        <v>2015-07-01 00:00:00.0</v>
      </c>
      <c r="K222" t="s">
        <v>834</v>
      </c>
      <c r="L222" t="s">
        <v>142</v>
      </c>
      <c r="M222" t="str">
        <f t="shared" si="52"/>
        <v>048314</v>
      </c>
      <c r="N222">
        <v>1</v>
      </c>
      <c r="O222">
        <v>1</v>
      </c>
      <c r="P222" t="s">
        <v>841</v>
      </c>
      <c r="Q222" t="str">
        <f>"12"</f>
        <v>12</v>
      </c>
      <c r="R222" t="str">
        <f>"6"</f>
        <v>6</v>
      </c>
      <c r="S222" t="s">
        <v>836</v>
      </c>
      <c r="T222" t="s">
        <v>836</v>
      </c>
      <c r="U222" t="str">
        <f t="shared" si="56"/>
        <v>2500-12-31 00:00:00.0</v>
      </c>
      <c r="V222" t="s">
        <v>837</v>
      </c>
      <c r="W222" t="str">
        <f>"048280-048280-PS-IC"</f>
        <v>048280-048280-PS-IC</v>
      </c>
      <c r="X222" t="s">
        <v>838</v>
      </c>
      <c r="Y222">
        <v>39</v>
      </c>
      <c r="Z222">
        <v>39</v>
      </c>
      <c r="AA222" t="str">
        <f>"06/15/2016"</f>
        <v>06/15/2016</v>
      </c>
    </row>
    <row r="223" spans="1:27" x14ac:dyDescent="0.3">
      <c r="A223" t="str">
        <f t="shared" si="50"/>
        <v>048314</v>
      </c>
      <c r="B223" t="str">
        <f t="shared" si="58"/>
        <v>004697</v>
      </c>
      <c r="C223" t="s">
        <v>3644</v>
      </c>
      <c r="D223" t="s">
        <v>3839</v>
      </c>
      <c r="E223" t="s">
        <v>3840</v>
      </c>
      <c r="F223" t="s">
        <v>3841</v>
      </c>
      <c r="G223" t="s">
        <v>3842</v>
      </c>
      <c r="H223" t="str">
        <f t="shared" ref="H223:H230" si="60">"048314"</f>
        <v>048314</v>
      </c>
      <c r="I223" t="s">
        <v>833</v>
      </c>
      <c r="J223" t="str">
        <f t="shared" si="59"/>
        <v>2015-07-01 00:00:00.0</v>
      </c>
      <c r="K223" t="s">
        <v>834</v>
      </c>
      <c r="L223" t="s">
        <v>0</v>
      </c>
      <c r="M223" t="str">
        <f t="shared" si="52"/>
        <v>048314</v>
      </c>
      <c r="N223">
        <v>1</v>
      </c>
      <c r="O223">
        <v>1</v>
      </c>
      <c r="P223" t="str">
        <f>"03"</f>
        <v>03</v>
      </c>
      <c r="Q223" t="s">
        <v>835</v>
      </c>
      <c r="S223" t="s">
        <v>836</v>
      </c>
      <c r="T223" t="s">
        <v>836</v>
      </c>
      <c r="U223" t="str">
        <f t="shared" si="56"/>
        <v>2500-12-31 00:00:00.0</v>
      </c>
      <c r="V223" t="s">
        <v>837</v>
      </c>
      <c r="W223" t="str">
        <f>"048314-004697-**-**"</f>
        <v>048314-004697-**-**</v>
      </c>
      <c r="X223" t="s">
        <v>838</v>
      </c>
      <c r="Y223">
        <v>1206.25</v>
      </c>
      <c r="Z223">
        <v>1206.25</v>
      </c>
      <c r="AA223" t="str">
        <f t="shared" ref="AA223:AA230" si="61">"06/08/2016"</f>
        <v>06/08/2016</v>
      </c>
    </row>
    <row r="224" spans="1:27" x14ac:dyDescent="0.3">
      <c r="A224" t="str">
        <f t="shared" si="50"/>
        <v>048314</v>
      </c>
      <c r="B224" t="str">
        <f t="shared" si="58"/>
        <v>004697</v>
      </c>
      <c r="C224" t="s">
        <v>2855</v>
      </c>
      <c r="D224" t="s">
        <v>3839</v>
      </c>
      <c r="E224" t="s">
        <v>3840</v>
      </c>
      <c r="F224" t="s">
        <v>3841</v>
      </c>
      <c r="G224" t="s">
        <v>3842</v>
      </c>
      <c r="H224" t="str">
        <f t="shared" si="60"/>
        <v>048314</v>
      </c>
      <c r="I224" t="s">
        <v>833</v>
      </c>
      <c r="J224" t="str">
        <f t="shared" si="59"/>
        <v>2015-07-01 00:00:00.0</v>
      </c>
      <c r="K224" t="s">
        <v>834</v>
      </c>
      <c r="L224" t="s">
        <v>0</v>
      </c>
      <c r="M224" t="str">
        <f t="shared" si="52"/>
        <v>048314</v>
      </c>
      <c r="N224">
        <v>1</v>
      </c>
      <c r="O224">
        <v>1</v>
      </c>
      <c r="P224" t="str">
        <f>"05"</f>
        <v>05</v>
      </c>
      <c r="Q224" t="s">
        <v>835</v>
      </c>
      <c r="S224" t="s">
        <v>836</v>
      </c>
      <c r="T224" t="s">
        <v>836</v>
      </c>
      <c r="U224" t="str">
        <f t="shared" si="56"/>
        <v>2500-12-31 00:00:00.0</v>
      </c>
      <c r="V224" t="s">
        <v>837</v>
      </c>
      <c r="W224" t="str">
        <f>"048314-070417-**-**"</f>
        <v>048314-070417-**-**</v>
      </c>
      <c r="X224" t="s">
        <v>838</v>
      </c>
      <c r="Y224">
        <v>1125</v>
      </c>
      <c r="Z224">
        <v>1125</v>
      </c>
      <c r="AA224" t="str">
        <f t="shared" si="61"/>
        <v>06/08/2016</v>
      </c>
    </row>
    <row r="225" spans="1:27" x14ac:dyDescent="0.3">
      <c r="A225" t="str">
        <f t="shared" si="50"/>
        <v>048314</v>
      </c>
      <c r="B225" t="str">
        <f t="shared" si="58"/>
        <v>004697</v>
      </c>
      <c r="C225" t="s">
        <v>3314</v>
      </c>
      <c r="D225" t="s">
        <v>3839</v>
      </c>
      <c r="E225" t="s">
        <v>3840</v>
      </c>
      <c r="F225" t="s">
        <v>3841</v>
      </c>
      <c r="G225" t="s">
        <v>3842</v>
      </c>
      <c r="H225" t="str">
        <f t="shared" si="60"/>
        <v>048314</v>
      </c>
      <c r="I225" t="s">
        <v>833</v>
      </c>
      <c r="J225" t="str">
        <f t="shared" si="59"/>
        <v>2015-07-01 00:00:00.0</v>
      </c>
      <c r="K225" t="s">
        <v>834</v>
      </c>
      <c r="L225" t="s">
        <v>0</v>
      </c>
      <c r="M225" t="str">
        <f t="shared" si="52"/>
        <v>048314</v>
      </c>
      <c r="N225">
        <v>1</v>
      </c>
      <c r="O225">
        <v>1</v>
      </c>
      <c r="P225" t="str">
        <f>"04"</f>
        <v>04</v>
      </c>
      <c r="Q225" t="s">
        <v>835</v>
      </c>
      <c r="S225" t="s">
        <v>836</v>
      </c>
      <c r="T225" t="s">
        <v>836</v>
      </c>
      <c r="U225" t="str">
        <f t="shared" si="56"/>
        <v>2500-12-31 00:00:00.0</v>
      </c>
      <c r="V225" t="s">
        <v>837</v>
      </c>
      <c r="W225" t="str">
        <f>"048314-004697-**-**"</f>
        <v>048314-004697-**-**</v>
      </c>
      <c r="X225" t="s">
        <v>838</v>
      </c>
      <c r="Y225">
        <v>1206.25</v>
      </c>
      <c r="Z225">
        <v>1206.25</v>
      </c>
      <c r="AA225" t="str">
        <f t="shared" si="61"/>
        <v>06/08/2016</v>
      </c>
    </row>
    <row r="226" spans="1:27" x14ac:dyDescent="0.3">
      <c r="A226" t="str">
        <f t="shared" si="50"/>
        <v>048314</v>
      </c>
      <c r="B226" t="str">
        <f t="shared" si="58"/>
        <v>004697</v>
      </c>
      <c r="C226" t="s">
        <v>3133</v>
      </c>
      <c r="D226" t="s">
        <v>3839</v>
      </c>
      <c r="E226" t="s">
        <v>3840</v>
      </c>
      <c r="F226" t="s">
        <v>3841</v>
      </c>
      <c r="G226" t="s">
        <v>3842</v>
      </c>
      <c r="H226" t="str">
        <f t="shared" si="60"/>
        <v>048314</v>
      </c>
      <c r="I226" t="s">
        <v>833</v>
      </c>
      <c r="J226" t="str">
        <f t="shared" si="59"/>
        <v>2015-07-01 00:00:00.0</v>
      </c>
      <c r="K226" t="s">
        <v>834</v>
      </c>
      <c r="L226" t="s">
        <v>0</v>
      </c>
      <c r="M226" t="str">
        <f t="shared" si="52"/>
        <v>048314</v>
      </c>
      <c r="N226">
        <v>0.24444399999999999</v>
      </c>
      <c r="O226">
        <v>0.24444399999999999</v>
      </c>
      <c r="P226" t="str">
        <f>"05"</f>
        <v>05</v>
      </c>
      <c r="Q226" t="s">
        <v>835</v>
      </c>
      <c r="S226" t="s">
        <v>836</v>
      </c>
      <c r="T226" t="s">
        <v>836</v>
      </c>
      <c r="U226" t="str">
        <f>"2015-11-01 00:00:00.0"</f>
        <v>2015-11-01 00:00:00.0</v>
      </c>
      <c r="V226" t="s">
        <v>837</v>
      </c>
      <c r="W226" t="str">
        <f>"048314-070417-**-**"</f>
        <v>048314-070417-**-**</v>
      </c>
      <c r="X226" t="s">
        <v>838</v>
      </c>
      <c r="Y226">
        <v>275</v>
      </c>
      <c r="Z226">
        <v>1125</v>
      </c>
      <c r="AA226" t="str">
        <f t="shared" si="61"/>
        <v>06/08/2016</v>
      </c>
    </row>
    <row r="227" spans="1:27" x14ac:dyDescent="0.3">
      <c r="A227" t="str">
        <f t="shared" si="50"/>
        <v>048314</v>
      </c>
      <c r="B227" t="str">
        <f t="shared" si="58"/>
        <v>004697</v>
      </c>
      <c r="C227" t="s">
        <v>3133</v>
      </c>
      <c r="D227" t="s">
        <v>3839</v>
      </c>
      <c r="E227" t="s">
        <v>3840</v>
      </c>
      <c r="F227" t="s">
        <v>3841</v>
      </c>
      <c r="G227" t="s">
        <v>3842</v>
      </c>
      <c r="H227" t="str">
        <f t="shared" si="60"/>
        <v>048314</v>
      </c>
      <c r="I227" t="s">
        <v>833</v>
      </c>
      <c r="J227" t="str">
        <f>"2015-11-02 00:00:00.0"</f>
        <v>2015-11-02 00:00:00.0</v>
      </c>
      <c r="K227" t="s">
        <v>834</v>
      </c>
      <c r="L227" t="s">
        <v>0</v>
      </c>
      <c r="M227" t="str">
        <f t="shared" si="52"/>
        <v>048314</v>
      </c>
      <c r="N227">
        <v>0.75555600000000001</v>
      </c>
      <c r="O227">
        <v>0.75555600000000001</v>
      </c>
      <c r="P227" t="str">
        <f>"05"</f>
        <v>05</v>
      </c>
      <c r="Q227" t="s">
        <v>835</v>
      </c>
      <c r="S227" t="s">
        <v>860</v>
      </c>
      <c r="T227" t="s">
        <v>836</v>
      </c>
      <c r="U227" t="str">
        <f t="shared" ref="U227:U239" si="62">"2500-12-31 00:00:00.0"</f>
        <v>2500-12-31 00:00:00.0</v>
      </c>
      <c r="V227" t="s">
        <v>837</v>
      </c>
      <c r="W227" t="str">
        <f>"048314-070417-**-**"</f>
        <v>048314-070417-**-**</v>
      </c>
      <c r="X227" t="s">
        <v>838</v>
      </c>
      <c r="Y227">
        <v>850</v>
      </c>
      <c r="Z227">
        <v>1125</v>
      </c>
      <c r="AA227" t="str">
        <f t="shared" si="61"/>
        <v>06/08/2016</v>
      </c>
    </row>
    <row r="228" spans="1:27" x14ac:dyDescent="0.3">
      <c r="A228" t="str">
        <f t="shared" si="50"/>
        <v>048314</v>
      </c>
      <c r="B228" t="str">
        <f t="shared" si="58"/>
        <v>004697</v>
      </c>
      <c r="C228" t="s">
        <v>3605</v>
      </c>
      <c r="D228" t="s">
        <v>3839</v>
      </c>
      <c r="E228" t="s">
        <v>3840</v>
      </c>
      <c r="F228" t="s">
        <v>3841</v>
      </c>
      <c r="G228" t="s">
        <v>3842</v>
      </c>
      <c r="H228" t="str">
        <f t="shared" si="60"/>
        <v>048314</v>
      </c>
      <c r="I228" t="s">
        <v>833</v>
      </c>
      <c r="J228" t="str">
        <f t="shared" ref="J228:J239" si="63">"2015-07-01 00:00:00.0"</f>
        <v>2015-07-01 00:00:00.0</v>
      </c>
      <c r="K228" t="s">
        <v>834</v>
      </c>
      <c r="L228" t="s">
        <v>0</v>
      </c>
      <c r="M228" t="str">
        <f t="shared" si="52"/>
        <v>048314</v>
      </c>
      <c r="N228">
        <v>1</v>
      </c>
      <c r="O228">
        <v>1</v>
      </c>
      <c r="P228" t="str">
        <f>"04"</f>
        <v>04</v>
      </c>
      <c r="Q228" t="s">
        <v>835</v>
      </c>
      <c r="S228" t="s">
        <v>836</v>
      </c>
      <c r="T228" t="s">
        <v>836</v>
      </c>
      <c r="U228" t="str">
        <f t="shared" si="62"/>
        <v>2500-12-31 00:00:00.0</v>
      </c>
      <c r="V228" t="s">
        <v>837</v>
      </c>
      <c r="W228" t="str">
        <f>"048314-004697-**-**"</f>
        <v>048314-004697-**-**</v>
      </c>
      <c r="X228" t="s">
        <v>838</v>
      </c>
      <c r="Y228">
        <v>1206.25</v>
      </c>
      <c r="Z228">
        <v>1206.25</v>
      </c>
      <c r="AA228" t="str">
        <f t="shared" si="61"/>
        <v>06/08/2016</v>
      </c>
    </row>
    <row r="229" spans="1:27" x14ac:dyDescent="0.3">
      <c r="A229" t="str">
        <f t="shared" si="50"/>
        <v>048314</v>
      </c>
      <c r="B229" t="str">
        <f t="shared" si="58"/>
        <v>004697</v>
      </c>
      <c r="C229" t="s">
        <v>2778</v>
      </c>
      <c r="D229" t="s">
        <v>3839</v>
      </c>
      <c r="E229" t="s">
        <v>3840</v>
      </c>
      <c r="F229" t="s">
        <v>3841</v>
      </c>
      <c r="G229" t="s">
        <v>3842</v>
      </c>
      <c r="H229" t="str">
        <f t="shared" si="60"/>
        <v>048314</v>
      </c>
      <c r="I229" t="s">
        <v>833</v>
      </c>
      <c r="J229" t="str">
        <f t="shared" si="63"/>
        <v>2015-07-01 00:00:00.0</v>
      </c>
      <c r="K229" t="s">
        <v>834</v>
      </c>
      <c r="L229" t="s">
        <v>0</v>
      </c>
      <c r="M229" t="str">
        <f t="shared" si="52"/>
        <v>048314</v>
      </c>
      <c r="N229">
        <v>1</v>
      </c>
      <c r="O229">
        <v>1</v>
      </c>
      <c r="P229" t="str">
        <f>"02"</f>
        <v>02</v>
      </c>
      <c r="Q229" t="s">
        <v>835</v>
      </c>
      <c r="S229" t="s">
        <v>836</v>
      </c>
      <c r="T229" t="s">
        <v>836</v>
      </c>
      <c r="U229" t="str">
        <f t="shared" si="62"/>
        <v>2500-12-31 00:00:00.0</v>
      </c>
      <c r="V229" t="s">
        <v>837</v>
      </c>
      <c r="W229" t="str">
        <f>"048314-004697-**-**"</f>
        <v>048314-004697-**-**</v>
      </c>
      <c r="X229" t="s">
        <v>838</v>
      </c>
      <c r="Y229">
        <v>1206.25</v>
      </c>
      <c r="Z229">
        <v>1206.25</v>
      </c>
      <c r="AA229" t="str">
        <f t="shared" si="61"/>
        <v>06/08/2016</v>
      </c>
    </row>
    <row r="230" spans="1:27" x14ac:dyDescent="0.3">
      <c r="A230" t="str">
        <f t="shared" si="50"/>
        <v>048314</v>
      </c>
      <c r="B230" t="str">
        <f t="shared" si="58"/>
        <v>004697</v>
      </c>
      <c r="C230" t="s">
        <v>2857</v>
      </c>
      <c r="D230" t="s">
        <v>3839</v>
      </c>
      <c r="E230" t="s">
        <v>3840</v>
      </c>
      <c r="F230" t="s">
        <v>3841</v>
      </c>
      <c r="G230" t="s">
        <v>3842</v>
      </c>
      <c r="H230" t="str">
        <f t="shared" si="60"/>
        <v>048314</v>
      </c>
      <c r="I230" t="s">
        <v>833</v>
      </c>
      <c r="J230" t="str">
        <f t="shared" si="63"/>
        <v>2015-07-01 00:00:00.0</v>
      </c>
      <c r="K230" t="s">
        <v>834</v>
      </c>
      <c r="L230" t="s">
        <v>0</v>
      </c>
      <c r="M230" t="str">
        <f t="shared" si="52"/>
        <v>048314</v>
      </c>
      <c r="N230">
        <v>1</v>
      </c>
      <c r="O230">
        <v>1</v>
      </c>
      <c r="P230" t="str">
        <f>"05"</f>
        <v>05</v>
      </c>
      <c r="Q230" t="s">
        <v>835</v>
      </c>
      <c r="S230" t="s">
        <v>836</v>
      </c>
      <c r="T230" t="s">
        <v>836</v>
      </c>
      <c r="U230" t="str">
        <f t="shared" si="62"/>
        <v>2500-12-31 00:00:00.0</v>
      </c>
      <c r="V230" t="s">
        <v>837</v>
      </c>
      <c r="W230" t="str">
        <f>"048314-070417-**-**"</f>
        <v>048314-070417-**-**</v>
      </c>
      <c r="X230" t="s">
        <v>838</v>
      </c>
      <c r="Y230">
        <v>1125</v>
      </c>
      <c r="Z230">
        <v>1125</v>
      </c>
      <c r="AA230" t="str">
        <f t="shared" si="61"/>
        <v>06/08/2016</v>
      </c>
    </row>
    <row r="231" spans="1:27" x14ac:dyDescent="0.3">
      <c r="A231" t="str">
        <f t="shared" si="50"/>
        <v>048314</v>
      </c>
      <c r="B231" t="str">
        <f t="shared" si="58"/>
        <v>004697</v>
      </c>
      <c r="C231" t="s">
        <v>2750</v>
      </c>
      <c r="D231" t="s">
        <v>3839</v>
      </c>
      <c r="E231" t="s">
        <v>3840</v>
      </c>
      <c r="F231" t="s">
        <v>3841</v>
      </c>
      <c r="G231" t="s">
        <v>3842</v>
      </c>
      <c r="H231" t="str">
        <f>"048363"</f>
        <v>048363</v>
      </c>
      <c r="I231" t="s">
        <v>833</v>
      </c>
      <c r="J231" t="str">
        <f t="shared" si="63"/>
        <v>2015-07-01 00:00:00.0</v>
      </c>
      <c r="K231" t="s">
        <v>834</v>
      </c>
      <c r="L231" t="s">
        <v>1</v>
      </c>
      <c r="M231" t="str">
        <f t="shared" si="52"/>
        <v>048314</v>
      </c>
      <c r="N231">
        <v>1</v>
      </c>
      <c r="O231">
        <v>1</v>
      </c>
      <c r="P231" t="str">
        <f>"01"</f>
        <v>01</v>
      </c>
      <c r="Q231" t="s">
        <v>835</v>
      </c>
      <c r="S231" t="s">
        <v>836</v>
      </c>
      <c r="T231" t="s">
        <v>836</v>
      </c>
      <c r="U231" t="str">
        <f t="shared" si="62"/>
        <v>2500-12-31 00:00:00.0</v>
      </c>
      <c r="V231" t="s">
        <v>837</v>
      </c>
      <c r="W231" t="str">
        <f>"048363-026211-**-**"</f>
        <v>048363-026211-**-**</v>
      </c>
      <c r="X231" t="s">
        <v>838</v>
      </c>
      <c r="Y231">
        <v>1127</v>
      </c>
      <c r="Z231">
        <v>1127</v>
      </c>
      <c r="AA231" t="str">
        <f>"06/15/2016"</f>
        <v>06/15/2016</v>
      </c>
    </row>
    <row r="232" spans="1:27" x14ac:dyDescent="0.3">
      <c r="A232" t="str">
        <f t="shared" si="50"/>
        <v>048314</v>
      </c>
      <c r="B232" t="str">
        <f t="shared" si="58"/>
        <v>004697</v>
      </c>
      <c r="C232" t="s">
        <v>3375</v>
      </c>
      <c r="D232" t="s">
        <v>3839</v>
      </c>
      <c r="E232" t="s">
        <v>3840</v>
      </c>
      <c r="F232" t="s">
        <v>3841</v>
      </c>
      <c r="G232" t="s">
        <v>3842</v>
      </c>
      <c r="H232" t="str">
        <f t="shared" ref="H232:H239" si="64">"048314"</f>
        <v>048314</v>
      </c>
      <c r="I232" t="s">
        <v>833</v>
      </c>
      <c r="J232" t="str">
        <f t="shared" si="63"/>
        <v>2015-07-01 00:00:00.0</v>
      </c>
      <c r="K232" t="s">
        <v>834</v>
      </c>
      <c r="L232" t="s">
        <v>0</v>
      </c>
      <c r="M232" t="str">
        <f t="shared" si="52"/>
        <v>048314</v>
      </c>
      <c r="N232">
        <v>1</v>
      </c>
      <c r="O232">
        <v>1</v>
      </c>
      <c r="P232" t="str">
        <f>"04"</f>
        <v>04</v>
      </c>
      <c r="Q232" t="s">
        <v>835</v>
      </c>
      <c r="S232" t="s">
        <v>836</v>
      </c>
      <c r="T232" t="s">
        <v>836</v>
      </c>
      <c r="U232" t="str">
        <f t="shared" si="62"/>
        <v>2500-12-31 00:00:00.0</v>
      </c>
      <c r="V232" t="s">
        <v>837</v>
      </c>
      <c r="W232" t="str">
        <f>"048314-004697-**-**"</f>
        <v>048314-004697-**-**</v>
      </c>
      <c r="X232" t="s">
        <v>838</v>
      </c>
      <c r="Y232">
        <v>1206.25</v>
      </c>
      <c r="Z232">
        <v>1206.25</v>
      </c>
      <c r="AA232" t="str">
        <f t="shared" ref="AA232:AA268" si="65">"06/08/2016"</f>
        <v>06/08/2016</v>
      </c>
    </row>
    <row r="233" spans="1:27" x14ac:dyDescent="0.3">
      <c r="A233" t="str">
        <f t="shared" si="50"/>
        <v>048314</v>
      </c>
      <c r="B233" t="str">
        <f t="shared" si="58"/>
        <v>004697</v>
      </c>
      <c r="C233" t="s">
        <v>2816</v>
      </c>
      <c r="D233" t="s">
        <v>3839</v>
      </c>
      <c r="E233" t="s">
        <v>3840</v>
      </c>
      <c r="F233" t="s">
        <v>3841</v>
      </c>
      <c r="G233" t="s">
        <v>3842</v>
      </c>
      <c r="H233" t="str">
        <f t="shared" si="64"/>
        <v>048314</v>
      </c>
      <c r="I233" t="s">
        <v>833</v>
      </c>
      <c r="J233" t="str">
        <f t="shared" si="63"/>
        <v>2015-07-01 00:00:00.0</v>
      </c>
      <c r="K233" t="s">
        <v>834</v>
      </c>
      <c r="L233" t="s">
        <v>0</v>
      </c>
      <c r="M233" t="str">
        <f t="shared" si="52"/>
        <v>048314</v>
      </c>
      <c r="N233">
        <v>1</v>
      </c>
      <c r="O233">
        <v>1</v>
      </c>
      <c r="P233" t="str">
        <f>"02"</f>
        <v>02</v>
      </c>
      <c r="Q233" t="s">
        <v>835</v>
      </c>
      <c r="S233" t="s">
        <v>836</v>
      </c>
      <c r="T233" t="s">
        <v>836</v>
      </c>
      <c r="U233" t="str">
        <f t="shared" si="62"/>
        <v>2500-12-31 00:00:00.0</v>
      </c>
      <c r="V233" t="s">
        <v>837</v>
      </c>
      <c r="W233" t="str">
        <f>"048314-004697-**-**"</f>
        <v>048314-004697-**-**</v>
      </c>
      <c r="X233" t="s">
        <v>838</v>
      </c>
      <c r="Y233">
        <v>1206.25</v>
      </c>
      <c r="Z233">
        <v>1206.25</v>
      </c>
      <c r="AA233" t="str">
        <f t="shared" si="65"/>
        <v>06/08/2016</v>
      </c>
    </row>
    <row r="234" spans="1:27" x14ac:dyDescent="0.3">
      <c r="A234" t="str">
        <f t="shared" si="50"/>
        <v>048314</v>
      </c>
      <c r="B234" t="str">
        <f t="shared" si="58"/>
        <v>004697</v>
      </c>
      <c r="C234" t="s">
        <v>3216</v>
      </c>
      <c r="D234" t="s">
        <v>3839</v>
      </c>
      <c r="E234" t="s">
        <v>3840</v>
      </c>
      <c r="F234" t="s">
        <v>3841</v>
      </c>
      <c r="G234" t="s">
        <v>3842</v>
      </c>
      <c r="H234" t="str">
        <f t="shared" si="64"/>
        <v>048314</v>
      </c>
      <c r="I234" t="s">
        <v>833</v>
      </c>
      <c r="J234" t="str">
        <f t="shared" si="63"/>
        <v>2015-07-01 00:00:00.0</v>
      </c>
      <c r="K234" t="s">
        <v>834</v>
      </c>
      <c r="L234" t="s">
        <v>0</v>
      </c>
      <c r="M234" t="str">
        <f t="shared" si="52"/>
        <v>048314</v>
      </c>
      <c r="N234">
        <v>1</v>
      </c>
      <c r="O234">
        <v>1</v>
      </c>
      <c r="P234" t="str">
        <f>"04"</f>
        <v>04</v>
      </c>
      <c r="Q234" t="s">
        <v>835</v>
      </c>
      <c r="S234" t="s">
        <v>836</v>
      </c>
      <c r="T234" t="s">
        <v>836</v>
      </c>
      <c r="U234" t="str">
        <f t="shared" si="62"/>
        <v>2500-12-31 00:00:00.0</v>
      </c>
      <c r="V234" t="s">
        <v>837</v>
      </c>
      <c r="W234" t="str">
        <f>"048314-004697-**-**"</f>
        <v>048314-004697-**-**</v>
      </c>
      <c r="X234" t="s">
        <v>838</v>
      </c>
      <c r="Y234">
        <v>1206.25</v>
      </c>
      <c r="Z234">
        <v>1206.25</v>
      </c>
      <c r="AA234" t="str">
        <f t="shared" si="65"/>
        <v>06/08/2016</v>
      </c>
    </row>
    <row r="235" spans="1:27" x14ac:dyDescent="0.3">
      <c r="A235" t="str">
        <f t="shared" si="50"/>
        <v>048314</v>
      </c>
      <c r="B235" t="str">
        <f t="shared" si="58"/>
        <v>004697</v>
      </c>
      <c r="C235" t="s">
        <v>3318</v>
      </c>
      <c r="D235" t="s">
        <v>3839</v>
      </c>
      <c r="E235" t="s">
        <v>3840</v>
      </c>
      <c r="F235" t="s">
        <v>3841</v>
      </c>
      <c r="G235" t="s">
        <v>3842</v>
      </c>
      <c r="H235" t="str">
        <f t="shared" si="64"/>
        <v>048314</v>
      </c>
      <c r="I235" t="s">
        <v>833</v>
      </c>
      <c r="J235" t="str">
        <f t="shared" si="63"/>
        <v>2015-07-01 00:00:00.0</v>
      </c>
      <c r="K235" t="s">
        <v>834</v>
      </c>
      <c r="L235" t="s">
        <v>0</v>
      </c>
      <c r="M235" t="str">
        <f t="shared" si="52"/>
        <v>048314</v>
      </c>
      <c r="N235">
        <v>1</v>
      </c>
      <c r="O235">
        <v>1</v>
      </c>
      <c r="P235" t="str">
        <f>"04"</f>
        <v>04</v>
      </c>
      <c r="Q235" t="s">
        <v>835</v>
      </c>
      <c r="S235" t="s">
        <v>836</v>
      </c>
      <c r="T235" t="s">
        <v>836</v>
      </c>
      <c r="U235" t="str">
        <f t="shared" si="62"/>
        <v>2500-12-31 00:00:00.0</v>
      </c>
      <c r="V235" t="s">
        <v>837</v>
      </c>
      <c r="W235" t="str">
        <f>"048314-004697-**-**"</f>
        <v>048314-004697-**-**</v>
      </c>
      <c r="X235" t="s">
        <v>838</v>
      </c>
      <c r="Y235">
        <v>1206.25</v>
      </c>
      <c r="Z235">
        <v>1206.25</v>
      </c>
      <c r="AA235" t="str">
        <f t="shared" si="65"/>
        <v>06/08/2016</v>
      </c>
    </row>
    <row r="236" spans="1:27" x14ac:dyDescent="0.3">
      <c r="A236" t="str">
        <f t="shared" si="50"/>
        <v>048314</v>
      </c>
      <c r="B236" t="str">
        <f t="shared" si="58"/>
        <v>004697</v>
      </c>
      <c r="C236" t="s">
        <v>2993</v>
      </c>
      <c r="D236" t="s">
        <v>3839</v>
      </c>
      <c r="E236" t="s">
        <v>3840</v>
      </c>
      <c r="F236" t="s">
        <v>3841</v>
      </c>
      <c r="G236" t="s">
        <v>3842</v>
      </c>
      <c r="H236" t="str">
        <f t="shared" si="64"/>
        <v>048314</v>
      </c>
      <c r="I236" t="s">
        <v>833</v>
      </c>
      <c r="J236" t="str">
        <f t="shared" si="63"/>
        <v>2015-07-01 00:00:00.0</v>
      </c>
      <c r="K236" t="s">
        <v>834</v>
      </c>
      <c r="L236" t="s">
        <v>0</v>
      </c>
      <c r="M236" t="str">
        <f t="shared" si="52"/>
        <v>048314</v>
      </c>
      <c r="N236">
        <v>1</v>
      </c>
      <c r="O236">
        <v>1</v>
      </c>
      <c r="P236" t="str">
        <f>"01"</f>
        <v>01</v>
      </c>
      <c r="Q236" t="s">
        <v>835</v>
      </c>
      <c r="S236" t="s">
        <v>836</v>
      </c>
      <c r="T236" t="s">
        <v>836</v>
      </c>
      <c r="U236" t="str">
        <f t="shared" si="62"/>
        <v>2500-12-31 00:00:00.0</v>
      </c>
      <c r="V236" t="s">
        <v>837</v>
      </c>
      <c r="W236" t="str">
        <f>"048314-004697-**-**"</f>
        <v>048314-004697-**-**</v>
      </c>
      <c r="X236" t="s">
        <v>838</v>
      </c>
      <c r="Y236">
        <v>1206.25</v>
      </c>
      <c r="Z236">
        <v>1206.25</v>
      </c>
      <c r="AA236" t="str">
        <f t="shared" si="65"/>
        <v>06/08/2016</v>
      </c>
    </row>
    <row r="237" spans="1:27" x14ac:dyDescent="0.3">
      <c r="A237" t="str">
        <f t="shared" si="50"/>
        <v>048314</v>
      </c>
      <c r="B237" t="str">
        <f t="shared" si="58"/>
        <v>004697</v>
      </c>
      <c r="C237" t="s">
        <v>2858</v>
      </c>
      <c r="D237" t="s">
        <v>3839</v>
      </c>
      <c r="E237" t="s">
        <v>3840</v>
      </c>
      <c r="F237" t="s">
        <v>3841</v>
      </c>
      <c r="G237" t="s">
        <v>3842</v>
      </c>
      <c r="H237" t="str">
        <f t="shared" si="64"/>
        <v>048314</v>
      </c>
      <c r="I237" t="s">
        <v>833</v>
      </c>
      <c r="J237" t="str">
        <f t="shared" si="63"/>
        <v>2015-07-01 00:00:00.0</v>
      </c>
      <c r="K237" t="s">
        <v>834</v>
      </c>
      <c r="L237" t="s">
        <v>0</v>
      </c>
      <c r="M237" t="str">
        <f t="shared" si="52"/>
        <v>048314</v>
      </c>
      <c r="N237">
        <v>1</v>
      </c>
      <c r="O237">
        <v>1</v>
      </c>
      <c r="P237" t="str">
        <f>"05"</f>
        <v>05</v>
      </c>
      <c r="Q237" t="s">
        <v>835</v>
      </c>
      <c r="S237" t="s">
        <v>836</v>
      </c>
      <c r="T237" t="s">
        <v>836</v>
      </c>
      <c r="U237" t="str">
        <f t="shared" si="62"/>
        <v>2500-12-31 00:00:00.0</v>
      </c>
      <c r="V237" t="s">
        <v>837</v>
      </c>
      <c r="W237" t="str">
        <f>"048314-070417-**-**"</f>
        <v>048314-070417-**-**</v>
      </c>
      <c r="X237" t="s">
        <v>838</v>
      </c>
      <c r="Y237">
        <v>1125</v>
      </c>
      <c r="Z237">
        <v>1125</v>
      </c>
      <c r="AA237" t="str">
        <f t="shared" si="65"/>
        <v>06/08/2016</v>
      </c>
    </row>
    <row r="238" spans="1:27" x14ac:dyDescent="0.3">
      <c r="A238" t="str">
        <f t="shared" si="50"/>
        <v>048314</v>
      </c>
      <c r="B238" t="str">
        <f t="shared" si="58"/>
        <v>004697</v>
      </c>
      <c r="C238" t="s">
        <v>3638</v>
      </c>
      <c r="D238" t="s">
        <v>3839</v>
      </c>
      <c r="E238" t="s">
        <v>3840</v>
      </c>
      <c r="F238" t="s">
        <v>3841</v>
      </c>
      <c r="G238" t="s">
        <v>3842</v>
      </c>
      <c r="H238" t="str">
        <f t="shared" si="64"/>
        <v>048314</v>
      </c>
      <c r="I238" t="s">
        <v>833</v>
      </c>
      <c r="J238" t="str">
        <f t="shared" si="63"/>
        <v>2015-07-01 00:00:00.0</v>
      </c>
      <c r="K238" t="s">
        <v>834</v>
      </c>
      <c r="L238" t="s">
        <v>0</v>
      </c>
      <c r="M238" t="str">
        <f t="shared" si="52"/>
        <v>048314</v>
      </c>
      <c r="N238">
        <v>1</v>
      </c>
      <c r="O238">
        <v>1</v>
      </c>
      <c r="P238" t="str">
        <f>"03"</f>
        <v>03</v>
      </c>
      <c r="Q238" t="s">
        <v>835</v>
      </c>
      <c r="S238" t="s">
        <v>836</v>
      </c>
      <c r="T238" t="s">
        <v>836</v>
      </c>
      <c r="U238" t="str">
        <f t="shared" si="62"/>
        <v>2500-12-31 00:00:00.0</v>
      </c>
      <c r="V238" t="s">
        <v>837</v>
      </c>
      <c r="W238" t="str">
        <f>"048314-004697-**-**"</f>
        <v>048314-004697-**-**</v>
      </c>
      <c r="X238" t="s">
        <v>838</v>
      </c>
      <c r="Y238">
        <v>1206.25</v>
      </c>
      <c r="Z238">
        <v>1206.25</v>
      </c>
      <c r="AA238" t="str">
        <f t="shared" si="65"/>
        <v>06/08/2016</v>
      </c>
    </row>
    <row r="239" spans="1:27" x14ac:dyDescent="0.3">
      <c r="A239" t="str">
        <f t="shared" si="50"/>
        <v>048314</v>
      </c>
      <c r="B239" t="str">
        <f t="shared" si="58"/>
        <v>004697</v>
      </c>
      <c r="C239" t="s">
        <v>3411</v>
      </c>
      <c r="D239" t="s">
        <v>3839</v>
      </c>
      <c r="E239" t="s">
        <v>3840</v>
      </c>
      <c r="F239" t="s">
        <v>3841</v>
      </c>
      <c r="G239" t="s">
        <v>3842</v>
      </c>
      <c r="H239" t="str">
        <f t="shared" si="64"/>
        <v>048314</v>
      </c>
      <c r="I239" t="s">
        <v>833</v>
      </c>
      <c r="J239" t="str">
        <f t="shared" si="63"/>
        <v>2015-07-01 00:00:00.0</v>
      </c>
      <c r="K239" t="s">
        <v>834</v>
      </c>
      <c r="L239" t="s">
        <v>0</v>
      </c>
      <c r="M239" t="str">
        <f t="shared" si="52"/>
        <v>048314</v>
      </c>
      <c r="N239">
        <v>1</v>
      </c>
      <c r="O239">
        <v>1</v>
      </c>
      <c r="P239" t="str">
        <f>"03"</f>
        <v>03</v>
      </c>
      <c r="Q239" t="str">
        <f>"10"</f>
        <v>10</v>
      </c>
      <c r="R239" t="str">
        <f>"2"</f>
        <v>2</v>
      </c>
      <c r="S239" t="s">
        <v>860</v>
      </c>
      <c r="T239" t="s">
        <v>836</v>
      </c>
      <c r="U239" t="str">
        <f t="shared" si="62"/>
        <v>2500-12-31 00:00:00.0</v>
      </c>
      <c r="V239" t="s">
        <v>837</v>
      </c>
      <c r="W239" t="str">
        <f>"048314-004697-**-**"</f>
        <v>048314-004697-**-**</v>
      </c>
      <c r="X239" t="s">
        <v>838</v>
      </c>
      <c r="Y239">
        <v>1206.25</v>
      </c>
      <c r="Z239">
        <v>1206.25</v>
      </c>
      <c r="AA239" t="str">
        <f t="shared" si="65"/>
        <v>06/08/2016</v>
      </c>
    </row>
    <row r="240" spans="1:27" x14ac:dyDescent="0.3">
      <c r="A240" t="str">
        <f t="shared" si="50"/>
        <v>048314</v>
      </c>
      <c r="B240" t="str">
        <f t="shared" si="58"/>
        <v>004697</v>
      </c>
      <c r="C240" t="s">
        <v>926</v>
      </c>
      <c r="D240" t="s">
        <v>3839</v>
      </c>
      <c r="E240" t="s">
        <v>3840</v>
      </c>
      <c r="F240" t="s">
        <v>3841</v>
      </c>
      <c r="G240" t="s">
        <v>3842</v>
      </c>
      <c r="H240" t="str">
        <f>"045161"</f>
        <v>045161</v>
      </c>
      <c r="I240" t="s">
        <v>833</v>
      </c>
      <c r="J240" t="str">
        <f>"2015-08-24 00:00:00.0"</f>
        <v>2015-08-24 00:00:00.0</v>
      </c>
      <c r="K240" t="s">
        <v>834</v>
      </c>
      <c r="L240" t="s">
        <v>1</v>
      </c>
      <c r="M240" t="str">
        <f t="shared" si="52"/>
        <v>048314</v>
      </c>
      <c r="N240">
        <v>0.28836600000000001</v>
      </c>
      <c r="O240">
        <v>0.28836600000000001</v>
      </c>
      <c r="P240" t="s">
        <v>764</v>
      </c>
      <c r="Q240" t="s">
        <v>835</v>
      </c>
      <c r="S240" t="s">
        <v>860</v>
      </c>
      <c r="T240" t="s">
        <v>836</v>
      </c>
      <c r="U240" t="str">
        <f>"2016-02-02 00:00:00.0"</f>
        <v>2016-02-02 00:00:00.0</v>
      </c>
      <c r="V240" t="s">
        <v>837</v>
      </c>
      <c r="W240" t="str">
        <f>"045161-040436-**-**"</f>
        <v>045161-040436-**-**</v>
      </c>
      <c r="X240" t="s">
        <v>838</v>
      </c>
      <c r="Y240">
        <v>291.25</v>
      </c>
      <c r="Z240">
        <v>1010</v>
      </c>
      <c r="AA240" t="str">
        <f t="shared" si="65"/>
        <v>06/08/2016</v>
      </c>
    </row>
    <row r="241" spans="1:27" x14ac:dyDescent="0.3">
      <c r="A241" t="str">
        <f t="shared" si="50"/>
        <v>048314</v>
      </c>
      <c r="B241" t="str">
        <f t="shared" si="58"/>
        <v>004697</v>
      </c>
      <c r="C241" t="s">
        <v>3022</v>
      </c>
      <c r="D241" t="s">
        <v>3839</v>
      </c>
      <c r="E241" t="s">
        <v>3840</v>
      </c>
      <c r="F241" t="s">
        <v>3841</v>
      </c>
      <c r="G241" t="s">
        <v>3842</v>
      </c>
      <c r="H241" t="str">
        <f t="shared" ref="H241:H268" si="66">"048314"</f>
        <v>048314</v>
      </c>
      <c r="I241" t="s">
        <v>833</v>
      </c>
      <c r="J241" t="str">
        <f t="shared" ref="J241:J252" si="67">"2015-07-01 00:00:00.0"</f>
        <v>2015-07-01 00:00:00.0</v>
      </c>
      <c r="K241" t="s">
        <v>834</v>
      </c>
      <c r="L241" t="s">
        <v>0</v>
      </c>
      <c r="M241" t="str">
        <f t="shared" si="52"/>
        <v>048314</v>
      </c>
      <c r="N241">
        <v>1</v>
      </c>
      <c r="O241">
        <v>1</v>
      </c>
      <c r="P241" t="str">
        <f>"01"</f>
        <v>01</v>
      </c>
      <c r="Q241" t="s">
        <v>835</v>
      </c>
      <c r="S241" t="s">
        <v>836</v>
      </c>
      <c r="T241" t="s">
        <v>836</v>
      </c>
      <c r="U241" t="str">
        <f t="shared" ref="U241:U251" si="68">"2500-12-31 00:00:00.0"</f>
        <v>2500-12-31 00:00:00.0</v>
      </c>
      <c r="V241" t="s">
        <v>837</v>
      </c>
      <c r="W241" t="str">
        <f>"048314-004697-**-**"</f>
        <v>048314-004697-**-**</v>
      </c>
      <c r="X241" t="s">
        <v>838</v>
      </c>
      <c r="Y241">
        <v>1206.25</v>
      </c>
      <c r="Z241">
        <v>1206.25</v>
      </c>
      <c r="AA241" t="str">
        <f t="shared" si="65"/>
        <v>06/08/2016</v>
      </c>
    </row>
    <row r="242" spans="1:27" x14ac:dyDescent="0.3">
      <c r="A242" t="str">
        <f t="shared" si="50"/>
        <v>048314</v>
      </c>
      <c r="B242" t="str">
        <f t="shared" si="58"/>
        <v>004697</v>
      </c>
      <c r="C242" t="s">
        <v>3023</v>
      </c>
      <c r="D242" t="s">
        <v>3839</v>
      </c>
      <c r="E242" t="s">
        <v>3840</v>
      </c>
      <c r="F242" t="s">
        <v>3841</v>
      </c>
      <c r="G242" t="s">
        <v>3842</v>
      </c>
      <c r="H242" t="str">
        <f t="shared" si="66"/>
        <v>048314</v>
      </c>
      <c r="I242" t="s">
        <v>833</v>
      </c>
      <c r="J242" t="str">
        <f t="shared" si="67"/>
        <v>2015-07-01 00:00:00.0</v>
      </c>
      <c r="K242" t="s">
        <v>834</v>
      </c>
      <c r="L242" t="s">
        <v>0</v>
      </c>
      <c r="M242" t="str">
        <f t="shared" si="52"/>
        <v>048314</v>
      </c>
      <c r="N242">
        <v>1</v>
      </c>
      <c r="O242">
        <v>1</v>
      </c>
      <c r="P242" t="str">
        <f>"01"</f>
        <v>01</v>
      </c>
      <c r="Q242" t="s">
        <v>835</v>
      </c>
      <c r="S242" t="s">
        <v>836</v>
      </c>
      <c r="T242" t="s">
        <v>836</v>
      </c>
      <c r="U242" t="str">
        <f t="shared" si="68"/>
        <v>2500-12-31 00:00:00.0</v>
      </c>
      <c r="V242" t="s">
        <v>837</v>
      </c>
      <c r="W242" t="str">
        <f>"048314-004697-**-**"</f>
        <v>048314-004697-**-**</v>
      </c>
      <c r="X242" t="s">
        <v>838</v>
      </c>
      <c r="Y242">
        <v>1206.25</v>
      </c>
      <c r="Z242">
        <v>1206.25</v>
      </c>
      <c r="AA242" t="str">
        <f t="shared" si="65"/>
        <v>06/08/2016</v>
      </c>
    </row>
    <row r="243" spans="1:27" x14ac:dyDescent="0.3">
      <c r="A243" t="str">
        <f t="shared" si="50"/>
        <v>048314</v>
      </c>
      <c r="B243" t="str">
        <f t="shared" si="58"/>
        <v>004697</v>
      </c>
      <c r="C243" t="s">
        <v>3024</v>
      </c>
      <c r="D243" t="s">
        <v>3839</v>
      </c>
      <c r="E243" t="s">
        <v>3840</v>
      </c>
      <c r="F243" t="s">
        <v>3841</v>
      </c>
      <c r="G243" t="s">
        <v>3842</v>
      </c>
      <c r="H243" t="str">
        <f t="shared" si="66"/>
        <v>048314</v>
      </c>
      <c r="I243" t="s">
        <v>833</v>
      </c>
      <c r="J243" t="str">
        <f t="shared" si="67"/>
        <v>2015-07-01 00:00:00.0</v>
      </c>
      <c r="K243" t="s">
        <v>834</v>
      </c>
      <c r="L243" t="s">
        <v>0</v>
      </c>
      <c r="M243" t="str">
        <f t="shared" si="52"/>
        <v>048314</v>
      </c>
      <c r="N243">
        <v>1</v>
      </c>
      <c r="O243">
        <v>1</v>
      </c>
      <c r="P243" t="str">
        <f>"01"</f>
        <v>01</v>
      </c>
      <c r="Q243" t="s">
        <v>835</v>
      </c>
      <c r="S243" t="s">
        <v>836</v>
      </c>
      <c r="T243" t="s">
        <v>836</v>
      </c>
      <c r="U243" t="str">
        <f t="shared" si="68"/>
        <v>2500-12-31 00:00:00.0</v>
      </c>
      <c r="V243" t="s">
        <v>837</v>
      </c>
      <c r="W243" t="str">
        <f>"048314-004697-**-**"</f>
        <v>048314-004697-**-**</v>
      </c>
      <c r="X243" t="s">
        <v>838</v>
      </c>
      <c r="Y243">
        <v>1206.25</v>
      </c>
      <c r="Z243">
        <v>1206.25</v>
      </c>
      <c r="AA243" t="str">
        <f t="shared" si="65"/>
        <v>06/08/2016</v>
      </c>
    </row>
    <row r="244" spans="1:27" x14ac:dyDescent="0.3">
      <c r="A244" t="str">
        <f t="shared" si="50"/>
        <v>048314</v>
      </c>
      <c r="B244" t="str">
        <f t="shared" si="58"/>
        <v>004697</v>
      </c>
      <c r="C244" t="s">
        <v>3617</v>
      </c>
      <c r="D244" t="s">
        <v>3839</v>
      </c>
      <c r="E244" t="s">
        <v>3840</v>
      </c>
      <c r="F244" t="s">
        <v>3841</v>
      </c>
      <c r="G244" t="s">
        <v>3842</v>
      </c>
      <c r="H244" t="str">
        <f t="shared" si="66"/>
        <v>048314</v>
      </c>
      <c r="I244" t="s">
        <v>833</v>
      </c>
      <c r="J244" t="str">
        <f t="shared" si="67"/>
        <v>2015-07-01 00:00:00.0</v>
      </c>
      <c r="K244" t="s">
        <v>834</v>
      </c>
      <c r="L244" t="s">
        <v>0</v>
      </c>
      <c r="M244" t="str">
        <f t="shared" si="52"/>
        <v>048314</v>
      </c>
      <c r="N244">
        <v>1</v>
      </c>
      <c r="O244">
        <v>1</v>
      </c>
      <c r="P244" t="str">
        <f>"05"</f>
        <v>05</v>
      </c>
      <c r="Q244" t="s">
        <v>835</v>
      </c>
      <c r="S244" t="s">
        <v>836</v>
      </c>
      <c r="T244" t="s">
        <v>836</v>
      </c>
      <c r="U244" t="str">
        <f t="shared" si="68"/>
        <v>2500-12-31 00:00:00.0</v>
      </c>
      <c r="V244" t="s">
        <v>837</v>
      </c>
      <c r="W244" t="str">
        <f>"048314-070417-**-**"</f>
        <v>048314-070417-**-**</v>
      </c>
      <c r="X244" t="s">
        <v>838</v>
      </c>
      <c r="Y244">
        <v>1125</v>
      </c>
      <c r="Z244">
        <v>1125</v>
      </c>
      <c r="AA244" t="str">
        <f t="shared" si="65"/>
        <v>06/08/2016</v>
      </c>
    </row>
    <row r="245" spans="1:27" x14ac:dyDescent="0.3">
      <c r="A245" t="str">
        <f t="shared" si="50"/>
        <v>048314</v>
      </c>
      <c r="B245" t="str">
        <f t="shared" si="58"/>
        <v>004697</v>
      </c>
      <c r="C245" t="s">
        <v>2859</v>
      </c>
      <c r="D245" t="s">
        <v>3839</v>
      </c>
      <c r="E245" t="s">
        <v>3840</v>
      </c>
      <c r="F245" t="s">
        <v>3841</v>
      </c>
      <c r="G245" t="s">
        <v>3842</v>
      </c>
      <c r="H245" t="str">
        <f t="shared" si="66"/>
        <v>048314</v>
      </c>
      <c r="I245" t="s">
        <v>833</v>
      </c>
      <c r="J245" t="str">
        <f t="shared" si="67"/>
        <v>2015-07-01 00:00:00.0</v>
      </c>
      <c r="K245" t="s">
        <v>834</v>
      </c>
      <c r="L245" t="s">
        <v>0</v>
      </c>
      <c r="M245" t="str">
        <f t="shared" si="52"/>
        <v>048314</v>
      </c>
      <c r="N245">
        <v>1</v>
      </c>
      <c r="O245">
        <v>1</v>
      </c>
      <c r="P245" t="str">
        <f>"05"</f>
        <v>05</v>
      </c>
      <c r="Q245" t="s">
        <v>835</v>
      </c>
      <c r="S245" t="s">
        <v>836</v>
      </c>
      <c r="T245" t="s">
        <v>836</v>
      </c>
      <c r="U245" t="str">
        <f t="shared" si="68"/>
        <v>2500-12-31 00:00:00.0</v>
      </c>
      <c r="V245" t="s">
        <v>837</v>
      </c>
      <c r="W245" t="str">
        <f>"048314-070417-**-**"</f>
        <v>048314-070417-**-**</v>
      </c>
      <c r="X245" t="s">
        <v>838</v>
      </c>
      <c r="Y245">
        <v>1125</v>
      </c>
      <c r="Z245">
        <v>1125</v>
      </c>
      <c r="AA245" t="str">
        <f t="shared" si="65"/>
        <v>06/08/2016</v>
      </c>
    </row>
    <row r="246" spans="1:27" x14ac:dyDescent="0.3">
      <c r="A246" t="str">
        <f t="shared" si="50"/>
        <v>048314</v>
      </c>
      <c r="B246" t="str">
        <f t="shared" si="58"/>
        <v>004697</v>
      </c>
      <c r="C246" t="s">
        <v>1514</v>
      </c>
      <c r="D246" t="s">
        <v>3839</v>
      </c>
      <c r="E246" t="s">
        <v>3840</v>
      </c>
      <c r="F246" t="s">
        <v>3841</v>
      </c>
      <c r="G246" t="s">
        <v>3842</v>
      </c>
      <c r="H246" t="str">
        <f t="shared" si="66"/>
        <v>048314</v>
      </c>
      <c r="I246" t="s">
        <v>833</v>
      </c>
      <c r="J246" t="str">
        <f t="shared" si="67"/>
        <v>2015-07-01 00:00:00.0</v>
      </c>
      <c r="K246" t="s">
        <v>834</v>
      </c>
      <c r="L246" t="s">
        <v>0</v>
      </c>
      <c r="M246" t="str">
        <f t="shared" si="52"/>
        <v>048314</v>
      </c>
      <c r="N246">
        <v>1</v>
      </c>
      <c r="O246">
        <v>1</v>
      </c>
      <c r="P246" t="str">
        <f>"02"</f>
        <v>02</v>
      </c>
      <c r="Q246" t="s">
        <v>835</v>
      </c>
      <c r="S246" t="s">
        <v>836</v>
      </c>
      <c r="T246" t="s">
        <v>836</v>
      </c>
      <c r="U246" t="str">
        <f t="shared" si="68"/>
        <v>2500-12-31 00:00:00.0</v>
      </c>
      <c r="V246" t="s">
        <v>837</v>
      </c>
      <c r="W246" t="str">
        <f>"048314-004697-**-**"</f>
        <v>048314-004697-**-**</v>
      </c>
      <c r="X246" t="s">
        <v>838</v>
      </c>
      <c r="Y246">
        <v>1206.25</v>
      </c>
      <c r="Z246">
        <v>1206.25</v>
      </c>
      <c r="AA246" t="str">
        <f t="shared" si="65"/>
        <v>06/08/2016</v>
      </c>
    </row>
    <row r="247" spans="1:27" x14ac:dyDescent="0.3">
      <c r="A247" t="str">
        <f t="shared" si="50"/>
        <v>048314</v>
      </c>
      <c r="B247" t="str">
        <f t="shared" si="58"/>
        <v>004697</v>
      </c>
      <c r="C247" t="s">
        <v>993</v>
      </c>
      <c r="D247" t="s">
        <v>3839</v>
      </c>
      <c r="E247" t="s">
        <v>3840</v>
      </c>
      <c r="F247" t="s">
        <v>3841</v>
      </c>
      <c r="G247" t="s">
        <v>3842</v>
      </c>
      <c r="H247" t="str">
        <f t="shared" si="66"/>
        <v>048314</v>
      </c>
      <c r="I247" t="s">
        <v>833</v>
      </c>
      <c r="J247" t="str">
        <f t="shared" si="67"/>
        <v>2015-07-01 00:00:00.0</v>
      </c>
      <c r="K247" t="s">
        <v>834</v>
      </c>
      <c r="L247" t="s">
        <v>0</v>
      </c>
      <c r="M247" t="str">
        <f t="shared" si="52"/>
        <v>048314</v>
      </c>
      <c r="N247">
        <v>1</v>
      </c>
      <c r="O247">
        <v>1</v>
      </c>
      <c r="P247" t="str">
        <f>"02"</f>
        <v>02</v>
      </c>
      <c r="Q247" t="s">
        <v>835</v>
      </c>
      <c r="S247" t="s">
        <v>836</v>
      </c>
      <c r="T247" t="s">
        <v>836</v>
      </c>
      <c r="U247" t="str">
        <f t="shared" si="68"/>
        <v>2500-12-31 00:00:00.0</v>
      </c>
      <c r="V247" t="s">
        <v>837</v>
      </c>
      <c r="W247" t="str">
        <f>"048314-004697-**-**"</f>
        <v>048314-004697-**-**</v>
      </c>
      <c r="X247" t="s">
        <v>838</v>
      </c>
      <c r="Y247">
        <v>1206.25</v>
      </c>
      <c r="Z247">
        <v>1206.25</v>
      </c>
      <c r="AA247" t="str">
        <f t="shared" si="65"/>
        <v>06/08/2016</v>
      </c>
    </row>
    <row r="248" spans="1:27" x14ac:dyDescent="0.3">
      <c r="A248" t="str">
        <f t="shared" si="50"/>
        <v>048314</v>
      </c>
      <c r="B248" t="str">
        <f t="shared" si="58"/>
        <v>004697</v>
      </c>
      <c r="C248" t="s">
        <v>3319</v>
      </c>
      <c r="D248" t="s">
        <v>3839</v>
      </c>
      <c r="E248" t="s">
        <v>3840</v>
      </c>
      <c r="F248" t="s">
        <v>3841</v>
      </c>
      <c r="G248" t="s">
        <v>3842</v>
      </c>
      <c r="H248" t="str">
        <f t="shared" si="66"/>
        <v>048314</v>
      </c>
      <c r="I248" t="s">
        <v>833</v>
      </c>
      <c r="J248" t="str">
        <f t="shared" si="67"/>
        <v>2015-07-01 00:00:00.0</v>
      </c>
      <c r="K248" t="s">
        <v>834</v>
      </c>
      <c r="L248" t="s">
        <v>0</v>
      </c>
      <c r="M248" t="str">
        <f t="shared" si="52"/>
        <v>048314</v>
      </c>
      <c r="N248">
        <v>1</v>
      </c>
      <c r="O248">
        <v>1</v>
      </c>
      <c r="P248" t="str">
        <f>"04"</f>
        <v>04</v>
      </c>
      <c r="Q248" t="s">
        <v>835</v>
      </c>
      <c r="S248" t="s">
        <v>836</v>
      </c>
      <c r="T248" t="s">
        <v>836</v>
      </c>
      <c r="U248" t="str">
        <f t="shared" si="68"/>
        <v>2500-12-31 00:00:00.0</v>
      </c>
      <c r="V248" t="s">
        <v>837</v>
      </c>
      <c r="W248" t="str">
        <f>"048314-004697-**-**"</f>
        <v>048314-004697-**-**</v>
      </c>
      <c r="X248" t="s">
        <v>838</v>
      </c>
      <c r="Y248">
        <v>1206.25</v>
      </c>
      <c r="Z248">
        <v>1206.25</v>
      </c>
      <c r="AA248" t="str">
        <f t="shared" si="65"/>
        <v>06/08/2016</v>
      </c>
    </row>
    <row r="249" spans="1:27" x14ac:dyDescent="0.3">
      <c r="A249" t="str">
        <f t="shared" si="50"/>
        <v>048314</v>
      </c>
      <c r="B249" t="str">
        <f t="shared" si="58"/>
        <v>004697</v>
      </c>
      <c r="C249" t="s">
        <v>1784</v>
      </c>
      <c r="D249" t="s">
        <v>3839</v>
      </c>
      <c r="E249" t="s">
        <v>3840</v>
      </c>
      <c r="F249" t="s">
        <v>3841</v>
      </c>
      <c r="G249" t="s">
        <v>3842</v>
      </c>
      <c r="H249" t="str">
        <f t="shared" si="66"/>
        <v>048314</v>
      </c>
      <c r="I249" t="s">
        <v>833</v>
      </c>
      <c r="J249" t="str">
        <f t="shared" si="67"/>
        <v>2015-07-01 00:00:00.0</v>
      </c>
      <c r="K249" t="s">
        <v>834</v>
      </c>
      <c r="L249" t="s">
        <v>0</v>
      </c>
      <c r="M249" t="str">
        <f t="shared" si="52"/>
        <v>048314</v>
      </c>
      <c r="N249">
        <v>1</v>
      </c>
      <c r="O249">
        <v>1</v>
      </c>
      <c r="P249" t="str">
        <f>"01"</f>
        <v>01</v>
      </c>
      <c r="Q249" t="s">
        <v>835</v>
      </c>
      <c r="S249" t="s">
        <v>836</v>
      </c>
      <c r="T249" t="s">
        <v>836</v>
      </c>
      <c r="U249" t="str">
        <f t="shared" si="68"/>
        <v>2500-12-31 00:00:00.0</v>
      </c>
      <c r="V249" t="s">
        <v>837</v>
      </c>
      <c r="W249" t="str">
        <f>"048314-004697-**-**"</f>
        <v>048314-004697-**-**</v>
      </c>
      <c r="X249" t="s">
        <v>838</v>
      </c>
      <c r="Y249">
        <v>1206.25</v>
      </c>
      <c r="Z249">
        <v>1206.25</v>
      </c>
      <c r="AA249" t="str">
        <f t="shared" si="65"/>
        <v>06/08/2016</v>
      </c>
    </row>
    <row r="250" spans="1:27" x14ac:dyDescent="0.3">
      <c r="A250" t="str">
        <f t="shared" si="50"/>
        <v>048314</v>
      </c>
      <c r="B250" t="str">
        <f t="shared" si="58"/>
        <v>004697</v>
      </c>
      <c r="C250" t="s">
        <v>3176</v>
      </c>
      <c r="D250" t="s">
        <v>3839</v>
      </c>
      <c r="E250" t="s">
        <v>3840</v>
      </c>
      <c r="F250" t="s">
        <v>3841</v>
      </c>
      <c r="G250" t="s">
        <v>3842</v>
      </c>
      <c r="H250" t="str">
        <f t="shared" si="66"/>
        <v>048314</v>
      </c>
      <c r="I250" t="s">
        <v>833</v>
      </c>
      <c r="J250" t="str">
        <f t="shared" si="67"/>
        <v>2015-07-01 00:00:00.0</v>
      </c>
      <c r="K250" t="s">
        <v>834</v>
      </c>
      <c r="L250" t="s">
        <v>0</v>
      </c>
      <c r="M250" t="str">
        <f t="shared" si="52"/>
        <v>048314</v>
      </c>
      <c r="N250">
        <v>1</v>
      </c>
      <c r="O250">
        <v>1</v>
      </c>
      <c r="P250" t="str">
        <f>"05"</f>
        <v>05</v>
      </c>
      <c r="Q250" t="str">
        <f>"10"</f>
        <v>10</v>
      </c>
      <c r="R250" t="str">
        <f>"2"</f>
        <v>2</v>
      </c>
      <c r="S250" t="s">
        <v>836</v>
      </c>
      <c r="T250" t="s">
        <v>836</v>
      </c>
      <c r="U250" t="str">
        <f t="shared" si="68"/>
        <v>2500-12-31 00:00:00.0</v>
      </c>
      <c r="V250" t="s">
        <v>837</v>
      </c>
      <c r="W250" t="str">
        <f>"048314-070417-**-**"</f>
        <v>048314-070417-**-**</v>
      </c>
      <c r="X250" t="s">
        <v>838</v>
      </c>
      <c r="Y250">
        <v>1125</v>
      </c>
      <c r="Z250">
        <v>1125</v>
      </c>
      <c r="AA250" t="str">
        <f t="shared" si="65"/>
        <v>06/08/2016</v>
      </c>
    </row>
    <row r="251" spans="1:27" x14ac:dyDescent="0.3">
      <c r="A251" t="str">
        <f t="shared" si="50"/>
        <v>048314</v>
      </c>
      <c r="B251" t="str">
        <f t="shared" si="58"/>
        <v>004697</v>
      </c>
      <c r="C251" t="s">
        <v>3581</v>
      </c>
      <c r="D251" t="s">
        <v>3839</v>
      </c>
      <c r="E251" t="s">
        <v>3840</v>
      </c>
      <c r="F251" t="s">
        <v>3841</v>
      </c>
      <c r="G251" t="s">
        <v>3842</v>
      </c>
      <c r="H251" t="str">
        <f t="shared" si="66"/>
        <v>048314</v>
      </c>
      <c r="I251" t="s">
        <v>833</v>
      </c>
      <c r="J251" t="str">
        <f t="shared" si="67"/>
        <v>2015-07-01 00:00:00.0</v>
      </c>
      <c r="K251" t="s">
        <v>834</v>
      </c>
      <c r="L251" t="s">
        <v>0</v>
      </c>
      <c r="M251" t="str">
        <f t="shared" si="52"/>
        <v>048314</v>
      </c>
      <c r="N251">
        <v>1</v>
      </c>
      <c r="O251">
        <v>1</v>
      </c>
      <c r="P251" t="str">
        <f>"04"</f>
        <v>04</v>
      </c>
      <c r="Q251" t="s">
        <v>835</v>
      </c>
      <c r="S251" t="s">
        <v>836</v>
      </c>
      <c r="T251" t="s">
        <v>836</v>
      </c>
      <c r="U251" t="str">
        <f t="shared" si="68"/>
        <v>2500-12-31 00:00:00.0</v>
      </c>
      <c r="V251" t="s">
        <v>837</v>
      </c>
      <c r="W251" t="str">
        <f t="shared" ref="W251:W267" si="69">"048314-004697-**-**"</f>
        <v>048314-004697-**-**</v>
      </c>
      <c r="X251" t="s">
        <v>838</v>
      </c>
      <c r="Y251">
        <v>1206.25</v>
      </c>
      <c r="Z251">
        <v>1206.25</v>
      </c>
      <c r="AA251" t="str">
        <f t="shared" si="65"/>
        <v>06/08/2016</v>
      </c>
    </row>
    <row r="252" spans="1:27" x14ac:dyDescent="0.3">
      <c r="A252" t="str">
        <f t="shared" si="50"/>
        <v>048314</v>
      </c>
      <c r="B252" t="str">
        <f t="shared" si="58"/>
        <v>004697</v>
      </c>
      <c r="C252" t="s">
        <v>3611</v>
      </c>
      <c r="D252" t="s">
        <v>3839</v>
      </c>
      <c r="E252" t="s">
        <v>3840</v>
      </c>
      <c r="F252" t="s">
        <v>3841</v>
      </c>
      <c r="G252" t="s">
        <v>3842</v>
      </c>
      <c r="H252" t="str">
        <f t="shared" si="66"/>
        <v>048314</v>
      </c>
      <c r="I252" t="s">
        <v>833</v>
      </c>
      <c r="J252" t="str">
        <f t="shared" si="67"/>
        <v>2015-07-01 00:00:00.0</v>
      </c>
      <c r="K252" t="s">
        <v>834</v>
      </c>
      <c r="L252" t="s">
        <v>0</v>
      </c>
      <c r="M252" t="str">
        <f t="shared" si="52"/>
        <v>048314</v>
      </c>
      <c r="N252">
        <v>0.31088100000000002</v>
      </c>
      <c r="O252">
        <v>0.31088100000000002</v>
      </c>
      <c r="P252" t="str">
        <f>"03"</f>
        <v>03</v>
      </c>
      <c r="Q252" t="s">
        <v>835</v>
      </c>
      <c r="S252" t="s">
        <v>836</v>
      </c>
      <c r="T252" t="s">
        <v>836</v>
      </c>
      <c r="U252" t="str">
        <f>"2015-11-23 00:00:00.0"</f>
        <v>2015-11-23 00:00:00.0</v>
      </c>
      <c r="V252" t="s">
        <v>837</v>
      </c>
      <c r="W252" t="str">
        <f t="shared" si="69"/>
        <v>048314-004697-**-**</v>
      </c>
      <c r="X252" t="s">
        <v>838</v>
      </c>
      <c r="Y252">
        <v>375</v>
      </c>
      <c r="Z252">
        <v>1206.25</v>
      </c>
      <c r="AA252" t="str">
        <f t="shared" si="65"/>
        <v>06/08/2016</v>
      </c>
    </row>
    <row r="253" spans="1:27" x14ac:dyDescent="0.3">
      <c r="A253" t="str">
        <f t="shared" si="50"/>
        <v>048314</v>
      </c>
      <c r="B253" t="str">
        <f t="shared" si="58"/>
        <v>004697</v>
      </c>
      <c r="C253" t="s">
        <v>3611</v>
      </c>
      <c r="D253" t="s">
        <v>3839</v>
      </c>
      <c r="E253" t="s">
        <v>3840</v>
      </c>
      <c r="F253" t="s">
        <v>3841</v>
      </c>
      <c r="G253" t="s">
        <v>3842</v>
      </c>
      <c r="H253" t="str">
        <f t="shared" si="66"/>
        <v>048314</v>
      </c>
      <c r="I253" t="s">
        <v>833</v>
      </c>
      <c r="J253" t="str">
        <f>"2015-11-24 00:00:00.0"</f>
        <v>2015-11-24 00:00:00.0</v>
      </c>
      <c r="K253" t="s">
        <v>834</v>
      </c>
      <c r="L253" t="s">
        <v>0</v>
      </c>
      <c r="M253" t="str">
        <f t="shared" si="52"/>
        <v>048314</v>
      </c>
      <c r="N253">
        <v>0.68911900000000004</v>
      </c>
      <c r="O253">
        <v>0.68911900000000004</v>
      </c>
      <c r="P253" t="str">
        <f>"03"</f>
        <v>03</v>
      </c>
      <c r="Q253" t="str">
        <f>"10"</f>
        <v>10</v>
      </c>
      <c r="R253" t="str">
        <f>"2"</f>
        <v>2</v>
      </c>
      <c r="S253" t="s">
        <v>836</v>
      </c>
      <c r="T253" t="s">
        <v>836</v>
      </c>
      <c r="U253" t="str">
        <f>"2500-12-31 00:00:00.0"</f>
        <v>2500-12-31 00:00:00.0</v>
      </c>
      <c r="V253" t="s">
        <v>837</v>
      </c>
      <c r="W253" t="str">
        <f t="shared" si="69"/>
        <v>048314-004697-**-**</v>
      </c>
      <c r="X253" t="s">
        <v>838</v>
      </c>
      <c r="Y253">
        <v>831.25</v>
      </c>
      <c r="Z253">
        <v>1206.25</v>
      </c>
      <c r="AA253" t="str">
        <f t="shared" si="65"/>
        <v>06/08/2016</v>
      </c>
    </row>
    <row r="254" spans="1:27" x14ac:dyDescent="0.3">
      <c r="A254" t="str">
        <f t="shared" si="50"/>
        <v>048314</v>
      </c>
      <c r="B254" t="str">
        <f t="shared" si="58"/>
        <v>004697</v>
      </c>
      <c r="C254" t="s">
        <v>3603</v>
      </c>
      <c r="D254" t="s">
        <v>3839</v>
      </c>
      <c r="E254" t="s">
        <v>3840</v>
      </c>
      <c r="F254" t="s">
        <v>3841</v>
      </c>
      <c r="G254" t="s">
        <v>3842</v>
      </c>
      <c r="H254" t="str">
        <f t="shared" si="66"/>
        <v>048314</v>
      </c>
      <c r="I254" t="s">
        <v>833</v>
      </c>
      <c r="J254" t="str">
        <f>"2015-07-01 00:00:00.0"</f>
        <v>2015-07-01 00:00:00.0</v>
      </c>
      <c r="K254" t="s">
        <v>834</v>
      </c>
      <c r="L254" t="s">
        <v>0</v>
      </c>
      <c r="M254" t="str">
        <f t="shared" si="52"/>
        <v>048314</v>
      </c>
      <c r="N254">
        <v>1</v>
      </c>
      <c r="O254">
        <v>1</v>
      </c>
      <c r="P254" t="str">
        <f>"03"</f>
        <v>03</v>
      </c>
      <c r="Q254" t="s">
        <v>835</v>
      </c>
      <c r="S254" t="s">
        <v>836</v>
      </c>
      <c r="T254" t="s">
        <v>836</v>
      </c>
      <c r="U254" t="str">
        <f>"2500-12-31 00:00:00.0"</f>
        <v>2500-12-31 00:00:00.0</v>
      </c>
      <c r="V254" t="s">
        <v>837</v>
      </c>
      <c r="W254" t="str">
        <f t="shared" si="69"/>
        <v>048314-004697-**-**</v>
      </c>
      <c r="X254" t="s">
        <v>838</v>
      </c>
      <c r="Y254">
        <v>1206.25</v>
      </c>
      <c r="Z254">
        <v>1206.25</v>
      </c>
      <c r="AA254" t="str">
        <f t="shared" si="65"/>
        <v>06/08/2016</v>
      </c>
    </row>
    <row r="255" spans="1:27" x14ac:dyDescent="0.3">
      <c r="A255" t="str">
        <f t="shared" si="50"/>
        <v>048314</v>
      </c>
      <c r="B255" t="str">
        <f t="shared" si="58"/>
        <v>004697</v>
      </c>
      <c r="C255" t="s">
        <v>3602</v>
      </c>
      <c r="D255" t="s">
        <v>3839</v>
      </c>
      <c r="E255" t="s">
        <v>3840</v>
      </c>
      <c r="F255" t="s">
        <v>3841</v>
      </c>
      <c r="G255" t="s">
        <v>3842</v>
      </c>
      <c r="H255" t="str">
        <f t="shared" si="66"/>
        <v>048314</v>
      </c>
      <c r="I255" t="s">
        <v>833</v>
      </c>
      <c r="J255" t="str">
        <f>"2015-07-01 00:00:00.0"</f>
        <v>2015-07-01 00:00:00.0</v>
      </c>
      <c r="K255" t="s">
        <v>834</v>
      </c>
      <c r="L255" t="s">
        <v>0</v>
      </c>
      <c r="M255" t="str">
        <f t="shared" si="52"/>
        <v>048314</v>
      </c>
      <c r="N255">
        <v>1</v>
      </c>
      <c r="O255">
        <v>1</v>
      </c>
      <c r="P255" t="str">
        <f>"03"</f>
        <v>03</v>
      </c>
      <c r="Q255" t="s">
        <v>835</v>
      </c>
      <c r="S255" t="s">
        <v>836</v>
      </c>
      <c r="T255" t="s">
        <v>836</v>
      </c>
      <c r="U255" t="str">
        <f>"2500-12-31 00:00:00.0"</f>
        <v>2500-12-31 00:00:00.0</v>
      </c>
      <c r="V255" t="s">
        <v>837</v>
      </c>
      <c r="W255" t="str">
        <f t="shared" si="69"/>
        <v>048314-004697-**-**</v>
      </c>
      <c r="X255" t="s">
        <v>838</v>
      </c>
      <c r="Y255">
        <v>1206.25</v>
      </c>
      <c r="Z255">
        <v>1206.25</v>
      </c>
      <c r="AA255" t="str">
        <f t="shared" si="65"/>
        <v>06/08/2016</v>
      </c>
    </row>
    <row r="256" spans="1:27" x14ac:dyDescent="0.3">
      <c r="A256" t="str">
        <f t="shared" si="50"/>
        <v>048314</v>
      </c>
      <c r="B256" t="str">
        <f t="shared" si="58"/>
        <v>004697</v>
      </c>
      <c r="C256" t="s">
        <v>3577</v>
      </c>
      <c r="D256" t="s">
        <v>3839</v>
      </c>
      <c r="E256" t="s">
        <v>3840</v>
      </c>
      <c r="F256" t="s">
        <v>3841</v>
      </c>
      <c r="G256" t="s">
        <v>3842</v>
      </c>
      <c r="H256" t="str">
        <f t="shared" si="66"/>
        <v>048314</v>
      </c>
      <c r="I256" t="s">
        <v>833</v>
      </c>
      <c r="J256" t="str">
        <f>"2015-07-01 00:00:00.0"</f>
        <v>2015-07-01 00:00:00.0</v>
      </c>
      <c r="K256" t="s">
        <v>834</v>
      </c>
      <c r="L256" t="s">
        <v>0</v>
      </c>
      <c r="M256" t="str">
        <f t="shared" si="52"/>
        <v>048314</v>
      </c>
      <c r="N256">
        <v>1</v>
      </c>
      <c r="O256">
        <v>1</v>
      </c>
      <c r="P256" t="str">
        <f>"04"</f>
        <v>04</v>
      </c>
      <c r="Q256" t="s">
        <v>835</v>
      </c>
      <c r="S256" t="s">
        <v>836</v>
      </c>
      <c r="T256" t="s">
        <v>836</v>
      </c>
      <c r="U256" t="str">
        <f>"2500-12-31 00:00:00.0"</f>
        <v>2500-12-31 00:00:00.0</v>
      </c>
      <c r="V256" t="s">
        <v>837</v>
      </c>
      <c r="W256" t="str">
        <f t="shared" si="69"/>
        <v>048314-004697-**-**</v>
      </c>
      <c r="X256" t="s">
        <v>838</v>
      </c>
      <c r="Y256">
        <v>1206.25</v>
      </c>
      <c r="Z256">
        <v>1206.25</v>
      </c>
      <c r="AA256" t="str">
        <f t="shared" si="65"/>
        <v>06/08/2016</v>
      </c>
    </row>
    <row r="257" spans="1:27" x14ac:dyDescent="0.3">
      <c r="A257" t="str">
        <f t="shared" si="50"/>
        <v>048314</v>
      </c>
      <c r="B257" t="str">
        <f t="shared" si="58"/>
        <v>004697</v>
      </c>
      <c r="C257" t="s">
        <v>2560</v>
      </c>
      <c r="D257" t="s">
        <v>3839</v>
      </c>
      <c r="E257" t="s">
        <v>3840</v>
      </c>
      <c r="F257" t="s">
        <v>3841</v>
      </c>
      <c r="G257" t="s">
        <v>3842</v>
      </c>
      <c r="H257" t="str">
        <f t="shared" si="66"/>
        <v>048314</v>
      </c>
      <c r="I257" t="s">
        <v>833</v>
      </c>
      <c r="J257" t="str">
        <f>"2015-07-01 00:00:00.0"</f>
        <v>2015-07-01 00:00:00.0</v>
      </c>
      <c r="K257" t="s">
        <v>834</v>
      </c>
      <c r="L257" t="s">
        <v>0</v>
      </c>
      <c r="M257" t="str">
        <f t="shared" si="52"/>
        <v>048314</v>
      </c>
      <c r="N257">
        <v>1</v>
      </c>
      <c r="O257">
        <v>1</v>
      </c>
      <c r="P257" t="str">
        <f>"02"</f>
        <v>02</v>
      </c>
      <c r="Q257" t="str">
        <f>"05"</f>
        <v>05</v>
      </c>
      <c r="R257" t="str">
        <f>"1"</f>
        <v>1</v>
      </c>
      <c r="S257" t="s">
        <v>836</v>
      </c>
      <c r="T257" t="s">
        <v>836</v>
      </c>
      <c r="U257" t="str">
        <f>"2500-12-31 00:00:00.0"</f>
        <v>2500-12-31 00:00:00.0</v>
      </c>
      <c r="V257" t="s">
        <v>837</v>
      </c>
      <c r="W257" t="str">
        <f t="shared" si="69"/>
        <v>048314-004697-**-**</v>
      </c>
      <c r="X257" t="s">
        <v>838</v>
      </c>
      <c r="Y257">
        <v>1206.25</v>
      </c>
      <c r="Z257">
        <v>1206.25</v>
      </c>
      <c r="AA257" t="str">
        <f t="shared" si="65"/>
        <v>06/08/2016</v>
      </c>
    </row>
    <row r="258" spans="1:27" x14ac:dyDescent="0.3">
      <c r="A258" t="str">
        <f t="shared" ref="A258:A321" si="70">"048314"</f>
        <v>048314</v>
      </c>
      <c r="B258" t="str">
        <f t="shared" si="58"/>
        <v>004697</v>
      </c>
      <c r="C258" t="s">
        <v>2814</v>
      </c>
      <c r="D258" t="s">
        <v>3839</v>
      </c>
      <c r="E258" t="s">
        <v>3840</v>
      </c>
      <c r="F258" t="s">
        <v>3841</v>
      </c>
      <c r="G258" t="s">
        <v>3842</v>
      </c>
      <c r="H258" t="str">
        <f t="shared" si="66"/>
        <v>048314</v>
      </c>
      <c r="I258" t="s">
        <v>833</v>
      </c>
      <c r="J258" t="str">
        <f>"2015-08-01 00:00:00.0"</f>
        <v>2015-08-01 00:00:00.0</v>
      </c>
      <c r="K258" t="s">
        <v>834</v>
      </c>
      <c r="L258" t="s">
        <v>0</v>
      </c>
      <c r="M258" t="str">
        <f t="shared" si="52"/>
        <v>048314</v>
      </c>
      <c r="N258">
        <v>0.34715000000000001</v>
      </c>
      <c r="O258">
        <v>0.34715000000000001</v>
      </c>
      <c r="P258" t="s">
        <v>764</v>
      </c>
      <c r="Q258" t="s">
        <v>835</v>
      </c>
      <c r="S258" t="s">
        <v>836</v>
      </c>
      <c r="T258" t="s">
        <v>836</v>
      </c>
      <c r="U258" t="str">
        <f>"2015-12-06 00:00:00.0"</f>
        <v>2015-12-06 00:00:00.0</v>
      </c>
      <c r="V258" t="s">
        <v>837</v>
      </c>
      <c r="W258" t="str">
        <f t="shared" si="69"/>
        <v>048314-004697-**-**</v>
      </c>
      <c r="X258" t="s">
        <v>838</v>
      </c>
      <c r="Y258">
        <v>418.75</v>
      </c>
      <c r="Z258">
        <v>1206.25</v>
      </c>
      <c r="AA258" t="str">
        <f t="shared" si="65"/>
        <v>06/08/2016</v>
      </c>
    </row>
    <row r="259" spans="1:27" x14ac:dyDescent="0.3">
      <c r="A259" t="str">
        <f t="shared" si="70"/>
        <v>048314</v>
      </c>
      <c r="B259" t="str">
        <f t="shared" si="58"/>
        <v>004697</v>
      </c>
      <c r="C259" t="s">
        <v>2814</v>
      </c>
      <c r="D259" t="s">
        <v>3839</v>
      </c>
      <c r="E259" t="s">
        <v>3840</v>
      </c>
      <c r="F259" t="s">
        <v>3841</v>
      </c>
      <c r="G259" t="s">
        <v>3842</v>
      </c>
      <c r="H259" t="str">
        <f t="shared" si="66"/>
        <v>048314</v>
      </c>
      <c r="I259" t="s">
        <v>833</v>
      </c>
      <c r="J259" t="str">
        <f>"2015-12-07 00:00:00.0"</f>
        <v>2015-12-07 00:00:00.0</v>
      </c>
      <c r="K259" t="s">
        <v>834</v>
      </c>
      <c r="L259" t="s">
        <v>0</v>
      </c>
      <c r="M259" t="str">
        <f t="shared" si="52"/>
        <v>048314</v>
      </c>
      <c r="N259">
        <v>0.65285000000000004</v>
      </c>
      <c r="O259">
        <v>0.65285000000000004</v>
      </c>
      <c r="P259" t="s">
        <v>764</v>
      </c>
      <c r="Q259" t="s">
        <v>835</v>
      </c>
      <c r="S259" t="s">
        <v>836</v>
      </c>
      <c r="T259" t="s">
        <v>836</v>
      </c>
      <c r="U259" t="str">
        <f>"2500-12-31 00:00:00.0"</f>
        <v>2500-12-31 00:00:00.0</v>
      </c>
      <c r="V259" t="s">
        <v>837</v>
      </c>
      <c r="W259" t="str">
        <f t="shared" si="69"/>
        <v>048314-004697-**-**</v>
      </c>
      <c r="X259" t="s">
        <v>838</v>
      </c>
      <c r="Y259">
        <v>787.5</v>
      </c>
      <c r="Z259">
        <v>1206.25</v>
      </c>
      <c r="AA259" t="str">
        <f t="shared" si="65"/>
        <v>06/08/2016</v>
      </c>
    </row>
    <row r="260" spans="1:27" x14ac:dyDescent="0.3">
      <c r="A260" t="str">
        <f t="shared" si="70"/>
        <v>048314</v>
      </c>
      <c r="B260" t="str">
        <f t="shared" si="58"/>
        <v>004697</v>
      </c>
      <c r="C260" t="s">
        <v>3006</v>
      </c>
      <c r="D260" t="s">
        <v>3839</v>
      </c>
      <c r="E260" t="s">
        <v>3840</v>
      </c>
      <c r="F260" t="s">
        <v>3841</v>
      </c>
      <c r="G260" t="s">
        <v>3842</v>
      </c>
      <c r="H260" t="str">
        <f t="shared" si="66"/>
        <v>048314</v>
      </c>
      <c r="I260" t="s">
        <v>833</v>
      </c>
      <c r="J260" t="str">
        <f>"2015-07-01 00:00:00.0"</f>
        <v>2015-07-01 00:00:00.0</v>
      </c>
      <c r="K260" t="s">
        <v>834</v>
      </c>
      <c r="L260" t="s">
        <v>0</v>
      </c>
      <c r="M260" t="str">
        <f>"043786"</f>
        <v>043786</v>
      </c>
      <c r="N260">
        <v>0.77202099999999996</v>
      </c>
      <c r="O260">
        <v>0.77202099999999996</v>
      </c>
      <c r="P260" t="str">
        <f>"01"</f>
        <v>01</v>
      </c>
      <c r="Q260" t="s">
        <v>835</v>
      </c>
      <c r="S260" t="s">
        <v>860</v>
      </c>
      <c r="T260" t="s">
        <v>836</v>
      </c>
      <c r="U260" t="str">
        <f>"2016-04-06 00:00:00.0"</f>
        <v>2016-04-06 00:00:00.0</v>
      </c>
      <c r="V260" t="s">
        <v>837</v>
      </c>
      <c r="W260" t="str">
        <f t="shared" si="69"/>
        <v>048314-004697-**-**</v>
      </c>
      <c r="X260" t="s">
        <v>838</v>
      </c>
      <c r="Y260">
        <v>931.25</v>
      </c>
      <c r="Z260">
        <v>1206.25</v>
      </c>
      <c r="AA260" t="str">
        <f t="shared" si="65"/>
        <v>06/08/2016</v>
      </c>
    </row>
    <row r="261" spans="1:27" x14ac:dyDescent="0.3">
      <c r="A261" t="str">
        <f t="shared" si="70"/>
        <v>048314</v>
      </c>
      <c r="B261" t="str">
        <f t="shared" si="58"/>
        <v>004697</v>
      </c>
      <c r="C261" t="s">
        <v>3006</v>
      </c>
      <c r="D261" t="s">
        <v>3839</v>
      </c>
      <c r="E261" t="s">
        <v>3840</v>
      </c>
      <c r="F261" t="s">
        <v>3841</v>
      </c>
      <c r="G261" t="s">
        <v>3842</v>
      </c>
      <c r="H261" t="str">
        <f t="shared" si="66"/>
        <v>048314</v>
      </c>
      <c r="I261" t="s">
        <v>833</v>
      </c>
      <c r="J261" t="str">
        <f>"2016-04-07 00:00:00.0"</f>
        <v>2016-04-07 00:00:00.0</v>
      </c>
      <c r="K261" t="s">
        <v>834</v>
      </c>
      <c r="L261" t="s">
        <v>0</v>
      </c>
      <c r="M261" t="str">
        <f>"043786"</f>
        <v>043786</v>
      </c>
      <c r="N261">
        <v>0.22797899999999999</v>
      </c>
      <c r="O261">
        <v>0.22797899999999999</v>
      </c>
      <c r="P261" t="str">
        <f>"01"</f>
        <v>01</v>
      </c>
      <c r="Q261" t="str">
        <f>"10"</f>
        <v>10</v>
      </c>
      <c r="R261" t="str">
        <f>"2"</f>
        <v>2</v>
      </c>
      <c r="S261" t="s">
        <v>860</v>
      </c>
      <c r="T261" t="s">
        <v>836</v>
      </c>
      <c r="U261" t="str">
        <f t="shared" ref="U261:U270" si="71">"2500-12-31 00:00:00.0"</f>
        <v>2500-12-31 00:00:00.0</v>
      </c>
      <c r="V261" t="s">
        <v>837</v>
      </c>
      <c r="W261" t="str">
        <f t="shared" si="69"/>
        <v>048314-004697-**-**</v>
      </c>
      <c r="X261" t="s">
        <v>838</v>
      </c>
      <c r="Y261">
        <v>275</v>
      </c>
      <c r="Z261">
        <v>1206.25</v>
      </c>
      <c r="AA261" t="str">
        <f t="shared" si="65"/>
        <v>06/08/2016</v>
      </c>
    </row>
    <row r="262" spans="1:27" x14ac:dyDescent="0.3">
      <c r="A262" t="str">
        <f t="shared" si="70"/>
        <v>048314</v>
      </c>
      <c r="B262" t="str">
        <f t="shared" si="58"/>
        <v>004697</v>
      </c>
      <c r="C262" t="s">
        <v>3065</v>
      </c>
      <c r="D262" t="s">
        <v>3839</v>
      </c>
      <c r="E262" t="s">
        <v>3840</v>
      </c>
      <c r="F262" t="s">
        <v>3841</v>
      </c>
      <c r="G262" t="s">
        <v>3842</v>
      </c>
      <c r="H262" t="str">
        <f t="shared" si="66"/>
        <v>048314</v>
      </c>
      <c r="I262" t="s">
        <v>833</v>
      </c>
      <c r="J262" t="str">
        <f>"2015-08-01 00:00:00.0"</f>
        <v>2015-08-01 00:00:00.0</v>
      </c>
      <c r="K262" t="s">
        <v>834</v>
      </c>
      <c r="L262" t="s">
        <v>0</v>
      </c>
      <c r="M262" t="str">
        <f t="shared" ref="M262:M288" si="72">"048314"</f>
        <v>048314</v>
      </c>
      <c r="N262">
        <v>1</v>
      </c>
      <c r="O262">
        <v>1</v>
      </c>
      <c r="P262" t="s">
        <v>764</v>
      </c>
      <c r="Q262" t="s">
        <v>835</v>
      </c>
      <c r="S262" t="s">
        <v>860</v>
      </c>
      <c r="T262" t="s">
        <v>836</v>
      </c>
      <c r="U262" t="str">
        <f t="shared" si="71"/>
        <v>2500-12-31 00:00:00.0</v>
      </c>
      <c r="V262" t="s">
        <v>837</v>
      </c>
      <c r="W262" t="str">
        <f t="shared" si="69"/>
        <v>048314-004697-**-**</v>
      </c>
      <c r="X262" t="s">
        <v>838</v>
      </c>
      <c r="Y262">
        <v>1206.25</v>
      </c>
      <c r="Z262">
        <v>1206.25</v>
      </c>
      <c r="AA262" t="str">
        <f t="shared" si="65"/>
        <v>06/08/2016</v>
      </c>
    </row>
    <row r="263" spans="1:27" x14ac:dyDescent="0.3">
      <c r="A263" t="str">
        <f t="shared" si="70"/>
        <v>048314</v>
      </c>
      <c r="B263" t="str">
        <f t="shared" si="58"/>
        <v>004697</v>
      </c>
      <c r="C263" t="s">
        <v>3571</v>
      </c>
      <c r="D263" t="s">
        <v>3839</v>
      </c>
      <c r="E263" t="s">
        <v>3840</v>
      </c>
      <c r="F263" t="s">
        <v>3841</v>
      </c>
      <c r="G263" t="s">
        <v>3842</v>
      </c>
      <c r="H263" t="str">
        <f t="shared" si="66"/>
        <v>048314</v>
      </c>
      <c r="I263" t="s">
        <v>833</v>
      </c>
      <c r="J263" t="str">
        <f>"2015-07-01 00:00:00.0"</f>
        <v>2015-07-01 00:00:00.0</v>
      </c>
      <c r="K263" t="s">
        <v>834</v>
      </c>
      <c r="L263" t="s">
        <v>0</v>
      </c>
      <c r="M263" t="str">
        <f t="shared" si="72"/>
        <v>048314</v>
      </c>
      <c r="N263">
        <v>1</v>
      </c>
      <c r="O263">
        <v>1</v>
      </c>
      <c r="P263" t="str">
        <f>"04"</f>
        <v>04</v>
      </c>
      <c r="Q263" t="s">
        <v>835</v>
      </c>
      <c r="S263" t="s">
        <v>836</v>
      </c>
      <c r="T263" t="s">
        <v>836</v>
      </c>
      <c r="U263" t="str">
        <f t="shared" si="71"/>
        <v>2500-12-31 00:00:00.0</v>
      </c>
      <c r="V263" t="s">
        <v>837</v>
      </c>
      <c r="W263" t="str">
        <f t="shared" si="69"/>
        <v>048314-004697-**-**</v>
      </c>
      <c r="X263" t="s">
        <v>838</v>
      </c>
      <c r="Y263">
        <v>1206.25</v>
      </c>
      <c r="Z263">
        <v>1206.25</v>
      </c>
      <c r="AA263" t="str">
        <f t="shared" si="65"/>
        <v>06/08/2016</v>
      </c>
    </row>
    <row r="264" spans="1:27" x14ac:dyDescent="0.3">
      <c r="A264" t="str">
        <f t="shared" si="70"/>
        <v>048314</v>
      </c>
      <c r="B264" t="str">
        <f t="shared" si="58"/>
        <v>004697</v>
      </c>
      <c r="C264" t="s">
        <v>3619</v>
      </c>
      <c r="D264" t="s">
        <v>3839</v>
      </c>
      <c r="E264" t="s">
        <v>3840</v>
      </c>
      <c r="F264" t="s">
        <v>3841</v>
      </c>
      <c r="G264" t="s">
        <v>3842</v>
      </c>
      <c r="H264" t="str">
        <f t="shared" si="66"/>
        <v>048314</v>
      </c>
      <c r="I264" t="s">
        <v>833</v>
      </c>
      <c r="J264" t="str">
        <f>"2015-07-01 00:00:00.0"</f>
        <v>2015-07-01 00:00:00.0</v>
      </c>
      <c r="K264" t="s">
        <v>834</v>
      </c>
      <c r="L264" t="s">
        <v>0</v>
      </c>
      <c r="M264" t="str">
        <f t="shared" si="72"/>
        <v>048314</v>
      </c>
      <c r="N264">
        <v>1</v>
      </c>
      <c r="O264">
        <v>1</v>
      </c>
      <c r="P264" t="str">
        <f>"04"</f>
        <v>04</v>
      </c>
      <c r="Q264" t="s">
        <v>835</v>
      </c>
      <c r="S264" t="s">
        <v>836</v>
      </c>
      <c r="T264" t="s">
        <v>836</v>
      </c>
      <c r="U264" t="str">
        <f t="shared" si="71"/>
        <v>2500-12-31 00:00:00.0</v>
      </c>
      <c r="V264" t="s">
        <v>837</v>
      </c>
      <c r="W264" t="str">
        <f t="shared" si="69"/>
        <v>048314-004697-**-**</v>
      </c>
      <c r="X264" t="s">
        <v>838</v>
      </c>
      <c r="Y264">
        <v>1206.25</v>
      </c>
      <c r="Z264">
        <v>1206.25</v>
      </c>
      <c r="AA264" t="str">
        <f t="shared" si="65"/>
        <v>06/08/2016</v>
      </c>
    </row>
    <row r="265" spans="1:27" x14ac:dyDescent="0.3">
      <c r="A265" t="str">
        <f t="shared" si="70"/>
        <v>048314</v>
      </c>
      <c r="B265" t="str">
        <f t="shared" si="58"/>
        <v>004697</v>
      </c>
      <c r="C265" t="s">
        <v>3582</v>
      </c>
      <c r="D265" t="s">
        <v>3839</v>
      </c>
      <c r="E265" t="s">
        <v>3840</v>
      </c>
      <c r="F265" t="s">
        <v>3841</v>
      </c>
      <c r="G265" t="s">
        <v>3842</v>
      </c>
      <c r="H265" t="str">
        <f t="shared" si="66"/>
        <v>048314</v>
      </c>
      <c r="I265" t="s">
        <v>833</v>
      </c>
      <c r="J265" t="str">
        <f>"2015-07-01 00:00:00.0"</f>
        <v>2015-07-01 00:00:00.0</v>
      </c>
      <c r="K265" t="s">
        <v>834</v>
      </c>
      <c r="L265" t="s">
        <v>0</v>
      </c>
      <c r="M265" t="str">
        <f t="shared" si="72"/>
        <v>048314</v>
      </c>
      <c r="N265">
        <v>1</v>
      </c>
      <c r="O265">
        <v>1</v>
      </c>
      <c r="P265" t="str">
        <f>"04"</f>
        <v>04</v>
      </c>
      <c r="Q265" t="s">
        <v>835</v>
      </c>
      <c r="S265" t="s">
        <v>836</v>
      </c>
      <c r="T265" t="s">
        <v>836</v>
      </c>
      <c r="U265" t="str">
        <f t="shared" si="71"/>
        <v>2500-12-31 00:00:00.0</v>
      </c>
      <c r="V265" t="s">
        <v>837</v>
      </c>
      <c r="W265" t="str">
        <f t="shared" si="69"/>
        <v>048314-004697-**-**</v>
      </c>
      <c r="X265" t="s">
        <v>838</v>
      </c>
      <c r="Y265">
        <v>1206.25</v>
      </c>
      <c r="Z265">
        <v>1206.25</v>
      </c>
      <c r="AA265" t="str">
        <f t="shared" si="65"/>
        <v>06/08/2016</v>
      </c>
    </row>
    <row r="266" spans="1:27" x14ac:dyDescent="0.3">
      <c r="A266" t="str">
        <f t="shared" si="70"/>
        <v>048314</v>
      </c>
      <c r="B266" t="str">
        <f t="shared" si="58"/>
        <v>004697</v>
      </c>
      <c r="C266" t="s">
        <v>2567</v>
      </c>
      <c r="D266" t="s">
        <v>3839</v>
      </c>
      <c r="E266" t="s">
        <v>3840</v>
      </c>
      <c r="F266" t="s">
        <v>3841</v>
      </c>
      <c r="G266" t="s">
        <v>3842</v>
      </c>
      <c r="H266" t="str">
        <f t="shared" si="66"/>
        <v>048314</v>
      </c>
      <c r="I266" t="s">
        <v>833</v>
      </c>
      <c r="J266" t="str">
        <f>"2015-08-01 00:00:00.0"</f>
        <v>2015-08-01 00:00:00.0</v>
      </c>
      <c r="K266" t="s">
        <v>834</v>
      </c>
      <c r="L266" t="s">
        <v>0</v>
      </c>
      <c r="M266" t="str">
        <f t="shared" si="72"/>
        <v>048314</v>
      </c>
      <c r="N266">
        <v>1</v>
      </c>
      <c r="O266">
        <v>1</v>
      </c>
      <c r="P266" t="s">
        <v>764</v>
      </c>
      <c r="Q266" t="s">
        <v>835</v>
      </c>
      <c r="S266" t="s">
        <v>836</v>
      </c>
      <c r="T266" t="s">
        <v>836</v>
      </c>
      <c r="U266" t="str">
        <f t="shared" si="71"/>
        <v>2500-12-31 00:00:00.0</v>
      </c>
      <c r="V266" t="s">
        <v>837</v>
      </c>
      <c r="W266" t="str">
        <f t="shared" si="69"/>
        <v>048314-004697-**-**</v>
      </c>
      <c r="X266" t="s">
        <v>838</v>
      </c>
      <c r="Y266">
        <v>1206.25</v>
      </c>
      <c r="Z266">
        <v>1206.25</v>
      </c>
      <c r="AA266" t="str">
        <f t="shared" si="65"/>
        <v>06/08/2016</v>
      </c>
    </row>
    <row r="267" spans="1:27" x14ac:dyDescent="0.3">
      <c r="A267" t="str">
        <f t="shared" si="70"/>
        <v>048314</v>
      </c>
      <c r="B267" t="str">
        <f t="shared" si="58"/>
        <v>004697</v>
      </c>
      <c r="C267" t="s">
        <v>3122</v>
      </c>
      <c r="D267" t="s">
        <v>3839</v>
      </c>
      <c r="E267" t="s">
        <v>3840</v>
      </c>
      <c r="F267" t="s">
        <v>3841</v>
      </c>
      <c r="G267" t="s">
        <v>3842</v>
      </c>
      <c r="H267" t="str">
        <f t="shared" si="66"/>
        <v>048314</v>
      </c>
      <c r="I267" t="s">
        <v>833</v>
      </c>
      <c r="J267" t="str">
        <f>"2015-08-01 00:00:00.0"</f>
        <v>2015-08-01 00:00:00.0</v>
      </c>
      <c r="K267" t="s">
        <v>834</v>
      </c>
      <c r="L267" t="s">
        <v>0</v>
      </c>
      <c r="M267" t="str">
        <f t="shared" si="72"/>
        <v>048314</v>
      </c>
      <c r="N267">
        <v>1</v>
      </c>
      <c r="O267">
        <v>1</v>
      </c>
      <c r="P267" t="s">
        <v>764</v>
      </c>
      <c r="Q267" t="s">
        <v>835</v>
      </c>
      <c r="S267" t="s">
        <v>836</v>
      </c>
      <c r="T267" t="s">
        <v>836</v>
      </c>
      <c r="U267" t="str">
        <f t="shared" si="71"/>
        <v>2500-12-31 00:00:00.0</v>
      </c>
      <c r="V267" t="s">
        <v>837</v>
      </c>
      <c r="W267" t="str">
        <f t="shared" si="69"/>
        <v>048314-004697-**-**</v>
      </c>
      <c r="X267" t="s">
        <v>838</v>
      </c>
      <c r="Y267">
        <v>1206.25</v>
      </c>
      <c r="Z267">
        <v>1206.25</v>
      </c>
      <c r="AA267" t="str">
        <f t="shared" si="65"/>
        <v>06/08/2016</v>
      </c>
    </row>
    <row r="268" spans="1:27" x14ac:dyDescent="0.3">
      <c r="A268" t="str">
        <f t="shared" si="70"/>
        <v>048314</v>
      </c>
      <c r="B268" t="str">
        <f t="shared" si="58"/>
        <v>004697</v>
      </c>
      <c r="C268" t="s">
        <v>2862</v>
      </c>
      <c r="D268" t="s">
        <v>3839</v>
      </c>
      <c r="E268" t="s">
        <v>3840</v>
      </c>
      <c r="F268" t="s">
        <v>3841</v>
      </c>
      <c r="G268" t="s">
        <v>3842</v>
      </c>
      <c r="H268" t="str">
        <f t="shared" si="66"/>
        <v>048314</v>
      </c>
      <c r="I268" t="s">
        <v>833</v>
      </c>
      <c r="J268" t="str">
        <f>"2015-07-01 00:00:00.0"</f>
        <v>2015-07-01 00:00:00.0</v>
      </c>
      <c r="K268" t="s">
        <v>834</v>
      </c>
      <c r="L268" t="s">
        <v>0</v>
      </c>
      <c r="M268" t="str">
        <f t="shared" si="72"/>
        <v>048314</v>
      </c>
      <c r="N268">
        <v>1</v>
      </c>
      <c r="O268">
        <v>1</v>
      </c>
      <c r="P268" t="str">
        <f>"05"</f>
        <v>05</v>
      </c>
      <c r="Q268" t="s">
        <v>835</v>
      </c>
      <c r="S268" t="s">
        <v>836</v>
      </c>
      <c r="T268" t="s">
        <v>836</v>
      </c>
      <c r="U268" t="str">
        <f t="shared" si="71"/>
        <v>2500-12-31 00:00:00.0</v>
      </c>
      <c r="V268" t="s">
        <v>837</v>
      </c>
      <c r="W268" t="str">
        <f>"048314-070417-**-**"</f>
        <v>048314-070417-**-**</v>
      </c>
      <c r="X268" t="s">
        <v>838</v>
      </c>
      <c r="Y268">
        <v>1125</v>
      </c>
      <c r="Z268">
        <v>1125</v>
      </c>
      <c r="AA268" t="str">
        <f t="shared" si="65"/>
        <v>06/08/2016</v>
      </c>
    </row>
    <row r="269" spans="1:27" x14ac:dyDescent="0.3">
      <c r="A269" t="str">
        <f t="shared" si="70"/>
        <v>048314</v>
      </c>
      <c r="B269" t="str">
        <f t="shared" si="58"/>
        <v>004697</v>
      </c>
      <c r="C269" t="s">
        <v>1027</v>
      </c>
      <c r="D269" t="s">
        <v>3839</v>
      </c>
      <c r="E269" t="s">
        <v>3840</v>
      </c>
      <c r="F269" t="s">
        <v>3841</v>
      </c>
      <c r="G269" t="s">
        <v>3842</v>
      </c>
      <c r="H269" t="str">
        <f>"048280"</f>
        <v>048280</v>
      </c>
      <c r="I269" t="s">
        <v>833</v>
      </c>
      <c r="J269" t="str">
        <f>"2015-07-01 00:00:00.0"</f>
        <v>2015-07-01 00:00:00.0</v>
      </c>
      <c r="K269" t="s">
        <v>834</v>
      </c>
      <c r="L269" t="s">
        <v>142</v>
      </c>
      <c r="M269" t="str">
        <f t="shared" si="72"/>
        <v>048314</v>
      </c>
      <c r="N269">
        <v>1</v>
      </c>
      <c r="O269">
        <v>1</v>
      </c>
      <c r="P269" t="s">
        <v>841</v>
      </c>
      <c r="Q269" t="str">
        <f>"05"</f>
        <v>05</v>
      </c>
      <c r="R269" t="str">
        <f>"1"</f>
        <v>1</v>
      </c>
      <c r="S269" t="s">
        <v>836</v>
      </c>
      <c r="T269" t="s">
        <v>836</v>
      </c>
      <c r="U269" t="str">
        <f t="shared" si="71"/>
        <v>2500-12-31 00:00:00.0</v>
      </c>
      <c r="V269" t="s">
        <v>837</v>
      </c>
      <c r="W269" t="str">
        <f>"048280-048280-PS-FA"</f>
        <v>048280-048280-PS-FA</v>
      </c>
      <c r="X269" t="s">
        <v>838</v>
      </c>
      <c r="Y269">
        <v>151</v>
      </c>
      <c r="Z269">
        <v>151</v>
      </c>
      <c r="AA269" t="str">
        <f>"06/15/2016"</f>
        <v>06/15/2016</v>
      </c>
    </row>
    <row r="270" spans="1:27" x14ac:dyDescent="0.3">
      <c r="A270" t="str">
        <f t="shared" si="70"/>
        <v>048314</v>
      </c>
      <c r="B270" t="str">
        <f t="shared" si="58"/>
        <v>004697</v>
      </c>
      <c r="C270" t="s">
        <v>1494</v>
      </c>
      <c r="D270" t="s">
        <v>3839</v>
      </c>
      <c r="E270" t="s">
        <v>3840</v>
      </c>
      <c r="F270" t="s">
        <v>3841</v>
      </c>
      <c r="G270" t="s">
        <v>3842</v>
      </c>
      <c r="H270" t="str">
        <f t="shared" ref="H270:H286" si="73">"048314"</f>
        <v>048314</v>
      </c>
      <c r="I270" t="s">
        <v>833</v>
      </c>
      <c r="J270" t="str">
        <f>"2015-08-21 00:00:00.0"</f>
        <v>2015-08-21 00:00:00.0</v>
      </c>
      <c r="K270" t="s">
        <v>834</v>
      </c>
      <c r="L270" t="s">
        <v>0</v>
      </c>
      <c r="M270" t="str">
        <f t="shared" si="72"/>
        <v>048314</v>
      </c>
      <c r="N270">
        <v>1</v>
      </c>
      <c r="O270">
        <v>1</v>
      </c>
      <c r="P270" t="s">
        <v>764</v>
      </c>
      <c r="Q270" t="s">
        <v>835</v>
      </c>
      <c r="S270" t="s">
        <v>836</v>
      </c>
      <c r="T270" t="s">
        <v>836</v>
      </c>
      <c r="U270" t="str">
        <f t="shared" si="71"/>
        <v>2500-12-31 00:00:00.0</v>
      </c>
      <c r="V270" t="s">
        <v>837</v>
      </c>
      <c r="W270" t="str">
        <f>"048314-004697-**-**"</f>
        <v>048314-004697-**-**</v>
      </c>
      <c r="X270" t="s">
        <v>838</v>
      </c>
      <c r="Y270">
        <v>1206.25</v>
      </c>
      <c r="Z270">
        <v>1206.25</v>
      </c>
      <c r="AA270" t="str">
        <f t="shared" ref="AA270:AA286" si="74">"06/08/2016"</f>
        <v>06/08/2016</v>
      </c>
    </row>
    <row r="271" spans="1:27" x14ac:dyDescent="0.3">
      <c r="A271" t="str">
        <f t="shared" si="70"/>
        <v>048314</v>
      </c>
      <c r="B271" t="str">
        <f t="shared" si="58"/>
        <v>004697</v>
      </c>
      <c r="C271" t="s">
        <v>2789</v>
      </c>
      <c r="D271" t="s">
        <v>3839</v>
      </c>
      <c r="E271" t="s">
        <v>3840</v>
      </c>
      <c r="F271" t="s">
        <v>3841</v>
      </c>
      <c r="G271" t="s">
        <v>3842</v>
      </c>
      <c r="H271" t="str">
        <f t="shared" si="73"/>
        <v>048314</v>
      </c>
      <c r="I271" t="s">
        <v>833</v>
      </c>
      <c r="J271" t="str">
        <f>"2015-07-01 00:00:00.0"</f>
        <v>2015-07-01 00:00:00.0</v>
      </c>
      <c r="K271" t="s">
        <v>834</v>
      </c>
      <c r="L271" t="s">
        <v>0</v>
      </c>
      <c r="M271" t="str">
        <f t="shared" si="72"/>
        <v>048314</v>
      </c>
      <c r="N271">
        <v>0.283333</v>
      </c>
      <c r="O271">
        <v>0.283333</v>
      </c>
      <c r="P271" t="str">
        <f>"05"</f>
        <v>05</v>
      </c>
      <c r="Q271" t="s">
        <v>835</v>
      </c>
      <c r="S271" t="s">
        <v>836</v>
      </c>
      <c r="T271" t="s">
        <v>836</v>
      </c>
      <c r="U271" t="str">
        <f>"2015-11-10 00:00:00.0"</f>
        <v>2015-11-10 00:00:00.0</v>
      </c>
      <c r="V271" t="s">
        <v>837</v>
      </c>
      <c r="W271" t="str">
        <f>"048314-070417-**-**"</f>
        <v>048314-070417-**-**</v>
      </c>
      <c r="X271" t="s">
        <v>838</v>
      </c>
      <c r="Y271">
        <v>318.75</v>
      </c>
      <c r="Z271">
        <v>1125</v>
      </c>
      <c r="AA271" t="str">
        <f t="shared" si="74"/>
        <v>06/08/2016</v>
      </c>
    </row>
    <row r="272" spans="1:27" x14ac:dyDescent="0.3">
      <c r="A272" t="str">
        <f t="shared" si="70"/>
        <v>048314</v>
      </c>
      <c r="B272" t="str">
        <f t="shared" si="58"/>
        <v>004697</v>
      </c>
      <c r="C272" t="s">
        <v>2789</v>
      </c>
      <c r="D272" t="s">
        <v>3839</v>
      </c>
      <c r="E272" t="s">
        <v>3840</v>
      </c>
      <c r="F272" t="s">
        <v>3841</v>
      </c>
      <c r="G272" t="s">
        <v>3842</v>
      </c>
      <c r="H272" t="str">
        <f t="shared" si="73"/>
        <v>048314</v>
      </c>
      <c r="I272" t="s">
        <v>833</v>
      </c>
      <c r="J272" t="str">
        <f>"2015-11-11 00:00:00.0"</f>
        <v>2015-11-11 00:00:00.0</v>
      </c>
      <c r="K272" t="s">
        <v>834</v>
      </c>
      <c r="L272" t="s">
        <v>0</v>
      </c>
      <c r="M272" t="str">
        <f t="shared" si="72"/>
        <v>048314</v>
      </c>
      <c r="N272">
        <v>0.71666700000000005</v>
      </c>
      <c r="O272">
        <v>0.71666700000000005</v>
      </c>
      <c r="P272" t="str">
        <f>"05"</f>
        <v>05</v>
      </c>
      <c r="Q272" t="s">
        <v>835</v>
      </c>
      <c r="S272" t="s">
        <v>860</v>
      </c>
      <c r="T272" t="s">
        <v>836</v>
      </c>
      <c r="U272" t="str">
        <f>"2500-12-31 00:00:00.0"</f>
        <v>2500-12-31 00:00:00.0</v>
      </c>
      <c r="V272" t="s">
        <v>837</v>
      </c>
      <c r="W272" t="str">
        <f>"048314-070417-**-**"</f>
        <v>048314-070417-**-**</v>
      </c>
      <c r="X272" t="s">
        <v>838</v>
      </c>
      <c r="Y272">
        <v>806.25</v>
      </c>
      <c r="Z272">
        <v>1125</v>
      </c>
      <c r="AA272" t="str">
        <f t="shared" si="74"/>
        <v>06/08/2016</v>
      </c>
    </row>
    <row r="273" spans="1:27" x14ac:dyDescent="0.3">
      <c r="A273" t="str">
        <f t="shared" si="70"/>
        <v>048314</v>
      </c>
      <c r="B273" t="str">
        <f t="shared" si="58"/>
        <v>004697</v>
      </c>
      <c r="C273" t="s">
        <v>3162</v>
      </c>
      <c r="D273" t="s">
        <v>3839</v>
      </c>
      <c r="E273" t="s">
        <v>3840</v>
      </c>
      <c r="F273" t="s">
        <v>3841</v>
      </c>
      <c r="G273" t="s">
        <v>3842</v>
      </c>
      <c r="H273" t="str">
        <f t="shared" si="73"/>
        <v>048314</v>
      </c>
      <c r="I273" t="s">
        <v>833</v>
      </c>
      <c r="J273" t="str">
        <f>"2015-07-01 00:00:00.0"</f>
        <v>2015-07-01 00:00:00.0</v>
      </c>
      <c r="K273" t="s">
        <v>834</v>
      </c>
      <c r="L273" t="s">
        <v>0</v>
      </c>
      <c r="M273" t="str">
        <f t="shared" si="72"/>
        <v>048314</v>
      </c>
      <c r="N273">
        <v>0.26424900000000001</v>
      </c>
      <c r="O273">
        <v>0.26424900000000001</v>
      </c>
      <c r="P273" t="str">
        <f>"04"</f>
        <v>04</v>
      </c>
      <c r="Q273" t="s">
        <v>835</v>
      </c>
      <c r="S273" t="s">
        <v>836</v>
      </c>
      <c r="T273" t="s">
        <v>836</v>
      </c>
      <c r="U273" t="str">
        <f>"2015-11-10 00:00:00.0"</f>
        <v>2015-11-10 00:00:00.0</v>
      </c>
      <c r="V273" t="s">
        <v>837</v>
      </c>
      <c r="W273" t="str">
        <f>"048314-004697-**-**"</f>
        <v>048314-004697-**-**</v>
      </c>
      <c r="X273" t="s">
        <v>838</v>
      </c>
      <c r="Y273">
        <v>318.75</v>
      </c>
      <c r="Z273">
        <v>1206.25</v>
      </c>
      <c r="AA273" t="str">
        <f t="shared" si="74"/>
        <v>06/08/2016</v>
      </c>
    </row>
    <row r="274" spans="1:27" x14ac:dyDescent="0.3">
      <c r="A274" t="str">
        <f t="shared" si="70"/>
        <v>048314</v>
      </c>
      <c r="B274" t="str">
        <f t="shared" si="58"/>
        <v>004697</v>
      </c>
      <c r="C274" t="s">
        <v>3162</v>
      </c>
      <c r="D274" t="s">
        <v>3839</v>
      </c>
      <c r="E274" t="s">
        <v>3840</v>
      </c>
      <c r="F274" t="s">
        <v>3841</v>
      </c>
      <c r="G274" t="s">
        <v>3842</v>
      </c>
      <c r="H274" t="str">
        <f t="shared" si="73"/>
        <v>048314</v>
      </c>
      <c r="I274" t="s">
        <v>833</v>
      </c>
      <c r="J274" t="str">
        <f>"2015-11-11 00:00:00.0"</f>
        <v>2015-11-11 00:00:00.0</v>
      </c>
      <c r="K274" t="s">
        <v>834</v>
      </c>
      <c r="L274" t="s">
        <v>0</v>
      </c>
      <c r="M274" t="str">
        <f t="shared" si="72"/>
        <v>048314</v>
      </c>
      <c r="N274">
        <v>0.73575100000000004</v>
      </c>
      <c r="O274">
        <v>0.73575100000000004</v>
      </c>
      <c r="P274" t="str">
        <f>"04"</f>
        <v>04</v>
      </c>
      <c r="Q274" t="s">
        <v>835</v>
      </c>
      <c r="S274" t="s">
        <v>860</v>
      </c>
      <c r="T274" t="s">
        <v>836</v>
      </c>
      <c r="U274" t="str">
        <f>"2500-12-31 00:00:00.0"</f>
        <v>2500-12-31 00:00:00.0</v>
      </c>
      <c r="V274" t="s">
        <v>837</v>
      </c>
      <c r="W274" t="str">
        <f>"048314-004697-**-**"</f>
        <v>048314-004697-**-**</v>
      </c>
      <c r="X274" t="s">
        <v>838</v>
      </c>
      <c r="Y274">
        <v>887.5</v>
      </c>
      <c r="Z274">
        <v>1206.25</v>
      </c>
      <c r="AA274" t="str">
        <f t="shared" si="74"/>
        <v>06/08/2016</v>
      </c>
    </row>
    <row r="275" spans="1:27" x14ac:dyDescent="0.3">
      <c r="A275" t="str">
        <f t="shared" si="70"/>
        <v>048314</v>
      </c>
      <c r="B275" t="str">
        <f t="shared" si="58"/>
        <v>004697</v>
      </c>
      <c r="C275" t="s">
        <v>1092</v>
      </c>
      <c r="D275" t="s">
        <v>3839</v>
      </c>
      <c r="E275" t="s">
        <v>3840</v>
      </c>
      <c r="F275" t="s">
        <v>3841</v>
      </c>
      <c r="G275" t="s">
        <v>3842</v>
      </c>
      <c r="H275" t="str">
        <f t="shared" si="73"/>
        <v>048314</v>
      </c>
      <c r="I275" t="s">
        <v>833</v>
      </c>
      <c r="J275" t="str">
        <f>"2015-08-01 00:00:00.0"</f>
        <v>2015-08-01 00:00:00.0</v>
      </c>
      <c r="K275" t="s">
        <v>834</v>
      </c>
      <c r="L275" t="s">
        <v>0</v>
      </c>
      <c r="M275" t="str">
        <f t="shared" si="72"/>
        <v>048314</v>
      </c>
      <c r="N275">
        <v>1</v>
      </c>
      <c r="O275">
        <v>1</v>
      </c>
      <c r="P275" t="s">
        <v>764</v>
      </c>
      <c r="Q275" t="s">
        <v>835</v>
      </c>
      <c r="S275" t="s">
        <v>836</v>
      </c>
      <c r="T275" t="s">
        <v>836</v>
      </c>
      <c r="U275" t="str">
        <f>"2500-12-31 00:00:00.0"</f>
        <v>2500-12-31 00:00:00.0</v>
      </c>
      <c r="V275" t="s">
        <v>837</v>
      </c>
      <c r="W275" t="str">
        <f>"048314-004697-**-**"</f>
        <v>048314-004697-**-**</v>
      </c>
      <c r="X275" t="s">
        <v>838</v>
      </c>
      <c r="Y275">
        <v>1206.25</v>
      </c>
      <c r="Z275">
        <v>1206.25</v>
      </c>
      <c r="AA275" t="str">
        <f t="shared" si="74"/>
        <v>06/08/2016</v>
      </c>
    </row>
    <row r="276" spans="1:27" x14ac:dyDescent="0.3">
      <c r="A276" t="str">
        <f t="shared" si="70"/>
        <v>048314</v>
      </c>
      <c r="B276" t="str">
        <f t="shared" ref="B276:B339" si="75">"004697"</f>
        <v>004697</v>
      </c>
      <c r="C276" t="s">
        <v>1268</v>
      </c>
      <c r="D276" t="s">
        <v>3839</v>
      </c>
      <c r="E276" t="s">
        <v>3840</v>
      </c>
      <c r="F276" t="s">
        <v>3841</v>
      </c>
      <c r="G276" t="s">
        <v>3842</v>
      </c>
      <c r="H276" t="str">
        <f t="shared" si="73"/>
        <v>048314</v>
      </c>
      <c r="I276" t="s">
        <v>833</v>
      </c>
      <c r="J276" t="str">
        <f>"2015-08-01 00:00:00.0"</f>
        <v>2015-08-01 00:00:00.0</v>
      </c>
      <c r="K276" t="s">
        <v>834</v>
      </c>
      <c r="L276" t="s">
        <v>0</v>
      </c>
      <c r="M276" t="str">
        <f t="shared" si="72"/>
        <v>048314</v>
      </c>
      <c r="N276">
        <v>1</v>
      </c>
      <c r="O276">
        <v>1</v>
      </c>
      <c r="P276" t="str">
        <f>"01"</f>
        <v>01</v>
      </c>
      <c r="Q276" t="s">
        <v>835</v>
      </c>
      <c r="S276" t="s">
        <v>836</v>
      </c>
      <c r="T276" t="s">
        <v>836</v>
      </c>
      <c r="U276" t="str">
        <f>"2500-12-31 00:00:00.0"</f>
        <v>2500-12-31 00:00:00.0</v>
      </c>
      <c r="V276" t="s">
        <v>837</v>
      </c>
      <c r="W276" t="str">
        <f>"048314-004697-**-**"</f>
        <v>048314-004697-**-**</v>
      </c>
      <c r="X276" t="s">
        <v>838</v>
      </c>
      <c r="Y276">
        <v>1206.25</v>
      </c>
      <c r="Z276">
        <v>1206.25</v>
      </c>
      <c r="AA276" t="str">
        <f t="shared" si="74"/>
        <v>06/08/2016</v>
      </c>
    </row>
    <row r="277" spans="1:27" x14ac:dyDescent="0.3">
      <c r="A277" t="str">
        <f t="shared" si="70"/>
        <v>048314</v>
      </c>
      <c r="B277" t="str">
        <f t="shared" si="75"/>
        <v>004697</v>
      </c>
      <c r="C277" t="s">
        <v>3444</v>
      </c>
      <c r="D277" t="s">
        <v>3839</v>
      </c>
      <c r="E277" t="s">
        <v>3840</v>
      </c>
      <c r="F277" t="s">
        <v>3841</v>
      </c>
      <c r="G277" t="s">
        <v>3842</v>
      </c>
      <c r="H277" t="str">
        <f t="shared" si="73"/>
        <v>048314</v>
      </c>
      <c r="I277" t="s">
        <v>833</v>
      </c>
      <c r="J277" t="str">
        <f>"2015-07-01 00:00:00.0"</f>
        <v>2015-07-01 00:00:00.0</v>
      </c>
      <c r="K277" t="s">
        <v>834</v>
      </c>
      <c r="L277" t="s">
        <v>0</v>
      </c>
      <c r="M277" t="str">
        <f t="shared" si="72"/>
        <v>048314</v>
      </c>
      <c r="N277">
        <v>1</v>
      </c>
      <c r="O277">
        <v>1</v>
      </c>
      <c r="P277" t="str">
        <f>"05"</f>
        <v>05</v>
      </c>
      <c r="Q277" t="s">
        <v>835</v>
      </c>
      <c r="S277" t="s">
        <v>836</v>
      </c>
      <c r="T277" t="s">
        <v>836</v>
      </c>
      <c r="U277" t="str">
        <f>"2500-12-31 00:00:00.0"</f>
        <v>2500-12-31 00:00:00.0</v>
      </c>
      <c r="V277" t="s">
        <v>837</v>
      </c>
      <c r="W277" t="str">
        <f>"048314-070417-**-**"</f>
        <v>048314-070417-**-**</v>
      </c>
      <c r="X277" t="s">
        <v>838</v>
      </c>
      <c r="Y277">
        <v>1125</v>
      </c>
      <c r="Z277">
        <v>1125</v>
      </c>
      <c r="AA277" t="str">
        <f t="shared" si="74"/>
        <v>06/08/2016</v>
      </c>
    </row>
    <row r="278" spans="1:27" x14ac:dyDescent="0.3">
      <c r="A278" t="str">
        <f t="shared" si="70"/>
        <v>048314</v>
      </c>
      <c r="B278" t="str">
        <f t="shared" si="75"/>
        <v>004697</v>
      </c>
      <c r="C278" t="s">
        <v>1481</v>
      </c>
      <c r="D278" t="s">
        <v>3839</v>
      </c>
      <c r="E278" t="s">
        <v>3840</v>
      </c>
      <c r="F278" t="s">
        <v>3841</v>
      </c>
      <c r="G278" t="s">
        <v>3842</v>
      </c>
      <c r="H278" t="str">
        <f t="shared" si="73"/>
        <v>048314</v>
      </c>
      <c r="I278" t="s">
        <v>833</v>
      </c>
      <c r="J278" t="str">
        <f>"2016-03-21 00:00:00.0"</f>
        <v>2016-03-21 00:00:00.0</v>
      </c>
      <c r="K278" t="s">
        <v>834</v>
      </c>
      <c r="L278" t="s">
        <v>0</v>
      </c>
      <c r="M278" t="str">
        <f t="shared" si="72"/>
        <v>048314</v>
      </c>
      <c r="N278">
        <v>0.290155</v>
      </c>
      <c r="O278">
        <v>0.290155</v>
      </c>
      <c r="P278" t="str">
        <f>"03"</f>
        <v>03</v>
      </c>
      <c r="Q278" t="str">
        <f>"10"</f>
        <v>10</v>
      </c>
      <c r="R278" t="str">
        <f>"2"</f>
        <v>2</v>
      </c>
      <c r="S278" t="s">
        <v>836</v>
      </c>
      <c r="T278" t="s">
        <v>836</v>
      </c>
      <c r="U278" t="str">
        <f>"2500-12-31 00:00:00.0"</f>
        <v>2500-12-31 00:00:00.0</v>
      </c>
      <c r="V278" t="s">
        <v>837</v>
      </c>
      <c r="W278" t="str">
        <f>"048314-004697-**-**"</f>
        <v>048314-004697-**-**</v>
      </c>
      <c r="X278" t="s">
        <v>838</v>
      </c>
      <c r="Y278">
        <v>350</v>
      </c>
      <c r="Z278">
        <v>1206.25</v>
      </c>
      <c r="AA278" t="str">
        <f t="shared" si="74"/>
        <v>06/08/2016</v>
      </c>
    </row>
    <row r="279" spans="1:27" x14ac:dyDescent="0.3">
      <c r="A279" t="str">
        <f t="shared" si="70"/>
        <v>048314</v>
      </c>
      <c r="B279" t="str">
        <f t="shared" si="75"/>
        <v>004697</v>
      </c>
      <c r="C279" t="s">
        <v>1481</v>
      </c>
      <c r="D279" t="s">
        <v>3839</v>
      </c>
      <c r="E279" t="s">
        <v>3840</v>
      </c>
      <c r="F279" t="s">
        <v>3841</v>
      </c>
      <c r="G279" t="s">
        <v>3842</v>
      </c>
      <c r="H279" t="str">
        <f t="shared" si="73"/>
        <v>048314</v>
      </c>
      <c r="I279" t="s">
        <v>833</v>
      </c>
      <c r="J279" t="str">
        <f>"2015-07-01 00:00:00.0"</f>
        <v>2015-07-01 00:00:00.0</v>
      </c>
      <c r="K279" t="s">
        <v>834</v>
      </c>
      <c r="L279" t="s">
        <v>0</v>
      </c>
      <c r="M279" t="str">
        <f t="shared" si="72"/>
        <v>048314</v>
      </c>
      <c r="N279">
        <v>0.70984499999999995</v>
      </c>
      <c r="O279">
        <v>0.70984499999999995</v>
      </c>
      <c r="P279" t="str">
        <f>"03"</f>
        <v>03</v>
      </c>
      <c r="Q279" t="s">
        <v>835</v>
      </c>
      <c r="S279" t="s">
        <v>836</v>
      </c>
      <c r="T279" t="s">
        <v>836</v>
      </c>
      <c r="U279" t="str">
        <f>"2016-03-20 00:00:00.0"</f>
        <v>2016-03-20 00:00:00.0</v>
      </c>
      <c r="V279" t="s">
        <v>837</v>
      </c>
      <c r="W279" t="str">
        <f>"048314-004697-**-**"</f>
        <v>048314-004697-**-**</v>
      </c>
      <c r="X279" t="s">
        <v>838</v>
      </c>
      <c r="Y279">
        <v>856.25</v>
      </c>
      <c r="Z279">
        <v>1206.25</v>
      </c>
      <c r="AA279" t="str">
        <f t="shared" si="74"/>
        <v>06/08/2016</v>
      </c>
    </row>
    <row r="280" spans="1:27" x14ac:dyDescent="0.3">
      <c r="A280" t="str">
        <f t="shared" si="70"/>
        <v>048314</v>
      </c>
      <c r="B280" t="str">
        <f t="shared" si="75"/>
        <v>004697</v>
      </c>
      <c r="C280" t="s">
        <v>2863</v>
      </c>
      <c r="D280" t="s">
        <v>3839</v>
      </c>
      <c r="E280" t="s">
        <v>3840</v>
      </c>
      <c r="F280" t="s">
        <v>3841</v>
      </c>
      <c r="G280" t="s">
        <v>3842</v>
      </c>
      <c r="H280" t="str">
        <f t="shared" si="73"/>
        <v>048314</v>
      </c>
      <c r="I280" t="s">
        <v>833</v>
      </c>
      <c r="J280" t="str">
        <f>"2015-07-01 00:00:00.0"</f>
        <v>2015-07-01 00:00:00.0</v>
      </c>
      <c r="K280" t="s">
        <v>834</v>
      </c>
      <c r="L280" t="s">
        <v>0</v>
      </c>
      <c r="M280" t="str">
        <f t="shared" si="72"/>
        <v>048314</v>
      </c>
      <c r="N280">
        <v>1</v>
      </c>
      <c r="O280">
        <v>1</v>
      </c>
      <c r="P280" t="str">
        <f>"05"</f>
        <v>05</v>
      </c>
      <c r="Q280" t="s">
        <v>835</v>
      </c>
      <c r="S280" t="s">
        <v>836</v>
      </c>
      <c r="T280" t="s">
        <v>836</v>
      </c>
      <c r="U280" t="str">
        <f>"2500-12-31 00:00:00.0"</f>
        <v>2500-12-31 00:00:00.0</v>
      </c>
      <c r="V280" t="s">
        <v>837</v>
      </c>
      <c r="W280" t="str">
        <f>"048314-070417-**-**"</f>
        <v>048314-070417-**-**</v>
      </c>
      <c r="X280" t="s">
        <v>838</v>
      </c>
      <c r="Y280">
        <v>1125</v>
      </c>
      <c r="Z280">
        <v>1125</v>
      </c>
      <c r="AA280" t="str">
        <f t="shared" si="74"/>
        <v>06/08/2016</v>
      </c>
    </row>
    <row r="281" spans="1:27" x14ac:dyDescent="0.3">
      <c r="A281" t="str">
        <f t="shared" si="70"/>
        <v>048314</v>
      </c>
      <c r="B281" t="str">
        <f t="shared" si="75"/>
        <v>004697</v>
      </c>
      <c r="C281" t="s">
        <v>2986</v>
      </c>
      <c r="D281" t="s">
        <v>3839</v>
      </c>
      <c r="E281" t="s">
        <v>3840</v>
      </c>
      <c r="F281" t="s">
        <v>3841</v>
      </c>
      <c r="G281" t="s">
        <v>3842</v>
      </c>
      <c r="H281" t="str">
        <f t="shared" si="73"/>
        <v>048314</v>
      </c>
      <c r="I281" t="s">
        <v>833</v>
      </c>
      <c r="J281" t="str">
        <f>"2015-08-01 00:00:00.0"</f>
        <v>2015-08-01 00:00:00.0</v>
      </c>
      <c r="K281" t="s">
        <v>834</v>
      </c>
      <c r="L281" t="s">
        <v>0</v>
      </c>
      <c r="M281" t="str">
        <f t="shared" si="72"/>
        <v>048314</v>
      </c>
      <c r="N281">
        <v>1</v>
      </c>
      <c r="O281">
        <v>1</v>
      </c>
      <c r="P281" t="str">
        <f>"02"</f>
        <v>02</v>
      </c>
      <c r="Q281" t="s">
        <v>835</v>
      </c>
      <c r="S281" t="s">
        <v>836</v>
      </c>
      <c r="T281" t="s">
        <v>836</v>
      </c>
      <c r="U281" t="str">
        <f>"2500-12-31 00:00:00.0"</f>
        <v>2500-12-31 00:00:00.0</v>
      </c>
      <c r="V281" t="s">
        <v>837</v>
      </c>
      <c r="W281" t="str">
        <f t="shared" ref="W281:W286" si="76">"048314-004697-**-**"</f>
        <v>048314-004697-**-**</v>
      </c>
      <c r="X281" t="s">
        <v>838</v>
      </c>
      <c r="Y281">
        <v>1206.25</v>
      </c>
      <c r="Z281">
        <v>1206.25</v>
      </c>
      <c r="AA281" t="str">
        <f t="shared" si="74"/>
        <v>06/08/2016</v>
      </c>
    </row>
    <row r="282" spans="1:27" x14ac:dyDescent="0.3">
      <c r="A282" t="str">
        <f t="shared" si="70"/>
        <v>048314</v>
      </c>
      <c r="B282" t="str">
        <f t="shared" si="75"/>
        <v>004697</v>
      </c>
      <c r="C282" t="s">
        <v>3252</v>
      </c>
      <c r="D282" t="s">
        <v>3839</v>
      </c>
      <c r="E282" t="s">
        <v>3840</v>
      </c>
      <c r="F282" t="s">
        <v>3841</v>
      </c>
      <c r="G282" t="s">
        <v>3842</v>
      </c>
      <c r="H282" t="str">
        <f t="shared" si="73"/>
        <v>048314</v>
      </c>
      <c r="I282" t="s">
        <v>833</v>
      </c>
      <c r="J282" t="str">
        <f>"2015-07-01 00:00:00.0"</f>
        <v>2015-07-01 00:00:00.0</v>
      </c>
      <c r="K282" t="s">
        <v>834</v>
      </c>
      <c r="L282" t="s">
        <v>0</v>
      </c>
      <c r="M282" t="str">
        <f t="shared" si="72"/>
        <v>048314</v>
      </c>
      <c r="N282">
        <v>1</v>
      </c>
      <c r="O282">
        <v>1</v>
      </c>
      <c r="P282" t="str">
        <f>"04"</f>
        <v>04</v>
      </c>
      <c r="Q282" t="s">
        <v>835</v>
      </c>
      <c r="S282" t="s">
        <v>836</v>
      </c>
      <c r="T282" t="s">
        <v>836</v>
      </c>
      <c r="U282" t="str">
        <f>"2500-12-31 00:00:00.0"</f>
        <v>2500-12-31 00:00:00.0</v>
      </c>
      <c r="V282" t="s">
        <v>837</v>
      </c>
      <c r="W282" t="str">
        <f t="shared" si="76"/>
        <v>048314-004697-**-**</v>
      </c>
      <c r="X282" t="s">
        <v>838</v>
      </c>
      <c r="Y282">
        <v>1206.25</v>
      </c>
      <c r="Z282">
        <v>1206.25</v>
      </c>
      <c r="AA282" t="str">
        <f t="shared" si="74"/>
        <v>06/08/2016</v>
      </c>
    </row>
    <row r="283" spans="1:27" x14ac:dyDescent="0.3">
      <c r="A283" t="str">
        <f t="shared" si="70"/>
        <v>048314</v>
      </c>
      <c r="B283" t="str">
        <f t="shared" si="75"/>
        <v>004697</v>
      </c>
      <c r="C283" t="s">
        <v>976</v>
      </c>
      <c r="D283" t="s">
        <v>3839</v>
      </c>
      <c r="E283" t="s">
        <v>3840</v>
      </c>
      <c r="F283" t="s">
        <v>3841</v>
      </c>
      <c r="G283" t="s">
        <v>3842</v>
      </c>
      <c r="H283" t="str">
        <f t="shared" si="73"/>
        <v>048314</v>
      </c>
      <c r="I283" t="s">
        <v>833</v>
      </c>
      <c r="J283" t="str">
        <f>"2015-07-01 00:00:00.0"</f>
        <v>2015-07-01 00:00:00.0</v>
      </c>
      <c r="K283" t="s">
        <v>834</v>
      </c>
      <c r="L283" t="s">
        <v>0</v>
      </c>
      <c r="M283" t="str">
        <f t="shared" si="72"/>
        <v>048314</v>
      </c>
      <c r="N283">
        <v>1</v>
      </c>
      <c r="O283">
        <v>1</v>
      </c>
      <c r="P283" t="str">
        <f>"03"</f>
        <v>03</v>
      </c>
      <c r="Q283" t="s">
        <v>835</v>
      </c>
      <c r="S283" t="s">
        <v>836</v>
      </c>
      <c r="T283" t="s">
        <v>836</v>
      </c>
      <c r="U283" t="str">
        <f>"2500-12-31 00:00:00.0"</f>
        <v>2500-12-31 00:00:00.0</v>
      </c>
      <c r="V283" t="s">
        <v>837</v>
      </c>
      <c r="W283" t="str">
        <f t="shared" si="76"/>
        <v>048314-004697-**-**</v>
      </c>
      <c r="X283" t="s">
        <v>838</v>
      </c>
      <c r="Y283">
        <v>1206.25</v>
      </c>
      <c r="Z283">
        <v>1206.25</v>
      </c>
      <c r="AA283" t="str">
        <f t="shared" si="74"/>
        <v>06/08/2016</v>
      </c>
    </row>
    <row r="284" spans="1:27" x14ac:dyDescent="0.3">
      <c r="A284" t="str">
        <f t="shared" si="70"/>
        <v>048314</v>
      </c>
      <c r="B284" t="str">
        <f t="shared" si="75"/>
        <v>004697</v>
      </c>
      <c r="C284" t="s">
        <v>3610</v>
      </c>
      <c r="D284" t="s">
        <v>3839</v>
      </c>
      <c r="E284" t="s">
        <v>3840</v>
      </c>
      <c r="F284" t="s">
        <v>3841</v>
      </c>
      <c r="G284" t="s">
        <v>3842</v>
      </c>
      <c r="H284" t="str">
        <f t="shared" si="73"/>
        <v>048314</v>
      </c>
      <c r="I284" t="s">
        <v>833</v>
      </c>
      <c r="J284" t="str">
        <f>"2015-07-01 00:00:00.0"</f>
        <v>2015-07-01 00:00:00.0</v>
      </c>
      <c r="K284" t="s">
        <v>834</v>
      </c>
      <c r="L284" t="s">
        <v>0</v>
      </c>
      <c r="M284" t="str">
        <f t="shared" si="72"/>
        <v>048314</v>
      </c>
      <c r="N284">
        <v>1</v>
      </c>
      <c r="O284">
        <v>1</v>
      </c>
      <c r="P284" t="str">
        <f>"04"</f>
        <v>04</v>
      </c>
      <c r="Q284" t="s">
        <v>835</v>
      </c>
      <c r="S284" t="s">
        <v>836</v>
      </c>
      <c r="T284" t="s">
        <v>836</v>
      </c>
      <c r="U284" t="str">
        <f>"2500-12-31 00:00:00.0"</f>
        <v>2500-12-31 00:00:00.0</v>
      </c>
      <c r="V284" t="s">
        <v>837</v>
      </c>
      <c r="W284" t="str">
        <f t="shared" si="76"/>
        <v>048314-004697-**-**</v>
      </c>
      <c r="X284" t="s">
        <v>838</v>
      </c>
      <c r="Y284">
        <v>1206.25</v>
      </c>
      <c r="Z284">
        <v>1206.25</v>
      </c>
      <c r="AA284" t="str">
        <f t="shared" si="74"/>
        <v>06/08/2016</v>
      </c>
    </row>
    <row r="285" spans="1:27" x14ac:dyDescent="0.3">
      <c r="A285" t="str">
        <f t="shared" si="70"/>
        <v>048314</v>
      </c>
      <c r="B285" t="str">
        <f t="shared" si="75"/>
        <v>004697</v>
      </c>
      <c r="C285" t="s">
        <v>851</v>
      </c>
      <c r="D285" t="s">
        <v>3839</v>
      </c>
      <c r="E285" t="s">
        <v>3840</v>
      </c>
      <c r="F285" t="s">
        <v>3841</v>
      </c>
      <c r="G285" t="s">
        <v>3842</v>
      </c>
      <c r="H285" t="str">
        <f t="shared" si="73"/>
        <v>048314</v>
      </c>
      <c r="I285" t="s">
        <v>833</v>
      </c>
      <c r="J285" t="str">
        <f>"2015-08-21 00:00:00.0"</f>
        <v>2015-08-21 00:00:00.0</v>
      </c>
      <c r="K285" t="s">
        <v>834</v>
      </c>
      <c r="L285" t="s">
        <v>0</v>
      </c>
      <c r="M285" t="str">
        <f t="shared" si="72"/>
        <v>048314</v>
      </c>
      <c r="N285">
        <v>0.73057000000000005</v>
      </c>
      <c r="O285">
        <v>0.73057000000000005</v>
      </c>
      <c r="P285" t="s">
        <v>764</v>
      </c>
      <c r="Q285" t="s">
        <v>835</v>
      </c>
      <c r="S285" t="s">
        <v>836</v>
      </c>
      <c r="T285" t="s">
        <v>836</v>
      </c>
      <c r="U285" t="str">
        <f>"2016-03-24 00:00:00.0"</f>
        <v>2016-03-24 00:00:00.0</v>
      </c>
      <c r="V285" t="s">
        <v>837</v>
      </c>
      <c r="W285" t="str">
        <f t="shared" si="76"/>
        <v>048314-004697-**-**</v>
      </c>
      <c r="X285" t="s">
        <v>838</v>
      </c>
      <c r="Y285">
        <v>881.25</v>
      </c>
      <c r="Z285">
        <v>1206.25</v>
      </c>
      <c r="AA285" t="str">
        <f t="shared" si="74"/>
        <v>06/08/2016</v>
      </c>
    </row>
    <row r="286" spans="1:27" x14ac:dyDescent="0.3">
      <c r="A286" t="str">
        <f t="shared" si="70"/>
        <v>048314</v>
      </c>
      <c r="B286" t="str">
        <f t="shared" si="75"/>
        <v>004697</v>
      </c>
      <c r="C286" t="s">
        <v>3608</v>
      </c>
      <c r="D286" t="s">
        <v>3839</v>
      </c>
      <c r="E286" t="s">
        <v>3840</v>
      </c>
      <c r="F286" t="s">
        <v>3841</v>
      </c>
      <c r="G286" t="s">
        <v>3842</v>
      </c>
      <c r="H286" t="str">
        <f t="shared" si="73"/>
        <v>048314</v>
      </c>
      <c r="I286" t="s">
        <v>833</v>
      </c>
      <c r="J286" t="str">
        <f>"2015-07-01 00:00:00.0"</f>
        <v>2015-07-01 00:00:00.0</v>
      </c>
      <c r="K286" t="s">
        <v>834</v>
      </c>
      <c r="L286" t="s">
        <v>0</v>
      </c>
      <c r="M286" t="str">
        <f t="shared" si="72"/>
        <v>048314</v>
      </c>
      <c r="N286">
        <v>1</v>
      </c>
      <c r="O286">
        <v>1</v>
      </c>
      <c r="P286" t="str">
        <f>"03"</f>
        <v>03</v>
      </c>
      <c r="Q286" t="s">
        <v>835</v>
      </c>
      <c r="S286" t="s">
        <v>836</v>
      </c>
      <c r="T286" t="s">
        <v>836</v>
      </c>
      <c r="U286" t="str">
        <f t="shared" ref="U286:U322" si="77">"2500-12-31 00:00:00.0"</f>
        <v>2500-12-31 00:00:00.0</v>
      </c>
      <c r="V286" t="s">
        <v>837</v>
      </c>
      <c r="W286" t="str">
        <f t="shared" si="76"/>
        <v>048314-004697-**-**</v>
      </c>
      <c r="X286" t="s">
        <v>838</v>
      </c>
      <c r="Y286">
        <v>1206.25</v>
      </c>
      <c r="Z286">
        <v>1206.25</v>
      </c>
      <c r="AA286" t="str">
        <f t="shared" si="74"/>
        <v>06/08/2016</v>
      </c>
    </row>
    <row r="287" spans="1:27" x14ac:dyDescent="0.3">
      <c r="A287" t="str">
        <f t="shared" si="70"/>
        <v>048314</v>
      </c>
      <c r="B287" t="str">
        <f t="shared" si="75"/>
        <v>004697</v>
      </c>
      <c r="C287" t="s">
        <v>3658</v>
      </c>
      <c r="D287" t="s">
        <v>3839</v>
      </c>
      <c r="E287" t="s">
        <v>3840</v>
      </c>
      <c r="F287" t="s">
        <v>3841</v>
      </c>
      <c r="G287" t="s">
        <v>3842</v>
      </c>
      <c r="H287" t="str">
        <f>"048280"</f>
        <v>048280</v>
      </c>
      <c r="I287" t="s">
        <v>833</v>
      </c>
      <c r="J287" t="str">
        <f>"2015-12-09 00:00:00.0"</f>
        <v>2015-12-09 00:00:00.0</v>
      </c>
      <c r="K287" t="s">
        <v>834</v>
      </c>
      <c r="L287" t="s">
        <v>142</v>
      </c>
      <c r="M287" t="str">
        <f t="shared" si="72"/>
        <v>048314</v>
      </c>
      <c r="N287">
        <v>0.64102599999999998</v>
      </c>
      <c r="O287">
        <v>0.64102599999999998</v>
      </c>
      <c r="P287" t="s">
        <v>841</v>
      </c>
      <c r="Q287" t="str">
        <f>"16"</f>
        <v>16</v>
      </c>
      <c r="R287" t="str">
        <f>"2"</f>
        <v>2</v>
      </c>
      <c r="S287" t="s">
        <v>836</v>
      </c>
      <c r="T287" t="s">
        <v>836</v>
      </c>
      <c r="U287" t="str">
        <f t="shared" si="77"/>
        <v>2500-12-31 00:00:00.0</v>
      </c>
      <c r="V287" t="s">
        <v>837</v>
      </c>
      <c r="W287" t="str">
        <f>"048280-048280-PS-IC"</f>
        <v>048280-048280-PS-IC</v>
      </c>
      <c r="X287" t="s">
        <v>838</v>
      </c>
      <c r="Y287">
        <v>25</v>
      </c>
      <c r="Z287">
        <v>39</v>
      </c>
      <c r="AA287" t="str">
        <f>"06/15/2016"</f>
        <v>06/15/2016</v>
      </c>
    </row>
    <row r="288" spans="1:27" x14ac:dyDescent="0.3">
      <c r="A288" t="str">
        <f t="shared" si="70"/>
        <v>048314</v>
      </c>
      <c r="B288" t="str">
        <f t="shared" si="75"/>
        <v>004697</v>
      </c>
      <c r="C288" t="s">
        <v>3320</v>
      </c>
      <c r="D288" t="s">
        <v>3839</v>
      </c>
      <c r="E288" t="s">
        <v>3840</v>
      </c>
      <c r="F288" t="s">
        <v>3841</v>
      </c>
      <c r="G288" t="s">
        <v>3842</v>
      </c>
      <c r="H288" t="str">
        <f t="shared" ref="H288:H293" si="78">"048314"</f>
        <v>048314</v>
      </c>
      <c r="I288" t="s">
        <v>833</v>
      </c>
      <c r="J288" t="str">
        <f>"2015-07-01 00:00:00.0"</f>
        <v>2015-07-01 00:00:00.0</v>
      </c>
      <c r="K288" t="s">
        <v>834</v>
      </c>
      <c r="L288" t="s">
        <v>0</v>
      </c>
      <c r="M288" t="str">
        <f t="shared" si="72"/>
        <v>048314</v>
      </c>
      <c r="N288">
        <v>1</v>
      </c>
      <c r="O288">
        <v>1</v>
      </c>
      <c r="P288" t="str">
        <f>"04"</f>
        <v>04</v>
      </c>
      <c r="Q288" t="s">
        <v>835</v>
      </c>
      <c r="S288" t="s">
        <v>836</v>
      </c>
      <c r="T288" t="s">
        <v>836</v>
      </c>
      <c r="U288" t="str">
        <f t="shared" si="77"/>
        <v>2500-12-31 00:00:00.0</v>
      </c>
      <c r="V288" t="s">
        <v>837</v>
      </c>
      <c r="W288" t="str">
        <f>"048314-004697-**-**"</f>
        <v>048314-004697-**-**</v>
      </c>
      <c r="X288" t="s">
        <v>838</v>
      </c>
      <c r="Y288">
        <v>1206.25</v>
      </c>
      <c r="Z288">
        <v>1206.25</v>
      </c>
      <c r="AA288" t="str">
        <f t="shared" ref="AA288:AA293" si="79">"06/08/2016"</f>
        <v>06/08/2016</v>
      </c>
    </row>
    <row r="289" spans="1:27" x14ac:dyDescent="0.3">
      <c r="A289" t="str">
        <f t="shared" si="70"/>
        <v>048314</v>
      </c>
      <c r="B289" t="str">
        <f t="shared" si="75"/>
        <v>004697</v>
      </c>
      <c r="C289" t="s">
        <v>1011</v>
      </c>
      <c r="D289" t="s">
        <v>3839</v>
      </c>
      <c r="E289" t="s">
        <v>3840</v>
      </c>
      <c r="F289" t="s">
        <v>3841</v>
      </c>
      <c r="G289" t="s">
        <v>3842</v>
      </c>
      <c r="H289" t="str">
        <f t="shared" si="78"/>
        <v>048314</v>
      </c>
      <c r="I289" t="s">
        <v>833</v>
      </c>
      <c r="J289" t="str">
        <f>"2015-10-01 00:00:00.0"</f>
        <v>2015-10-01 00:00:00.0</v>
      </c>
      <c r="K289" t="s">
        <v>834</v>
      </c>
      <c r="L289" t="s">
        <v>0</v>
      </c>
      <c r="M289" t="str">
        <f>"043703"</f>
        <v>043703</v>
      </c>
      <c r="N289">
        <v>0.88600999999999996</v>
      </c>
      <c r="O289">
        <v>0.88600999999999996</v>
      </c>
      <c r="P289" t="s">
        <v>764</v>
      </c>
      <c r="Q289" t="s">
        <v>835</v>
      </c>
      <c r="S289" t="s">
        <v>860</v>
      </c>
      <c r="T289" t="s">
        <v>836</v>
      </c>
      <c r="U289" t="str">
        <f t="shared" si="77"/>
        <v>2500-12-31 00:00:00.0</v>
      </c>
      <c r="V289" t="s">
        <v>837</v>
      </c>
      <c r="W289" t="str">
        <f>"048314-004697-**-**"</f>
        <v>048314-004697-**-**</v>
      </c>
      <c r="X289" t="s">
        <v>838</v>
      </c>
      <c r="Y289">
        <v>1068.75</v>
      </c>
      <c r="Z289">
        <v>1206.25</v>
      </c>
      <c r="AA289" t="str">
        <f t="shared" si="79"/>
        <v>06/08/2016</v>
      </c>
    </row>
    <row r="290" spans="1:27" x14ac:dyDescent="0.3">
      <c r="A290" t="str">
        <f t="shared" si="70"/>
        <v>048314</v>
      </c>
      <c r="B290" t="str">
        <f t="shared" si="75"/>
        <v>004697</v>
      </c>
      <c r="C290" t="s">
        <v>3180</v>
      </c>
      <c r="D290" t="s">
        <v>3839</v>
      </c>
      <c r="E290" t="s">
        <v>3840</v>
      </c>
      <c r="F290" t="s">
        <v>3841</v>
      </c>
      <c r="G290" t="s">
        <v>3842</v>
      </c>
      <c r="H290" t="str">
        <f t="shared" si="78"/>
        <v>048314</v>
      </c>
      <c r="I290" t="s">
        <v>833</v>
      </c>
      <c r="J290" t="str">
        <f>"2015-07-01 00:00:00.0"</f>
        <v>2015-07-01 00:00:00.0</v>
      </c>
      <c r="K290" t="s">
        <v>834</v>
      </c>
      <c r="L290" t="s">
        <v>0</v>
      </c>
      <c r="M290" t="str">
        <f t="shared" ref="M290:M353" si="80">"048314"</f>
        <v>048314</v>
      </c>
      <c r="N290">
        <v>1</v>
      </c>
      <c r="O290">
        <v>1</v>
      </c>
      <c r="P290" t="str">
        <f>"04"</f>
        <v>04</v>
      </c>
      <c r="Q290" t="s">
        <v>835</v>
      </c>
      <c r="S290" t="s">
        <v>836</v>
      </c>
      <c r="T290" t="s">
        <v>836</v>
      </c>
      <c r="U290" t="str">
        <f t="shared" si="77"/>
        <v>2500-12-31 00:00:00.0</v>
      </c>
      <c r="V290" t="s">
        <v>837</v>
      </c>
      <c r="W290" t="str">
        <f>"048314-004697-**-**"</f>
        <v>048314-004697-**-**</v>
      </c>
      <c r="X290" t="s">
        <v>838</v>
      </c>
      <c r="Y290">
        <v>1206.25</v>
      </c>
      <c r="Z290">
        <v>1206.25</v>
      </c>
      <c r="AA290" t="str">
        <f t="shared" si="79"/>
        <v>06/08/2016</v>
      </c>
    </row>
    <row r="291" spans="1:27" x14ac:dyDescent="0.3">
      <c r="A291" t="str">
        <f t="shared" si="70"/>
        <v>048314</v>
      </c>
      <c r="B291" t="str">
        <f t="shared" si="75"/>
        <v>004697</v>
      </c>
      <c r="C291" t="s">
        <v>3053</v>
      </c>
      <c r="D291" t="s">
        <v>3839</v>
      </c>
      <c r="E291" t="s">
        <v>3840</v>
      </c>
      <c r="F291" t="s">
        <v>3841</v>
      </c>
      <c r="G291" t="s">
        <v>3842</v>
      </c>
      <c r="H291" t="str">
        <f t="shared" si="78"/>
        <v>048314</v>
      </c>
      <c r="I291" t="s">
        <v>833</v>
      </c>
      <c r="J291" t="str">
        <f>"2015-07-01 00:00:00.0"</f>
        <v>2015-07-01 00:00:00.0</v>
      </c>
      <c r="K291" t="s">
        <v>834</v>
      </c>
      <c r="L291" t="s">
        <v>0</v>
      </c>
      <c r="M291" t="str">
        <f t="shared" si="80"/>
        <v>048314</v>
      </c>
      <c r="N291">
        <v>1</v>
      </c>
      <c r="O291">
        <v>1</v>
      </c>
      <c r="P291" t="str">
        <f>"01"</f>
        <v>01</v>
      </c>
      <c r="Q291" t="s">
        <v>835</v>
      </c>
      <c r="S291" t="s">
        <v>836</v>
      </c>
      <c r="T291" t="s">
        <v>836</v>
      </c>
      <c r="U291" t="str">
        <f t="shared" si="77"/>
        <v>2500-12-31 00:00:00.0</v>
      </c>
      <c r="V291" t="s">
        <v>837</v>
      </c>
      <c r="W291" t="str">
        <f>"048314-004697-**-**"</f>
        <v>048314-004697-**-**</v>
      </c>
      <c r="X291" t="s">
        <v>838</v>
      </c>
      <c r="Y291">
        <v>1206.25</v>
      </c>
      <c r="Z291">
        <v>1206.25</v>
      </c>
      <c r="AA291" t="str">
        <f t="shared" si="79"/>
        <v>06/08/2016</v>
      </c>
    </row>
    <row r="292" spans="1:27" x14ac:dyDescent="0.3">
      <c r="A292" t="str">
        <f t="shared" si="70"/>
        <v>048314</v>
      </c>
      <c r="B292" t="str">
        <f t="shared" si="75"/>
        <v>004697</v>
      </c>
      <c r="C292" t="s">
        <v>2232</v>
      </c>
      <c r="D292" t="s">
        <v>3839</v>
      </c>
      <c r="E292" t="s">
        <v>3840</v>
      </c>
      <c r="F292" t="s">
        <v>3841</v>
      </c>
      <c r="G292" t="s">
        <v>3842</v>
      </c>
      <c r="H292" t="str">
        <f t="shared" si="78"/>
        <v>048314</v>
      </c>
      <c r="I292" t="s">
        <v>833</v>
      </c>
      <c r="J292" t="str">
        <f>"2015-07-01 00:00:00.0"</f>
        <v>2015-07-01 00:00:00.0</v>
      </c>
      <c r="K292" t="s">
        <v>834</v>
      </c>
      <c r="L292" t="s">
        <v>0</v>
      </c>
      <c r="M292" t="str">
        <f t="shared" si="80"/>
        <v>048314</v>
      </c>
      <c r="N292">
        <v>1</v>
      </c>
      <c r="O292">
        <v>1</v>
      </c>
      <c r="P292" t="str">
        <f>"01"</f>
        <v>01</v>
      </c>
      <c r="Q292" t="s">
        <v>835</v>
      </c>
      <c r="S292" t="s">
        <v>836</v>
      </c>
      <c r="T292" t="s">
        <v>836</v>
      </c>
      <c r="U292" t="str">
        <f t="shared" si="77"/>
        <v>2500-12-31 00:00:00.0</v>
      </c>
      <c r="V292" t="s">
        <v>837</v>
      </c>
      <c r="W292" t="str">
        <f>"048314-004697-**-**"</f>
        <v>048314-004697-**-**</v>
      </c>
      <c r="X292" t="s">
        <v>838</v>
      </c>
      <c r="Y292">
        <v>1206.25</v>
      </c>
      <c r="Z292">
        <v>1206.25</v>
      </c>
      <c r="AA292" t="str">
        <f t="shared" si="79"/>
        <v>06/08/2016</v>
      </c>
    </row>
    <row r="293" spans="1:27" x14ac:dyDescent="0.3">
      <c r="A293" t="str">
        <f t="shared" si="70"/>
        <v>048314</v>
      </c>
      <c r="B293" t="str">
        <f t="shared" si="75"/>
        <v>004697</v>
      </c>
      <c r="C293" t="s">
        <v>2869</v>
      </c>
      <c r="D293" t="s">
        <v>3839</v>
      </c>
      <c r="E293" t="s">
        <v>3840</v>
      </c>
      <c r="F293" t="s">
        <v>3841</v>
      </c>
      <c r="G293" t="s">
        <v>3842</v>
      </c>
      <c r="H293" t="str">
        <f t="shared" si="78"/>
        <v>048314</v>
      </c>
      <c r="I293" t="s">
        <v>833</v>
      </c>
      <c r="J293" t="str">
        <f>"2015-07-01 00:00:00.0"</f>
        <v>2015-07-01 00:00:00.0</v>
      </c>
      <c r="K293" t="s">
        <v>834</v>
      </c>
      <c r="L293" t="s">
        <v>0</v>
      </c>
      <c r="M293" t="str">
        <f t="shared" si="80"/>
        <v>048314</v>
      </c>
      <c r="N293">
        <v>1</v>
      </c>
      <c r="O293">
        <v>1</v>
      </c>
      <c r="P293" t="str">
        <f>"05"</f>
        <v>05</v>
      </c>
      <c r="Q293" t="s">
        <v>835</v>
      </c>
      <c r="S293" t="s">
        <v>860</v>
      </c>
      <c r="T293" t="s">
        <v>836</v>
      </c>
      <c r="U293" t="str">
        <f t="shared" si="77"/>
        <v>2500-12-31 00:00:00.0</v>
      </c>
      <c r="V293" t="s">
        <v>837</v>
      </c>
      <c r="W293" t="str">
        <f>"048314-070417-**-**"</f>
        <v>048314-070417-**-**</v>
      </c>
      <c r="X293" t="s">
        <v>838</v>
      </c>
      <c r="Y293">
        <v>1125</v>
      </c>
      <c r="Z293">
        <v>1125</v>
      </c>
      <c r="AA293" t="str">
        <f t="shared" si="79"/>
        <v>06/08/2016</v>
      </c>
    </row>
    <row r="294" spans="1:27" x14ac:dyDescent="0.3">
      <c r="A294" t="str">
        <f t="shared" si="70"/>
        <v>048314</v>
      </c>
      <c r="B294" t="str">
        <f t="shared" si="75"/>
        <v>004697</v>
      </c>
      <c r="C294" t="s">
        <v>1715</v>
      </c>
      <c r="D294" t="s">
        <v>3839</v>
      </c>
      <c r="E294" t="s">
        <v>3840</v>
      </c>
      <c r="F294" t="s">
        <v>3841</v>
      </c>
      <c r="G294" t="s">
        <v>3842</v>
      </c>
      <c r="H294" t="str">
        <f>"048280"</f>
        <v>048280</v>
      </c>
      <c r="I294" t="s">
        <v>833</v>
      </c>
      <c r="J294" t="str">
        <f>"2016-02-24 00:00:00.0"</f>
        <v>2016-02-24 00:00:00.0</v>
      </c>
      <c r="K294" t="s">
        <v>834</v>
      </c>
      <c r="L294" t="s">
        <v>142</v>
      </c>
      <c r="M294" t="str">
        <f t="shared" si="80"/>
        <v>048314</v>
      </c>
      <c r="N294">
        <v>0.41025600000000001</v>
      </c>
      <c r="O294">
        <v>0.41025600000000001</v>
      </c>
      <c r="P294" t="s">
        <v>841</v>
      </c>
      <c r="Q294" t="str">
        <f>"05"</f>
        <v>05</v>
      </c>
      <c r="R294" t="str">
        <f>"1"</f>
        <v>1</v>
      </c>
      <c r="S294" t="s">
        <v>836</v>
      </c>
      <c r="T294" t="s">
        <v>836</v>
      </c>
      <c r="U294" t="str">
        <f t="shared" si="77"/>
        <v>2500-12-31 00:00:00.0</v>
      </c>
      <c r="V294" t="s">
        <v>837</v>
      </c>
      <c r="W294" t="str">
        <f>"048280-048280-PS-IC"</f>
        <v>048280-048280-PS-IC</v>
      </c>
      <c r="X294" t="s">
        <v>838</v>
      </c>
      <c r="Y294">
        <v>16</v>
      </c>
      <c r="Z294">
        <v>39</v>
      </c>
      <c r="AA294" t="str">
        <f>"06/15/2016"</f>
        <v>06/15/2016</v>
      </c>
    </row>
    <row r="295" spans="1:27" x14ac:dyDescent="0.3">
      <c r="A295" t="str">
        <f t="shared" si="70"/>
        <v>048314</v>
      </c>
      <c r="B295" t="str">
        <f t="shared" si="75"/>
        <v>004697</v>
      </c>
      <c r="C295" t="s">
        <v>3635</v>
      </c>
      <c r="D295" t="s">
        <v>3839</v>
      </c>
      <c r="E295" t="s">
        <v>3840</v>
      </c>
      <c r="F295" t="s">
        <v>3841</v>
      </c>
      <c r="G295" t="s">
        <v>3842</v>
      </c>
      <c r="H295" t="str">
        <f t="shared" ref="H295:H329" si="81">"048314"</f>
        <v>048314</v>
      </c>
      <c r="I295" t="s">
        <v>833</v>
      </c>
      <c r="J295" t="str">
        <f t="shared" ref="J295:J300" si="82">"2015-07-01 00:00:00.0"</f>
        <v>2015-07-01 00:00:00.0</v>
      </c>
      <c r="K295" t="s">
        <v>834</v>
      </c>
      <c r="L295" t="s">
        <v>0</v>
      </c>
      <c r="M295" t="str">
        <f t="shared" si="80"/>
        <v>048314</v>
      </c>
      <c r="N295">
        <v>1</v>
      </c>
      <c r="O295">
        <v>1</v>
      </c>
      <c r="P295" t="str">
        <f>"03"</f>
        <v>03</v>
      </c>
      <c r="Q295" t="s">
        <v>835</v>
      </c>
      <c r="S295" t="s">
        <v>836</v>
      </c>
      <c r="T295" t="s">
        <v>836</v>
      </c>
      <c r="U295" t="str">
        <f t="shared" si="77"/>
        <v>2500-12-31 00:00:00.0</v>
      </c>
      <c r="V295" t="s">
        <v>837</v>
      </c>
      <c r="W295" t="str">
        <f>"048314-004697-**-**"</f>
        <v>048314-004697-**-**</v>
      </c>
      <c r="X295" t="s">
        <v>838</v>
      </c>
      <c r="Y295">
        <v>1206.25</v>
      </c>
      <c r="Z295">
        <v>1206.25</v>
      </c>
      <c r="AA295" t="str">
        <f t="shared" ref="AA295:AA329" si="83">"06/08/2016"</f>
        <v>06/08/2016</v>
      </c>
    </row>
    <row r="296" spans="1:27" x14ac:dyDescent="0.3">
      <c r="A296" t="str">
        <f t="shared" si="70"/>
        <v>048314</v>
      </c>
      <c r="B296" t="str">
        <f t="shared" si="75"/>
        <v>004697</v>
      </c>
      <c r="C296" t="s">
        <v>3143</v>
      </c>
      <c r="D296" t="s">
        <v>3839</v>
      </c>
      <c r="E296" t="s">
        <v>3840</v>
      </c>
      <c r="F296" t="s">
        <v>3841</v>
      </c>
      <c r="G296" t="s">
        <v>3842</v>
      </c>
      <c r="H296" t="str">
        <f t="shared" si="81"/>
        <v>048314</v>
      </c>
      <c r="I296" t="s">
        <v>833</v>
      </c>
      <c r="J296" t="str">
        <f t="shared" si="82"/>
        <v>2015-07-01 00:00:00.0</v>
      </c>
      <c r="K296" t="s">
        <v>834</v>
      </c>
      <c r="L296" t="s">
        <v>0</v>
      </c>
      <c r="M296" t="str">
        <f t="shared" si="80"/>
        <v>048314</v>
      </c>
      <c r="N296">
        <v>1</v>
      </c>
      <c r="O296">
        <v>1</v>
      </c>
      <c r="P296" t="str">
        <f>"02"</f>
        <v>02</v>
      </c>
      <c r="Q296" t="s">
        <v>835</v>
      </c>
      <c r="S296" t="s">
        <v>836</v>
      </c>
      <c r="T296" t="s">
        <v>836</v>
      </c>
      <c r="U296" t="str">
        <f t="shared" si="77"/>
        <v>2500-12-31 00:00:00.0</v>
      </c>
      <c r="V296" t="s">
        <v>837</v>
      </c>
      <c r="W296" t="str">
        <f>"048314-004697-**-**"</f>
        <v>048314-004697-**-**</v>
      </c>
      <c r="X296" t="s">
        <v>838</v>
      </c>
      <c r="Y296">
        <v>1206.25</v>
      </c>
      <c r="Z296">
        <v>1206.25</v>
      </c>
      <c r="AA296" t="str">
        <f t="shared" si="83"/>
        <v>06/08/2016</v>
      </c>
    </row>
    <row r="297" spans="1:27" x14ac:dyDescent="0.3">
      <c r="A297" t="str">
        <f t="shared" si="70"/>
        <v>048314</v>
      </c>
      <c r="B297" t="str">
        <f t="shared" si="75"/>
        <v>004697</v>
      </c>
      <c r="C297" t="s">
        <v>3025</v>
      </c>
      <c r="D297" t="s">
        <v>3839</v>
      </c>
      <c r="E297" t="s">
        <v>3840</v>
      </c>
      <c r="F297" t="s">
        <v>3841</v>
      </c>
      <c r="G297" t="s">
        <v>3842</v>
      </c>
      <c r="H297" t="str">
        <f t="shared" si="81"/>
        <v>048314</v>
      </c>
      <c r="I297" t="s">
        <v>833</v>
      </c>
      <c r="J297" t="str">
        <f t="shared" si="82"/>
        <v>2015-07-01 00:00:00.0</v>
      </c>
      <c r="K297" t="s">
        <v>834</v>
      </c>
      <c r="L297" t="s">
        <v>0</v>
      </c>
      <c r="M297" t="str">
        <f t="shared" si="80"/>
        <v>048314</v>
      </c>
      <c r="N297">
        <v>1</v>
      </c>
      <c r="O297">
        <v>1</v>
      </c>
      <c r="P297" t="str">
        <f>"01"</f>
        <v>01</v>
      </c>
      <c r="Q297" t="s">
        <v>835</v>
      </c>
      <c r="S297" t="s">
        <v>836</v>
      </c>
      <c r="T297" t="s">
        <v>836</v>
      </c>
      <c r="U297" t="str">
        <f t="shared" si="77"/>
        <v>2500-12-31 00:00:00.0</v>
      </c>
      <c r="V297" t="s">
        <v>837</v>
      </c>
      <c r="W297" t="str">
        <f>"048314-004697-**-**"</f>
        <v>048314-004697-**-**</v>
      </c>
      <c r="X297" t="s">
        <v>838</v>
      </c>
      <c r="Y297">
        <v>1206.25</v>
      </c>
      <c r="Z297">
        <v>1206.25</v>
      </c>
      <c r="AA297" t="str">
        <f t="shared" si="83"/>
        <v>06/08/2016</v>
      </c>
    </row>
    <row r="298" spans="1:27" x14ac:dyDescent="0.3">
      <c r="A298" t="str">
        <f t="shared" si="70"/>
        <v>048314</v>
      </c>
      <c r="B298" t="str">
        <f t="shared" si="75"/>
        <v>004697</v>
      </c>
      <c r="C298" t="s">
        <v>3376</v>
      </c>
      <c r="D298" t="s">
        <v>3839</v>
      </c>
      <c r="E298" t="s">
        <v>3840</v>
      </c>
      <c r="F298" t="s">
        <v>3841</v>
      </c>
      <c r="G298" t="s">
        <v>3842</v>
      </c>
      <c r="H298" t="str">
        <f t="shared" si="81"/>
        <v>048314</v>
      </c>
      <c r="I298" t="s">
        <v>833</v>
      </c>
      <c r="J298" t="str">
        <f t="shared" si="82"/>
        <v>2015-07-01 00:00:00.0</v>
      </c>
      <c r="K298" t="s">
        <v>834</v>
      </c>
      <c r="L298" t="s">
        <v>0</v>
      </c>
      <c r="M298" t="str">
        <f t="shared" si="80"/>
        <v>048314</v>
      </c>
      <c r="N298">
        <v>1</v>
      </c>
      <c r="O298">
        <v>1</v>
      </c>
      <c r="P298" t="str">
        <f>"04"</f>
        <v>04</v>
      </c>
      <c r="Q298" t="s">
        <v>835</v>
      </c>
      <c r="S298" t="s">
        <v>836</v>
      </c>
      <c r="T298" t="s">
        <v>836</v>
      </c>
      <c r="U298" t="str">
        <f t="shared" si="77"/>
        <v>2500-12-31 00:00:00.0</v>
      </c>
      <c r="V298" t="s">
        <v>837</v>
      </c>
      <c r="W298" t="str">
        <f>"048314-004697-**-**"</f>
        <v>048314-004697-**-**</v>
      </c>
      <c r="X298" t="s">
        <v>838</v>
      </c>
      <c r="Y298">
        <v>1206.25</v>
      </c>
      <c r="Z298">
        <v>1206.25</v>
      </c>
      <c r="AA298" t="str">
        <f t="shared" si="83"/>
        <v>06/08/2016</v>
      </c>
    </row>
    <row r="299" spans="1:27" x14ac:dyDescent="0.3">
      <c r="A299" t="str">
        <f t="shared" si="70"/>
        <v>048314</v>
      </c>
      <c r="B299" t="str">
        <f t="shared" si="75"/>
        <v>004697</v>
      </c>
      <c r="C299" t="s">
        <v>2870</v>
      </c>
      <c r="D299" t="s">
        <v>3839</v>
      </c>
      <c r="E299" t="s">
        <v>3840</v>
      </c>
      <c r="F299" t="s">
        <v>3841</v>
      </c>
      <c r="G299" t="s">
        <v>3842</v>
      </c>
      <c r="H299" t="str">
        <f t="shared" si="81"/>
        <v>048314</v>
      </c>
      <c r="I299" t="s">
        <v>833</v>
      </c>
      <c r="J299" t="str">
        <f t="shared" si="82"/>
        <v>2015-07-01 00:00:00.0</v>
      </c>
      <c r="K299" t="s">
        <v>834</v>
      </c>
      <c r="L299" t="s">
        <v>0</v>
      </c>
      <c r="M299" t="str">
        <f t="shared" si="80"/>
        <v>048314</v>
      </c>
      <c r="N299">
        <v>1</v>
      </c>
      <c r="O299">
        <v>1</v>
      </c>
      <c r="P299" t="str">
        <f>"05"</f>
        <v>05</v>
      </c>
      <c r="Q299" t="s">
        <v>835</v>
      </c>
      <c r="S299" t="s">
        <v>836</v>
      </c>
      <c r="T299" t="s">
        <v>836</v>
      </c>
      <c r="U299" t="str">
        <f t="shared" si="77"/>
        <v>2500-12-31 00:00:00.0</v>
      </c>
      <c r="V299" t="s">
        <v>837</v>
      </c>
      <c r="W299" t="str">
        <f>"048314-070417-**-**"</f>
        <v>048314-070417-**-**</v>
      </c>
      <c r="X299" t="s">
        <v>838</v>
      </c>
      <c r="Y299">
        <v>1125</v>
      </c>
      <c r="Z299">
        <v>1125</v>
      </c>
      <c r="AA299" t="str">
        <f t="shared" si="83"/>
        <v>06/08/2016</v>
      </c>
    </row>
    <row r="300" spans="1:27" x14ac:dyDescent="0.3">
      <c r="A300" t="str">
        <f t="shared" si="70"/>
        <v>048314</v>
      </c>
      <c r="B300" t="str">
        <f t="shared" si="75"/>
        <v>004697</v>
      </c>
      <c r="C300" t="s">
        <v>1497</v>
      </c>
      <c r="D300" t="s">
        <v>3839</v>
      </c>
      <c r="E300" t="s">
        <v>3840</v>
      </c>
      <c r="F300" t="s">
        <v>3841</v>
      </c>
      <c r="G300" t="s">
        <v>3842</v>
      </c>
      <c r="H300" t="str">
        <f t="shared" si="81"/>
        <v>048314</v>
      </c>
      <c r="I300" t="s">
        <v>833</v>
      </c>
      <c r="J300" t="str">
        <f t="shared" si="82"/>
        <v>2015-07-01 00:00:00.0</v>
      </c>
      <c r="K300" t="s">
        <v>834</v>
      </c>
      <c r="L300" t="s">
        <v>0</v>
      </c>
      <c r="M300" t="str">
        <f t="shared" si="80"/>
        <v>048314</v>
      </c>
      <c r="N300">
        <v>1</v>
      </c>
      <c r="O300">
        <v>1</v>
      </c>
      <c r="P300" t="str">
        <f>"02"</f>
        <v>02</v>
      </c>
      <c r="Q300" t="s">
        <v>835</v>
      </c>
      <c r="S300" t="s">
        <v>836</v>
      </c>
      <c r="T300" t="s">
        <v>836</v>
      </c>
      <c r="U300" t="str">
        <f t="shared" si="77"/>
        <v>2500-12-31 00:00:00.0</v>
      </c>
      <c r="V300" t="s">
        <v>837</v>
      </c>
      <c r="W300" t="str">
        <f>"048314-004697-**-**"</f>
        <v>048314-004697-**-**</v>
      </c>
      <c r="X300" t="s">
        <v>838</v>
      </c>
      <c r="Y300">
        <v>1206.25</v>
      </c>
      <c r="Z300">
        <v>1206.25</v>
      </c>
      <c r="AA300" t="str">
        <f t="shared" si="83"/>
        <v>06/08/2016</v>
      </c>
    </row>
    <row r="301" spans="1:27" x14ac:dyDescent="0.3">
      <c r="A301" t="str">
        <f t="shared" si="70"/>
        <v>048314</v>
      </c>
      <c r="B301" t="str">
        <f t="shared" si="75"/>
        <v>004697</v>
      </c>
      <c r="C301" t="s">
        <v>2542</v>
      </c>
      <c r="D301" t="s">
        <v>3839</v>
      </c>
      <c r="E301" t="s">
        <v>3840</v>
      </c>
      <c r="F301" t="s">
        <v>3841</v>
      </c>
      <c r="G301" t="s">
        <v>3842</v>
      </c>
      <c r="H301" t="str">
        <f t="shared" si="81"/>
        <v>048314</v>
      </c>
      <c r="I301" t="s">
        <v>833</v>
      </c>
      <c r="J301" t="str">
        <f>"2015-08-01 00:00:00.0"</f>
        <v>2015-08-01 00:00:00.0</v>
      </c>
      <c r="K301" t="s">
        <v>834</v>
      </c>
      <c r="L301" t="s">
        <v>0</v>
      </c>
      <c r="M301" t="str">
        <f t="shared" si="80"/>
        <v>048314</v>
      </c>
      <c r="N301">
        <v>1</v>
      </c>
      <c r="O301">
        <v>1</v>
      </c>
      <c r="P301" t="s">
        <v>764</v>
      </c>
      <c r="Q301" t="s">
        <v>835</v>
      </c>
      <c r="S301" t="s">
        <v>836</v>
      </c>
      <c r="T301" t="s">
        <v>836</v>
      </c>
      <c r="U301" t="str">
        <f t="shared" si="77"/>
        <v>2500-12-31 00:00:00.0</v>
      </c>
      <c r="V301" t="s">
        <v>837</v>
      </c>
      <c r="W301" t="str">
        <f>"048314-004697-**-**"</f>
        <v>048314-004697-**-**</v>
      </c>
      <c r="X301" t="s">
        <v>838</v>
      </c>
      <c r="Y301">
        <v>1206.25</v>
      </c>
      <c r="Z301">
        <v>1206.25</v>
      </c>
      <c r="AA301" t="str">
        <f t="shared" si="83"/>
        <v>06/08/2016</v>
      </c>
    </row>
    <row r="302" spans="1:27" x14ac:dyDescent="0.3">
      <c r="A302" t="str">
        <f t="shared" si="70"/>
        <v>048314</v>
      </c>
      <c r="B302" t="str">
        <f t="shared" si="75"/>
        <v>004697</v>
      </c>
      <c r="C302" t="s">
        <v>3321</v>
      </c>
      <c r="D302" t="s">
        <v>3839</v>
      </c>
      <c r="E302" t="s">
        <v>3840</v>
      </c>
      <c r="F302" t="s">
        <v>3841</v>
      </c>
      <c r="G302" t="s">
        <v>3842</v>
      </c>
      <c r="H302" t="str">
        <f t="shared" si="81"/>
        <v>048314</v>
      </c>
      <c r="I302" t="s">
        <v>833</v>
      </c>
      <c r="J302" t="str">
        <f>"2015-08-24 00:00:00.0"</f>
        <v>2015-08-24 00:00:00.0</v>
      </c>
      <c r="K302" t="s">
        <v>834</v>
      </c>
      <c r="L302" t="s">
        <v>0</v>
      </c>
      <c r="M302" t="str">
        <f t="shared" si="80"/>
        <v>048314</v>
      </c>
      <c r="N302">
        <v>1</v>
      </c>
      <c r="O302">
        <v>1</v>
      </c>
      <c r="P302" t="str">
        <f>"04"</f>
        <v>04</v>
      </c>
      <c r="Q302" t="s">
        <v>835</v>
      </c>
      <c r="S302" t="s">
        <v>836</v>
      </c>
      <c r="T302" t="s">
        <v>836</v>
      </c>
      <c r="U302" t="str">
        <f t="shared" si="77"/>
        <v>2500-12-31 00:00:00.0</v>
      </c>
      <c r="V302" t="s">
        <v>837</v>
      </c>
      <c r="W302" t="str">
        <f>"048314-004697-**-**"</f>
        <v>048314-004697-**-**</v>
      </c>
      <c r="X302" t="s">
        <v>838</v>
      </c>
      <c r="Y302">
        <v>1206.25</v>
      </c>
      <c r="Z302">
        <v>1206.25</v>
      </c>
      <c r="AA302" t="str">
        <f t="shared" si="83"/>
        <v>06/08/2016</v>
      </c>
    </row>
    <row r="303" spans="1:27" x14ac:dyDescent="0.3">
      <c r="A303" t="str">
        <f t="shared" si="70"/>
        <v>048314</v>
      </c>
      <c r="B303" t="str">
        <f t="shared" si="75"/>
        <v>004697</v>
      </c>
      <c r="C303" t="s">
        <v>975</v>
      </c>
      <c r="D303" t="s">
        <v>3839</v>
      </c>
      <c r="E303" t="s">
        <v>3840</v>
      </c>
      <c r="F303" t="s">
        <v>3841</v>
      </c>
      <c r="G303" t="s">
        <v>3842</v>
      </c>
      <c r="H303" t="str">
        <f t="shared" si="81"/>
        <v>048314</v>
      </c>
      <c r="I303" t="s">
        <v>833</v>
      </c>
      <c r="J303" t="str">
        <f>"2015-08-19 00:00:00.0"</f>
        <v>2015-08-19 00:00:00.0</v>
      </c>
      <c r="K303" t="s">
        <v>834</v>
      </c>
      <c r="L303" t="s">
        <v>0</v>
      </c>
      <c r="M303" t="str">
        <f t="shared" si="80"/>
        <v>048314</v>
      </c>
      <c r="N303">
        <v>1</v>
      </c>
      <c r="O303">
        <v>1</v>
      </c>
      <c r="P303" t="s">
        <v>764</v>
      </c>
      <c r="Q303" t="s">
        <v>835</v>
      </c>
      <c r="S303" t="s">
        <v>836</v>
      </c>
      <c r="T303" t="s">
        <v>836</v>
      </c>
      <c r="U303" t="str">
        <f t="shared" si="77"/>
        <v>2500-12-31 00:00:00.0</v>
      </c>
      <c r="V303" t="s">
        <v>837</v>
      </c>
      <c r="W303" t="str">
        <f>"048314-004697-**-**"</f>
        <v>048314-004697-**-**</v>
      </c>
      <c r="X303" t="s">
        <v>838</v>
      </c>
      <c r="Y303">
        <v>1206.25</v>
      </c>
      <c r="Z303">
        <v>1206.25</v>
      </c>
      <c r="AA303" t="str">
        <f t="shared" si="83"/>
        <v>06/08/2016</v>
      </c>
    </row>
    <row r="304" spans="1:27" x14ac:dyDescent="0.3">
      <c r="A304" t="str">
        <f t="shared" si="70"/>
        <v>048314</v>
      </c>
      <c r="B304" t="str">
        <f t="shared" si="75"/>
        <v>004697</v>
      </c>
      <c r="C304" t="s">
        <v>924</v>
      </c>
      <c r="D304" t="s">
        <v>3839</v>
      </c>
      <c r="E304" t="s">
        <v>3840</v>
      </c>
      <c r="F304" t="s">
        <v>3841</v>
      </c>
      <c r="G304" t="s">
        <v>3842</v>
      </c>
      <c r="H304" t="str">
        <f t="shared" si="81"/>
        <v>048314</v>
      </c>
      <c r="I304" t="s">
        <v>833</v>
      </c>
      <c r="J304" t="str">
        <f>"2015-07-01 00:00:00.0"</f>
        <v>2015-07-01 00:00:00.0</v>
      </c>
      <c r="K304" t="s">
        <v>834</v>
      </c>
      <c r="L304" t="s">
        <v>0</v>
      </c>
      <c r="M304" t="str">
        <f t="shared" si="80"/>
        <v>048314</v>
      </c>
      <c r="N304">
        <v>1</v>
      </c>
      <c r="O304">
        <v>1</v>
      </c>
      <c r="P304" t="str">
        <f>"01"</f>
        <v>01</v>
      </c>
      <c r="Q304" t="s">
        <v>835</v>
      </c>
      <c r="S304" t="s">
        <v>836</v>
      </c>
      <c r="T304" t="s">
        <v>836</v>
      </c>
      <c r="U304" t="str">
        <f t="shared" si="77"/>
        <v>2500-12-31 00:00:00.0</v>
      </c>
      <c r="V304" t="s">
        <v>837</v>
      </c>
      <c r="W304" t="str">
        <f>"048314-004697-**-**"</f>
        <v>048314-004697-**-**</v>
      </c>
      <c r="X304" t="s">
        <v>838</v>
      </c>
      <c r="Y304">
        <v>1206.25</v>
      </c>
      <c r="Z304">
        <v>1206.25</v>
      </c>
      <c r="AA304" t="str">
        <f t="shared" si="83"/>
        <v>06/08/2016</v>
      </c>
    </row>
    <row r="305" spans="1:27" x14ac:dyDescent="0.3">
      <c r="A305" t="str">
        <f t="shared" si="70"/>
        <v>048314</v>
      </c>
      <c r="B305" t="str">
        <f t="shared" si="75"/>
        <v>004697</v>
      </c>
      <c r="C305" t="s">
        <v>2873</v>
      </c>
      <c r="D305" t="s">
        <v>3839</v>
      </c>
      <c r="E305" t="s">
        <v>3840</v>
      </c>
      <c r="F305" t="s">
        <v>3841</v>
      </c>
      <c r="G305" t="s">
        <v>3842</v>
      </c>
      <c r="H305" t="str">
        <f t="shared" si="81"/>
        <v>048314</v>
      </c>
      <c r="I305" t="s">
        <v>833</v>
      </c>
      <c r="J305" t="str">
        <f>"2015-07-01 00:00:00.0"</f>
        <v>2015-07-01 00:00:00.0</v>
      </c>
      <c r="K305" t="s">
        <v>834</v>
      </c>
      <c r="L305" t="s">
        <v>0</v>
      </c>
      <c r="M305" t="str">
        <f t="shared" si="80"/>
        <v>048314</v>
      </c>
      <c r="N305">
        <v>1</v>
      </c>
      <c r="O305">
        <v>1</v>
      </c>
      <c r="P305" t="str">
        <f>"05"</f>
        <v>05</v>
      </c>
      <c r="Q305" t="s">
        <v>835</v>
      </c>
      <c r="S305" t="s">
        <v>836</v>
      </c>
      <c r="T305" t="s">
        <v>836</v>
      </c>
      <c r="U305" t="str">
        <f t="shared" si="77"/>
        <v>2500-12-31 00:00:00.0</v>
      </c>
      <c r="V305" t="s">
        <v>837</v>
      </c>
      <c r="W305" t="str">
        <f>"048314-070417-**-**"</f>
        <v>048314-070417-**-**</v>
      </c>
      <c r="X305" t="s">
        <v>838</v>
      </c>
      <c r="Y305">
        <v>1125</v>
      </c>
      <c r="Z305">
        <v>1125</v>
      </c>
      <c r="AA305" t="str">
        <f t="shared" si="83"/>
        <v>06/08/2016</v>
      </c>
    </row>
    <row r="306" spans="1:27" x14ac:dyDescent="0.3">
      <c r="A306" t="str">
        <f t="shared" si="70"/>
        <v>048314</v>
      </c>
      <c r="B306" t="str">
        <f t="shared" si="75"/>
        <v>004697</v>
      </c>
      <c r="C306" t="s">
        <v>2593</v>
      </c>
      <c r="D306" t="s">
        <v>3839</v>
      </c>
      <c r="E306" t="s">
        <v>3840</v>
      </c>
      <c r="F306" t="s">
        <v>3841</v>
      </c>
      <c r="G306" t="s">
        <v>3842</v>
      </c>
      <c r="H306" t="str">
        <f t="shared" si="81"/>
        <v>048314</v>
      </c>
      <c r="I306" t="s">
        <v>833</v>
      </c>
      <c r="J306" t="str">
        <f>"2015-08-01 00:00:00.0"</f>
        <v>2015-08-01 00:00:00.0</v>
      </c>
      <c r="K306" t="s">
        <v>834</v>
      </c>
      <c r="L306" t="s">
        <v>0</v>
      </c>
      <c r="M306" t="str">
        <f t="shared" si="80"/>
        <v>048314</v>
      </c>
      <c r="N306">
        <v>1</v>
      </c>
      <c r="O306">
        <v>1</v>
      </c>
      <c r="P306" t="s">
        <v>764</v>
      </c>
      <c r="Q306" t="s">
        <v>835</v>
      </c>
      <c r="S306" t="s">
        <v>836</v>
      </c>
      <c r="T306" t="s">
        <v>836</v>
      </c>
      <c r="U306" t="str">
        <f t="shared" si="77"/>
        <v>2500-12-31 00:00:00.0</v>
      </c>
      <c r="V306" t="s">
        <v>837</v>
      </c>
      <c r="W306" t="str">
        <f>"048314-004697-**-**"</f>
        <v>048314-004697-**-**</v>
      </c>
      <c r="X306" t="s">
        <v>838</v>
      </c>
      <c r="Y306">
        <v>1206.25</v>
      </c>
      <c r="Z306">
        <v>1206.25</v>
      </c>
      <c r="AA306" t="str">
        <f t="shared" si="83"/>
        <v>06/08/2016</v>
      </c>
    </row>
    <row r="307" spans="1:27" x14ac:dyDescent="0.3">
      <c r="A307" t="str">
        <f t="shared" si="70"/>
        <v>048314</v>
      </c>
      <c r="B307" t="str">
        <f t="shared" si="75"/>
        <v>004697</v>
      </c>
      <c r="C307" t="s">
        <v>3296</v>
      </c>
      <c r="D307" t="s">
        <v>3839</v>
      </c>
      <c r="E307" t="s">
        <v>3840</v>
      </c>
      <c r="F307" t="s">
        <v>3841</v>
      </c>
      <c r="G307" t="s">
        <v>3842</v>
      </c>
      <c r="H307" t="str">
        <f t="shared" si="81"/>
        <v>048314</v>
      </c>
      <c r="I307" t="s">
        <v>833</v>
      </c>
      <c r="J307" t="str">
        <f t="shared" ref="J307:J314" si="84">"2015-07-01 00:00:00.0"</f>
        <v>2015-07-01 00:00:00.0</v>
      </c>
      <c r="K307" t="s">
        <v>834</v>
      </c>
      <c r="L307" t="s">
        <v>0</v>
      </c>
      <c r="M307" t="str">
        <f t="shared" si="80"/>
        <v>048314</v>
      </c>
      <c r="N307">
        <v>1</v>
      </c>
      <c r="O307">
        <v>1</v>
      </c>
      <c r="P307" t="str">
        <f>"05"</f>
        <v>05</v>
      </c>
      <c r="Q307" t="s">
        <v>835</v>
      </c>
      <c r="S307" t="s">
        <v>836</v>
      </c>
      <c r="T307" t="s">
        <v>836</v>
      </c>
      <c r="U307" t="str">
        <f t="shared" si="77"/>
        <v>2500-12-31 00:00:00.0</v>
      </c>
      <c r="V307" t="s">
        <v>837</v>
      </c>
      <c r="W307" t="str">
        <f>"048314-070417-**-**"</f>
        <v>048314-070417-**-**</v>
      </c>
      <c r="X307" t="s">
        <v>838</v>
      </c>
      <c r="Y307">
        <v>1125</v>
      </c>
      <c r="Z307">
        <v>1125</v>
      </c>
      <c r="AA307" t="str">
        <f t="shared" si="83"/>
        <v>06/08/2016</v>
      </c>
    </row>
    <row r="308" spans="1:27" x14ac:dyDescent="0.3">
      <c r="A308" t="str">
        <f t="shared" si="70"/>
        <v>048314</v>
      </c>
      <c r="B308" t="str">
        <f t="shared" si="75"/>
        <v>004697</v>
      </c>
      <c r="C308" t="s">
        <v>2876</v>
      </c>
      <c r="D308" t="s">
        <v>3839</v>
      </c>
      <c r="E308" t="s">
        <v>3840</v>
      </c>
      <c r="F308" t="s">
        <v>3841</v>
      </c>
      <c r="G308" t="s">
        <v>3842</v>
      </c>
      <c r="H308" t="str">
        <f t="shared" si="81"/>
        <v>048314</v>
      </c>
      <c r="I308" t="s">
        <v>833</v>
      </c>
      <c r="J308" t="str">
        <f t="shared" si="84"/>
        <v>2015-07-01 00:00:00.0</v>
      </c>
      <c r="K308" t="s">
        <v>834</v>
      </c>
      <c r="L308" t="s">
        <v>0</v>
      </c>
      <c r="M308" t="str">
        <f t="shared" si="80"/>
        <v>048314</v>
      </c>
      <c r="N308">
        <v>1</v>
      </c>
      <c r="O308">
        <v>1</v>
      </c>
      <c r="P308" t="str">
        <f>"05"</f>
        <v>05</v>
      </c>
      <c r="Q308" t="s">
        <v>835</v>
      </c>
      <c r="S308" t="s">
        <v>836</v>
      </c>
      <c r="T308" t="s">
        <v>836</v>
      </c>
      <c r="U308" t="str">
        <f t="shared" si="77"/>
        <v>2500-12-31 00:00:00.0</v>
      </c>
      <c r="V308" t="s">
        <v>837</v>
      </c>
      <c r="W308" t="str">
        <f>"048314-070417-**-**"</f>
        <v>048314-070417-**-**</v>
      </c>
      <c r="X308" t="s">
        <v>838</v>
      </c>
      <c r="Y308">
        <v>1125</v>
      </c>
      <c r="Z308">
        <v>1125</v>
      </c>
      <c r="AA308" t="str">
        <f t="shared" si="83"/>
        <v>06/08/2016</v>
      </c>
    </row>
    <row r="309" spans="1:27" x14ac:dyDescent="0.3">
      <c r="A309" t="str">
        <f t="shared" si="70"/>
        <v>048314</v>
      </c>
      <c r="B309" t="str">
        <f t="shared" si="75"/>
        <v>004697</v>
      </c>
      <c r="C309" t="s">
        <v>3594</v>
      </c>
      <c r="D309" t="s">
        <v>3839</v>
      </c>
      <c r="E309" t="s">
        <v>3840</v>
      </c>
      <c r="F309" t="s">
        <v>3841</v>
      </c>
      <c r="G309" t="s">
        <v>3842</v>
      </c>
      <c r="H309" t="str">
        <f t="shared" si="81"/>
        <v>048314</v>
      </c>
      <c r="I309" t="s">
        <v>833</v>
      </c>
      <c r="J309" t="str">
        <f t="shared" si="84"/>
        <v>2015-07-01 00:00:00.0</v>
      </c>
      <c r="K309" t="s">
        <v>834</v>
      </c>
      <c r="L309" t="s">
        <v>0</v>
      </c>
      <c r="M309" t="str">
        <f t="shared" si="80"/>
        <v>048314</v>
      </c>
      <c r="N309">
        <v>1</v>
      </c>
      <c r="O309">
        <v>1</v>
      </c>
      <c r="P309" t="str">
        <f>"03"</f>
        <v>03</v>
      </c>
      <c r="Q309" t="s">
        <v>835</v>
      </c>
      <c r="S309" t="s">
        <v>836</v>
      </c>
      <c r="T309" t="s">
        <v>836</v>
      </c>
      <c r="U309" t="str">
        <f t="shared" si="77"/>
        <v>2500-12-31 00:00:00.0</v>
      </c>
      <c r="V309" t="s">
        <v>837</v>
      </c>
      <c r="W309" t="str">
        <f>"048314-004697-**-**"</f>
        <v>048314-004697-**-**</v>
      </c>
      <c r="X309" t="s">
        <v>838</v>
      </c>
      <c r="Y309">
        <v>1206.25</v>
      </c>
      <c r="Z309">
        <v>1206.25</v>
      </c>
      <c r="AA309" t="str">
        <f t="shared" si="83"/>
        <v>06/08/2016</v>
      </c>
    </row>
    <row r="310" spans="1:27" x14ac:dyDescent="0.3">
      <c r="A310" t="str">
        <f t="shared" si="70"/>
        <v>048314</v>
      </c>
      <c r="B310" t="str">
        <f t="shared" si="75"/>
        <v>004697</v>
      </c>
      <c r="C310" t="s">
        <v>2877</v>
      </c>
      <c r="D310" t="s">
        <v>3839</v>
      </c>
      <c r="E310" t="s">
        <v>3840</v>
      </c>
      <c r="F310" t="s">
        <v>3841</v>
      </c>
      <c r="G310" t="s">
        <v>3842</v>
      </c>
      <c r="H310" t="str">
        <f t="shared" si="81"/>
        <v>048314</v>
      </c>
      <c r="I310" t="s">
        <v>833</v>
      </c>
      <c r="J310" t="str">
        <f t="shared" si="84"/>
        <v>2015-07-01 00:00:00.0</v>
      </c>
      <c r="K310" t="s">
        <v>834</v>
      </c>
      <c r="L310" t="s">
        <v>0</v>
      </c>
      <c r="M310" t="str">
        <f t="shared" si="80"/>
        <v>048314</v>
      </c>
      <c r="N310">
        <v>1</v>
      </c>
      <c r="O310">
        <v>1</v>
      </c>
      <c r="P310" t="str">
        <f>"05"</f>
        <v>05</v>
      </c>
      <c r="Q310" t="s">
        <v>835</v>
      </c>
      <c r="S310" t="s">
        <v>836</v>
      </c>
      <c r="T310" t="s">
        <v>836</v>
      </c>
      <c r="U310" t="str">
        <f t="shared" si="77"/>
        <v>2500-12-31 00:00:00.0</v>
      </c>
      <c r="V310" t="s">
        <v>837</v>
      </c>
      <c r="W310" t="str">
        <f>"048314-070417-**-**"</f>
        <v>048314-070417-**-**</v>
      </c>
      <c r="X310" t="s">
        <v>838</v>
      </c>
      <c r="Y310">
        <v>1125</v>
      </c>
      <c r="Z310">
        <v>1125</v>
      </c>
      <c r="AA310" t="str">
        <f t="shared" si="83"/>
        <v>06/08/2016</v>
      </c>
    </row>
    <row r="311" spans="1:27" x14ac:dyDescent="0.3">
      <c r="A311" t="str">
        <f t="shared" si="70"/>
        <v>048314</v>
      </c>
      <c r="B311" t="str">
        <f t="shared" si="75"/>
        <v>004697</v>
      </c>
      <c r="C311" t="s">
        <v>3712</v>
      </c>
      <c r="D311" t="s">
        <v>3839</v>
      </c>
      <c r="E311" t="s">
        <v>3840</v>
      </c>
      <c r="F311" t="s">
        <v>3841</v>
      </c>
      <c r="G311" t="s">
        <v>3842</v>
      </c>
      <c r="H311" t="str">
        <f t="shared" si="81"/>
        <v>048314</v>
      </c>
      <c r="I311" t="s">
        <v>833</v>
      </c>
      <c r="J311" t="str">
        <f t="shared" si="84"/>
        <v>2015-07-01 00:00:00.0</v>
      </c>
      <c r="K311" t="s">
        <v>834</v>
      </c>
      <c r="L311" t="s">
        <v>0</v>
      </c>
      <c r="M311" t="str">
        <f t="shared" si="80"/>
        <v>048314</v>
      </c>
      <c r="N311">
        <v>1</v>
      </c>
      <c r="O311">
        <v>1</v>
      </c>
      <c r="P311" t="str">
        <f>"02"</f>
        <v>02</v>
      </c>
      <c r="Q311" t="s">
        <v>835</v>
      </c>
      <c r="S311" t="s">
        <v>836</v>
      </c>
      <c r="T311" t="s">
        <v>836</v>
      </c>
      <c r="U311" t="str">
        <f t="shared" si="77"/>
        <v>2500-12-31 00:00:00.0</v>
      </c>
      <c r="V311" t="s">
        <v>837</v>
      </c>
      <c r="W311" t="str">
        <f>"048314-004697-**-**"</f>
        <v>048314-004697-**-**</v>
      </c>
      <c r="X311" t="s">
        <v>838</v>
      </c>
      <c r="Y311">
        <v>1206.25</v>
      </c>
      <c r="Z311">
        <v>1206.25</v>
      </c>
      <c r="AA311" t="str">
        <f t="shared" si="83"/>
        <v>06/08/2016</v>
      </c>
    </row>
    <row r="312" spans="1:27" x14ac:dyDescent="0.3">
      <c r="A312" t="str">
        <f t="shared" si="70"/>
        <v>048314</v>
      </c>
      <c r="B312" t="str">
        <f t="shared" si="75"/>
        <v>004697</v>
      </c>
      <c r="C312" t="s">
        <v>3135</v>
      </c>
      <c r="D312" t="s">
        <v>3839</v>
      </c>
      <c r="E312" t="s">
        <v>3840</v>
      </c>
      <c r="F312" t="s">
        <v>3841</v>
      </c>
      <c r="G312" t="s">
        <v>3842</v>
      </c>
      <c r="H312" t="str">
        <f t="shared" si="81"/>
        <v>048314</v>
      </c>
      <c r="I312" t="s">
        <v>833</v>
      </c>
      <c r="J312" t="str">
        <f t="shared" si="84"/>
        <v>2015-07-01 00:00:00.0</v>
      </c>
      <c r="K312" t="s">
        <v>834</v>
      </c>
      <c r="L312" t="s">
        <v>0</v>
      </c>
      <c r="M312" t="str">
        <f t="shared" si="80"/>
        <v>048314</v>
      </c>
      <c r="N312">
        <v>1</v>
      </c>
      <c r="O312">
        <v>1</v>
      </c>
      <c r="P312" t="str">
        <f>"05"</f>
        <v>05</v>
      </c>
      <c r="Q312" t="s">
        <v>835</v>
      </c>
      <c r="S312" t="s">
        <v>836</v>
      </c>
      <c r="T312" t="s">
        <v>836</v>
      </c>
      <c r="U312" t="str">
        <f t="shared" si="77"/>
        <v>2500-12-31 00:00:00.0</v>
      </c>
      <c r="V312" t="s">
        <v>837</v>
      </c>
      <c r="W312" t="str">
        <f>"048314-070417-**-**"</f>
        <v>048314-070417-**-**</v>
      </c>
      <c r="X312" t="s">
        <v>838</v>
      </c>
      <c r="Y312">
        <v>1125</v>
      </c>
      <c r="Z312">
        <v>1125</v>
      </c>
      <c r="AA312" t="str">
        <f t="shared" si="83"/>
        <v>06/08/2016</v>
      </c>
    </row>
    <row r="313" spans="1:27" x14ac:dyDescent="0.3">
      <c r="A313" t="str">
        <f t="shared" si="70"/>
        <v>048314</v>
      </c>
      <c r="B313" t="str">
        <f t="shared" si="75"/>
        <v>004697</v>
      </c>
      <c r="C313" t="s">
        <v>3558</v>
      </c>
      <c r="D313" t="s">
        <v>3839</v>
      </c>
      <c r="E313" t="s">
        <v>3840</v>
      </c>
      <c r="F313" t="s">
        <v>3841</v>
      </c>
      <c r="G313" t="s">
        <v>3842</v>
      </c>
      <c r="H313" t="str">
        <f t="shared" si="81"/>
        <v>048314</v>
      </c>
      <c r="I313" t="s">
        <v>833</v>
      </c>
      <c r="J313" t="str">
        <f t="shared" si="84"/>
        <v>2015-07-01 00:00:00.0</v>
      </c>
      <c r="K313" t="s">
        <v>834</v>
      </c>
      <c r="L313" t="s">
        <v>0</v>
      </c>
      <c r="M313" t="str">
        <f t="shared" si="80"/>
        <v>048314</v>
      </c>
      <c r="N313">
        <v>1</v>
      </c>
      <c r="O313">
        <v>1</v>
      </c>
      <c r="P313" t="str">
        <f>"03"</f>
        <v>03</v>
      </c>
      <c r="Q313" t="str">
        <f>"10"</f>
        <v>10</v>
      </c>
      <c r="R313" t="str">
        <f>"2"</f>
        <v>2</v>
      </c>
      <c r="S313" t="s">
        <v>836</v>
      </c>
      <c r="T313" t="s">
        <v>836</v>
      </c>
      <c r="U313" t="str">
        <f t="shared" si="77"/>
        <v>2500-12-31 00:00:00.0</v>
      </c>
      <c r="V313" t="s">
        <v>837</v>
      </c>
      <c r="W313" t="str">
        <f>"048314-004697-**-**"</f>
        <v>048314-004697-**-**</v>
      </c>
      <c r="X313" t="s">
        <v>838</v>
      </c>
      <c r="Y313">
        <v>1206.25</v>
      </c>
      <c r="Z313">
        <v>1206.25</v>
      </c>
      <c r="AA313" t="str">
        <f t="shared" si="83"/>
        <v>06/08/2016</v>
      </c>
    </row>
    <row r="314" spans="1:27" x14ac:dyDescent="0.3">
      <c r="A314" t="str">
        <f t="shared" si="70"/>
        <v>048314</v>
      </c>
      <c r="B314" t="str">
        <f t="shared" si="75"/>
        <v>004697</v>
      </c>
      <c r="C314" t="s">
        <v>2879</v>
      </c>
      <c r="D314" t="s">
        <v>3839</v>
      </c>
      <c r="E314" t="s">
        <v>3840</v>
      </c>
      <c r="F314" t="s">
        <v>3841</v>
      </c>
      <c r="G314" t="s">
        <v>3842</v>
      </c>
      <c r="H314" t="str">
        <f t="shared" si="81"/>
        <v>048314</v>
      </c>
      <c r="I314" t="s">
        <v>833</v>
      </c>
      <c r="J314" t="str">
        <f t="shared" si="84"/>
        <v>2015-07-01 00:00:00.0</v>
      </c>
      <c r="K314" t="s">
        <v>834</v>
      </c>
      <c r="L314" t="s">
        <v>0</v>
      </c>
      <c r="M314" t="str">
        <f t="shared" si="80"/>
        <v>048314</v>
      </c>
      <c r="N314">
        <v>1</v>
      </c>
      <c r="O314">
        <v>1</v>
      </c>
      <c r="P314" t="str">
        <f>"05"</f>
        <v>05</v>
      </c>
      <c r="Q314" t="s">
        <v>835</v>
      </c>
      <c r="S314" t="s">
        <v>836</v>
      </c>
      <c r="T314" t="s">
        <v>836</v>
      </c>
      <c r="U314" t="str">
        <f t="shared" si="77"/>
        <v>2500-12-31 00:00:00.0</v>
      </c>
      <c r="V314" t="s">
        <v>837</v>
      </c>
      <c r="W314" t="str">
        <f>"048314-070417-**-**"</f>
        <v>048314-070417-**-**</v>
      </c>
      <c r="X314" t="s">
        <v>838</v>
      </c>
      <c r="Y314">
        <v>1125</v>
      </c>
      <c r="Z314">
        <v>1125</v>
      </c>
      <c r="AA314" t="str">
        <f t="shared" si="83"/>
        <v>06/08/2016</v>
      </c>
    </row>
    <row r="315" spans="1:27" x14ac:dyDescent="0.3">
      <c r="A315" t="str">
        <f t="shared" si="70"/>
        <v>048314</v>
      </c>
      <c r="B315" t="str">
        <f t="shared" si="75"/>
        <v>004697</v>
      </c>
      <c r="C315" t="s">
        <v>1274</v>
      </c>
      <c r="D315" t="s">
        <v>3839</v>
      </c>
      <c r="E315" t="s">
        <v>3840</v>
      </c>
      <c r="F315" t="s">
        <v>3841</v>
      </c>
      <c r="G315" t="s">
        <v>3842</v>
      </c>
      <c r="H315" t="str">
        <f t="shared" si="81"/>
        <v>048314</v>
      </c>
      <c r="I315" t="s">
        <v>833</v>
      </c>
      <c r="J315" t="str">
        <f>"2015-08-01 00:00:00.0"</f>
        <v>2015-08-01 00:00:00.0</v>
      </c>
      <c r="K315" t="s">
        <v>834</v>
      </c>
      <c r="L315" t="s">
        <v>0</v>
      </c>
      <c r="M315" t="str">
        <f t="shared" si="80"/>
        <v>048314</v>
      </c>
      <c r="N315">
        <v>1</v>
      </c>
      <c r="O315">
        <v>1</v>
      </c>
      <c r="P315" t="s">
        <v>764</v>
      </c>
      <c r="Q315" t="s">
        <v>835</v>
      </c>
      <c r="S315" t="s">
        <v>836</v>
      </c>
      <c r="T315" t="s">
        <v>836</v>
      </c>
      <c r="U315" t="str">
        <f t="shared" si="77"/>
        <v>2500-12-31 00:00:00.0</v>
      </c>
      <c r="V315" t="s">
        <v>837</v>
      </c>
      <c r="W315" t="str">
        <f>"048314-004697-**-**"</f>
        <v>048314-004697-**-**</v>
      </c>
      <c r="X315" t="s">
        <v>838</v>
      </c>
      <c r="Y315">
        <v>1206.25</v>
      </c>
      <c r="Z315">
        <v>1206.25</v>
      </c>
      <c r="AA315" t="str">
        <f t="shared" si="83"/>
        <v>06/08/2016</v>
      </c>
    </row>
    <row r="316" spans="1:27" x14ac:dyDescent="0.3">
      <c r="A316" t="str">
        <f t="shared" si="70"/>
        <v>048314</v>
      </c>
      <c r="B316" t="str">
        <f t="shared" si="75"/>
        <v>004697</v>
      </c>
      <c r="C316" t="s">
        <v>2880</v>
      </c>
      <c r="D316" t="s">
        <v>3839</v>
      </c>
      <c r="E316" t="s">
        <v>3840</v>
      </c>
      <c r="F316" t="s">
        <v>3841</v>
      </c>
      <c r="G316" t="s">
        <v>3842</v>
      </c>
      <c r="H316" t="str">
        <f t="shared" si="81"/>
        <v>048314</v>
      </c>
      <c r="I316" t="s">
        <v>833</v>
      </c>
      <c r="J316" t="str">
        <f t="shared" ref="J316:J321" si="85">"2015-07-01 00:00:00.0"</f>
        <v>2015-07-01 00:00:00.0</v>
      </c>
      <c r="K316" t="s">
        <v>834</v>
      </c>
      <c r="L316" t="s">
        <v>0</v>
      </c>
      <c r="M316" t="str">
        <f t="shared" si="80"/>
        <v>048314</v>
      </c>
      <c r="N316">
        <v>1</v>
      </c>
      <c r="O316">
        <v>1</v>
      </c>
      <c r="P316" t="str">
        <f>"05"</f>
        <v>05</v>
      </c>
      <c r="Q316" t="s">
        <v>835</v>
      </c>
      <c r="S316" t="s">
        <v>836</v>
      </c>
      <c r="T316" t="s">
        <v>836</v>
      </c>
      <c r="U316" t="str">
        <f t="shared" si="77"/>
        <v>2500-12-31 00:00:00.0</v>
      </c>
      <c r="V316" t="s">
        <v>837</v>
      </c>
      <c r="W316" t="str">
        <f>"048314-070417-**-**"</f>
        <v>048314-070417-**-**</v>
      </c>
      <c r="X316" t="s">
        <v>838</v>
      </c>
      <c r="Y316">
        <v>1125</v>
      </c>
      <c r="Z316">
        <v>1125</v>
      </c>
      <c r="AA316" t="str">
        <f t="shared" si="83"/>
        <v>06/08/2016</v>
      </c>
    </row>
    <row r="317" spans="1:27" x14ac:dyDescent="0.3">
      <c r="A317" t="str">
        <f t="shared" si="70"/>
        <v>048314</v>
      </c>
      <c r="B317" t="str">
        <f t="shared" si="75"/>
        <v>004697</v>
      </c>
      <c r="C317" t="s">
        <v>1258</v>
      </c>
      <c r="D317" t="s">
        <v>3839</v>
      </c>
      <c r="E317" t="s">
        <v>3840</v>
      </c>
      <c r="F317" t="s">
        <v>3841</v>
      </c>
      <c r="G317" t="s">
        <v>3842</v>
      </c>
      <c r="H317" t="str">
        <f t="shared" si="81"/>
        <v>048314</v>
      </c>
      <c r="I317" t="s">
        <v>833</v>
      </c>
      <c r="J317" t="str">
        <f t="shared" si="85"/>
        <v>2015-07-01 00:00:00.0</v>
      </c>
      <c r="K317" t="s">
        <v>834</v>
      </c>
      <c r="L317" t="s">
        <v>0</v>
      </c>
      <c r="M317" t="str">
        <f t="shared" si="80"/>
        <v>048314</v>
      </c>
      <c r="N317">
        <v>1</v>
      </c>
      <c r="O317">
        <v>1</v>
      </c>
      <c r="P317" t="str">
        <f>"02"</f>
        <v>02</v>
      </c>
      <c r="Q317" t="s">
        <v>835</v>
      </c>
      <c r="S317" t="s">
        <v>836</v>
      </c>
      <c r="T317" t="s">
        <v>836</v>
      </c>
      <c r="U317" t="str">
        <f t="shared" si="77"/>
        <v>2500-12-31 00:00:00.0</v>
      </c>
      <c r="V317" t="s">
        <v>837</v>
      </c>
      <c r="W317" t="str">
        <f>"048314-004697-**-**"</f>
        <v>048314-004697-**-**</v>
      </c>
      <c r="X317" t="s">
        <v>838</v>
      </c>
      <c r="Y317">
        <v>1206.25</v>
      </c>
      <c r="Z317">
        <v>1206.25</v>
      </c>
      <c r="AA317" t="str">
        <f t="shared" si="83"/>
        <v>06/08/2016</v>
      </c>
    </row>
    <row r="318" spans="1:27" x14ac:dyDescent="0.3">
      <c r="A318" t="str">
        <f t="shared" si="70"/>
        <v>048314</v>
      </c>
      <c r="B318" t="str">
        <f t="shared" si="75"/>
        <v>004697</v>
      </c>
      <c r="C318" t="s">
        <v>3567</v>
      </c>
      <c r="D318" t="s">
        <v>3839</v>
      </c>
      <c r="E318" t="s">
        <v>3840</v>
      </c>
      <c r="F318" t="s">
        <v>3841</v>
      </c>
      <c r="G318" t="s">
        <v>3842</v>
      </c>
      <c r="H318" t="str">
        <f t="shared" si="81"/>
        <v>048314</v>
      </c>
      <c r="I318" t="s">
        <v>833</v>
      </c>
      <c r="J318" t="str">
        <f t="shared" si="85"/>
        <v>2015-07-01 00:00:00.0</v>
      </c>
      <c r="K318" t="s">
        <v>834</v>
      </c>
      <c r="L318" t="s">
        <v>0</v>
      </c>
      <c r="M318" t="str">
        <f t="shared" si="80"/>
        <v>048314</v>
      </c>
      <c r="N318">
        <v>1</v>
      </c>
      <c r="O318">
        <v>1</v>
      </c>
      <c r="P318" t="str">
        <f>"03"</f>
        <v>03</v>
      </c>
      <c r="Q318" t="s">
        <v>835</v>
      </c>
      <c r="S318" t="s">
        <v>836</v>
      </c>
      <c r="T318" t="s">
        <v>836</v>
      </c>
      <c r="U318" t="str">
        <f t="shared" si="77"/>
        <v>2500-12-31 00:00:00.0</v>
      </c>
      <c r="V318" t="s">
        <v>837</v>
      </c>
      <c r="W318" t="str">
        <f>"048314-004697-**-**"</f>
        <v>048314-004697-**-**</v>
      </c>
      <c r="X318" t="s">
        <v>838</v>
      </c>
      <c r="Y318">
        <v>1206.25</v>
      </c>
      <c r="Z318">
        <v>1206.25</v>
      </c>
      <c r="AA318" t="str">
        <f t="shared" si="83"/>
        <v>06/08/2016</v>
      </c>
    </row>
    <row r="319" spans="1:27" x14ac:dyDescent="0.3">
      <c r="A319" t="str">
        <f t="shared" si="70"/>
        <v>048314</v>
      </c>
      <c r="B319" t="str">
        <f t="shared" si="75"/>
        <v>004697</v>
      </c>
      <c r="C319" t="s">
        <v>3275</v>
      </c>
      <c r="D319" t="s">
        <v>3839</v>
      </c>
      <c r="E319" t="s">
        <v>3840</v>
      </c>
      <c r="F319" t="s">
        <v>3841</v>
      </c>
      <c r="G319" t="s">
        <v>3842</v>
      </c>
      <c r="H319" t="str">
        <f t="shared" si="81"/>
        <v>048314</v>
      </c>
      <c r="I319" t="s">
        <v>833</v>
      </c>
      <c r="J319" t="str">
        <f t="shared" si="85"/>
        <v>2015-07-01 00:00:00.0</v>
      </c>
      <c r="K319" t="s">
        <v>834</v>
      </c>
      <c r="L319" t="s">
        <v>0</v>
      </c>
      <c r="M319" t="str">
        <f t="shared" si="80"/>
        <v>048314</v>
      </c>
      <c r="N319">
        <v>1</v>
      </c>
      <c r="O319">
        <v>1</v>
      </c>
      <c r="P319" t="str">
        <f>"05"</f>
        <v>05</v>
      </c>
      <c r="Q319" t="s">
        <v>835</v>
      </c>
      <c r="S319" t="s">
        <v>836</v>
      </c>
      <c r="T319" t="s">
        <v>836</v>
      </c>
      <c r="U319" t="str">
        <f t="shared" si="77"/>
        <v>2500-12-31 00:00:00.0</v>
      </c>
      <c r="V319" t="s">
        <v>837</v>
      </c>
      <c r="W319" t="str">
        <f>"048314-070417-**-**"</f>
        <v>048314-070417-**-**</v>
      </c>
      <c r="X319" t="s">
        <v>838</v>
      </c>
      <c r="Y319">
        <v>1125</v>
      </c>
      <c r="Z319">
        <v>1125</v>
      </c>
      <c r="AA319" t="str">
        <f t="shared" si="83"/>
        <v>06/08/2016</v>
      </c>
    </row>
    <row r="320" spans="1:27" x14ac:dyDescent="0.3">
      <c r="A320" t="str">
        <f t="shared" si="70"/>
        <v>048314</v>
      </c>
      <c r="B320" t="str">
        <f t="shared" si="75"/>
        <v>004697</v>
      </c>
      <c r="C320" t="s">
        <v>3722</v>
      </c>
      <c r="D320" t="s">
        <v>3839</v>
      </c>
      <c r="E320" t="s">
        <v>3840</v>
      </c>
      <c r="F320" t="s">
        <v>3841</v>
      </c>
      <c r="G320" t="s">
        <v>3842</v>
      </c>
      <c r="H320" t="str">
        <f t="shared" si="81"/>
        <v>048314</v>
      </c>
      <c r="I320" t="s">
        <v>833</v>
      </c>
      <c r="J320" t="str">
        <f t="shared" si="85"/>
        <v>2015-07-01 00:00:00.0</v>
      </c>
      <c r="K320" t="s">
        <v>834</v>
      </c>
      <c r="L320" t="s">
        <v>0</v>
      </c>
      <c r="M320" t="str">
        <f t="shared" si="80"/>
        <v>048314</v>
      </c>
      <c r="N320">
        <v>1</v>
      </c>
      <c r="O320">
        <v>1</v>
      </c>
      <c r="P320" t="str">
        <f>"02"</f>
        <v>02</v>
      </c>
      <c r="Q320" t="s">
        <v>835</v>
      </c>
      <c r="S320" t="s">
        <v>836</v>
      </c>
      <c r="T320" t="s">
        <v>836</v>
      </c>
      <c r="U320" t="str">
        <f t="shared" si="77"/>
        <v>2500-12-31 00:00:00.0</v>
      </c>
      <c r="V320" t="s">
        <v>837</v>
      </c>
      <c r="W320" t="str">
        <f t="shared" ref="W320:W327" si="86">"048314-004697-**-**"</f>
        <v>048314-004697-**-**</v>
      </c>
      <c r="X320" t="s">
        <v>838</v>
      </c>
      <c r="Y320">
        <v>1206.25</v>
      </c>
      <c r="Z320">
        <v>1206.25</v>
      </c>
      <c r="AA320" t="str">
        <f t="shared" si="83"/>
        <v>06/08/2016</v>
      </c>
    </row>
    <row r="321" spans="1:27" x14ac:dyDescent="0.3">
      <c r="A321" t="str">
        <f t="shared" si="70"/>
        <v>048314</v>
      </c>
      <c r="B321" t="str">
        <f t="shared" si="75"/>
        <v>004697</v>
      </c>
      <c r="C321" t="s">
        <v>3193</v>
      </c>
      <c r="D321" t="s">
        <v>3839</v>
      </c>
      <c r="E321" t="s">
        <v>3840</v>
      </c>
      <c r="F321" t="s">
        <v>3841</v>
      </c>
      <c r="G321" t="s">
        <v>3842</v>
      </c>
      <c r="H321" t="str">
        <f t="shared" si="81"/>
        <v>048314</v>
      </c>
      <c r="I321" t="s">
        <v>833</v>
      </c>
      <c r="J321" t="str">
        <f t="shared" si="85"/>
        <v>2015-07-01 00:00:00.0</v>
      </c>
      <c r="K321" t="s">
        <v>834</v>
      </c>
      <c r="L321" t="s">
        <v>0</v>
      </c>
      <c r="M321" t="str">
        <f t="shared" si="80"/>
        <v>048314</v>
      </c>
      <c r="N321">
        <v>1</v>
      </c>
      <c r="O321">
        <v>1</v>
      </c>
      <c r="P321" t="str">
        <f>"03"</f>
        <v>03</v>
      </c>
      <c r="Q321" t="s">
        <v>835</v>
      </c>
      <c r="S321" t="s">
        <v>836</v>
      </c>
      <c r="T321" t="s">
        <v>836</v>
      </c>
      <c r="U321" t="str">
        <f t="shared" si="77"/>
        <v>2500-12-31 00:00:00.0</v>
      </c>
      <c r="V321" t="s">
        <v>837</v>
      </c>
      <c r="W321" t="str">
        <f t="shared" si="86"/>
        <v>048314-004697-**-**</v>
      </c>
      <c r="X321" t="s">
        <v>838</v>
      </c>
      <c r="Y321">
        <v>1206.25</v>
      </c>
      <c r="Z321">
        <v>1206.25</v>
      </c>
      <c r="AA321" t="str">
        <f t="shared" si="83"/>
        <v>06/08/2016</v>
      </c>
    </row>
    <row r="322" spans="1:27" x14ac:dyDescent="0.3">
      <c r="A322" t="str">
        <f t="shared" ref="A322:A385" si="87">"048314"</f>
        <v>048314</v>
      </c>
      <c r="B322" t="str">
        <f t="shared" si="75"/>
        <v>004697</v>
      </c>
      <c r="C322" t="s">
        <v>3665</v>
      </c>
      <c r="D322" t="s">
        <v>3839</v>
      </c>
      <c r="E322" t="s">
        <v>3840</v>
      </c>
      <c r="F322" t="s">
        <v>3841</v>
      </c>
      <c r="G322" t="s">
        <v>3842</v>
      </c>
      <c r="H322" t="str">
        <f t="shared" si="81"/>
        <v>048314</v>
      </c>
      <c r="I322" t="s">
        <v>833</v>
      </c>
      <c r="J322" t="str">
        <f>"2016-01-28 00:00:00.0"</f>
        <v>2016-01-28 00:00:00.0</v>
      </c>
      <c r="K322" t="s">
        <v>834</v>
      </c>
      <c r="L322" t="s">
        <v>0</v>
      </c>
      <c r="M322" t="str">
        <f t="shared" si="80"/>
        <v>048314</v>
      </c>
      <c r="N322">
        <v>0.47150300000000001</v>
      </c>
      <c r="O322">
        <v>0.47150300000000001</v>
      </c>
      <c r="P322" t="str">
        <f>"01"</f>
        <v>01</v>
      </c>
      <c r="Q322" t="s">
        <v>835</v>
      </c>
      <c r="S322" t="s">
        <v>860</v>
      </c>
      <c r="T322" t="s">
        <v>836</v>
      </c>
      <c r="U322" t="str">
        <f t="shared" si="77"/>
        <v>2500-12-31 00:00:00.0</v>
      </c>
      <c r="V322" t="s">
        <v>837</v>
      </c>
      <c r="W322" t="str">
        <f t="shared" si="86"/>
        <v>048314-004697-**-**</v>
      </c>
      <c r="X322" t="s">
        <v>838</v>
      </c>
      <c r="Y322">
        <v>568.75</v>
      </c>
      <c r="Z322">
        <v>1206.25</v>
      </c>
      <c r="AA322" t="str">
        <f t="shared" si="83"/>
        <v>06/08/2016</v>
      </c>
    </row>
    <row r="323" spans="1:27" x14ac:dyDescent="0.3">
      <c r="A323" t="str">
        <f t="shared" si="87"/>
        <v>048314</v>
      </c>
      <c r="B323" t="str">
        <f t="shared" si="75"/>
        <v>004697</v>
      </c>
      <c r="C323" t="s">
        <v>3665</v>
      </c>
      <c r="D323" t="s">
        <v>3839</v>
      </c>
      <c r="E323" t="s">
        <v>3840</v>
      </c>
      <c r="F323" t="s">
        <v>3841</v>
      </c>
      <c r="G323" t="s">
        <v>3842</v>
      </c>
      <c r="H323" t="str">
        <f t="shared" si="81"/>
        <v>048314</v>
      </c>
      <c r="I323" t="s">
        <v>833</v>
      </c>
      <c r="J323" t="str">
        <f>"2015-11-10 00:00:00.0"</f>
        <v>2015-11-10 00:00:00.0</v>
      </c>
      <c r="K323" t="s">
        <v>834</v>
      </c>
      <c r="L323" t="s">
        <v>0</v>
      </c>
      <c r="M323" t="str">
        <f t="shared" si="80"/>
        <v>048314</v>
      </c>
      <c r="N323">
        <v>0.26943</v>
      </c>
      <c r="O323">
        <v>0.26943</v>
      </c>
      <c r="P323" t="str">
        <f>"01"</f>
        <v>01</v>
      </c>
      <c r="Q323" t="s">
        <v>835</v>
      </c>
      <c r="S323" t="s">
        <v>860</v>
      </c>
      <c r="T323" t="s">
        <v>836</v>
      </c>
      <c r="U323" t="str">
        <f>"2016-01-27 00:00:00.0"</f>
        <v>2016-01-27 00:00:00.0</v>
      </c>
      <c r="V323" t="s">
        <v>837</v>
      </c>
      <c r="W323" t="str">
        <f t="shared" si="86"/>
        <v>048314-004697-**-**</v>
      </c>
      <c r="X323" t="s">
        <v>838</v>
      </c>
      <c r="Y323">
        <v>325</v>
      </c>
      <c r="Z323">
        <v>1206.25</v>
      </c>
      <c r="AA323" t="str">
        <f t="shared" si="83"/>
        <v>06/08/2016</v>
      </c>
    </row>
    <row r="324" spans="1:27" x14ac:dyDescent="0.3">
      <c r="A324" t="str">
        <f t="shared" si="87"/>
        <v>048314</v>
      </c>
      <c r="B324" t="str">
        <f t="shared" si="75"/>
        <v>004697</v>
      </c>
      <c r="C324" t="s">
        <v>3665</v>
      </c>
      <c r="D324" t="s">
        <v>3839</v>
      </c>
      <c r="E324" t="s">
        <v>3840</v>
      </c>
      <c r="F324" t="s">
        <v>3841</v>
      </c>
      <c r="G324" t="s">
        <v>3842</v>
      </c>
      <c r="H324" t="str">
        <f t="shared" si="81"/>
        <v>048314</v>
      </c>
      <c r="I324" t="s">
        <v>833</v>
      </c>
      <c r="J324" t="str">
        <f>"2015-07-01 00:00:00.0"</f>
        <v>2015-07-01 00:00:00.0</v>
      </c>
      <c r="K324" t="s">
        <v>834</v>
      </c>
      <c r="L324" t="s">
        <v>0</v>
      </c>
      <c r="M324" t="str">
        <f t="shared" si="80"/>
        <v>048314</v>
      </c>
      <c r="N324">
        <v>0.25906699999999999</v>
      </c>
      <c r="O324">
        <v>0.25906699999999999</v>
      </c>
      <c r="P324" t="str">
        <f>"01"</f>
        <v>01</v>
      </c>
      <c r="Q324" t="str">
        <f>"05"</f>
        <v>05</v>
      </c>
      <c r="R324" t="str">
        <f>"1"</f>
        <v>1</v>
      </c>
      <c r="S324" t="s">
        <v>860</v>
      </c>
      <c r="T324" t="s">
        <v>836</v>
      </c>
      <c r="U324" t="str">
        <f>"2015-11-09 00:00:00.0"</f>
        <v>2015-11-09 00:00:00.0</v>
      </c>
      <c r="V324" t="s">
        <v>837</v>
      </c>
      <c r="W324" t="str">
        <f t="shared" si="86"/>
        <v>048314-004697-**-**</v>
      </c>
      <c r="X324" t="s">
        <v>838</v>
      </c>
      <c r="Y324">
        <v>312.5</v>
      </c>
      <c r="Z324">
        <v>1206.25</v>
      </c>
      <c r="AA324" t="str">
        <f t="shared" si="83"/>
        <v>06/08/2016</v>
      </c>
    </row>
    <row r="325" spans="1:27" x14ac:dyDescent="0.3">
      <c r="A325" t="str">
        <f t="shared" si="87"/>
        <v>048314</v>
      </c>
      <c r="B325" t="str">
        <f t="shared" si="75"/>
        <v>004697</v>
      </c>
      <c r="C325" t="s">
        <v>3596</v>
      </c>
      <c r="D325" t="s">
        <v>3839</v>
      </c>
      <c r="E325" t="s">
        <v>3840</v>
      </c>
      <c r="F325" t="s">
        <v>3841</v>
      </c>
      <c r="G325" t="s">
        <v>3842</v>
      </c>
      <c r="H325" t="str">
        <f t="shared" si="81"/>
        <v>048314</v>
      </c>
      <c r="I325" t="s">
        <v>833</v>
      </c>
      <c r="J325" t="str">
        <f>"2015-07-01 00:00:00.0"</f>
        <v>2015-07-01 00:00:00.0</v>
      </c>
      <c r="K325" t="s">
        <v>834</v>
      </c>
      <c r="L325" t="s">
        <v>0</v>
      </c>
      <c r="M325" t="str">
        <f t="shared" si="80"/>
        <v>048314</v>
      </c>
      <c r="N325">
        <v>1</v>
      </c>
      <c r="O325">
        <v>1</v>
      </c>
      <c r="P325" t="str">
        <f>"04"</f>
        <v>04</v>
      </c>
      <c r="Q325" t="s">
        <v>835</v>
      </c>
      <c r="S325" t="s">
        <v>836</v>
      </c>
      <c r="T325" t="s">
        <v>836</v>
      </c>
      <c r="U325" t="str">
        <f t="shared" ref="U325:U356" si="88">"2500-12-31 00:00:00.0"</f>
        <v>2500-12-31 00:00:00.0</v>
      </c>
      <c r="V325" t="s">
        <v>837</v>
      </c>
      <c r="W325" t="str">
        <f t="shared" si="86"/>
        <v>048314-004697-**-**</v>
      </c>
      <c r="X325" t="s">
        <v>838</v>
      </c>
      <c r="Y325">
        <v>1206.25</v>
      </c>
      <c r="Z325">
        <v>1206.25</v>
      </c>
      <c r="AA325" t="str">
        <f t="shared" si="83"/>
        <v>06/08/2016</v>
      </c>
    </row>
    <row r="326" spans="1:27" x14ac:dyDescent="0.3">
      <c r="A326" t="str">
        <f t="shared" si="87"/>
        <v>048314</v>
      </c>
      <c r="B326" t="str">
        <f t="shared" si="75"/>
        <v>004697</v>
      </c>
      <c r="C326" t="s">
        <v>853</v>
      </c>
      <c r="D326" t="s">
        <v>3839</v>
      </c>
      <c r="E326" t="s">
        <v>3840</v>
      </c>
      <c r="F326" t="s">
        <v>3841</v>
      </c>
      <c r="G326" t="s">
        <v>3842</v>
      </c>
      <c r="H326" t="str">
        <f t="shared" si="81"/>
        <v>048314</v>
      </c>
      <c r="I326" t="s">
        <v>833</v>
      </c>
      <c r="J326" t="str">
        <f>"2015-07-01 00:00:00.0"</f>
        <v>2015-07-01 00:00:00.0</v>
      </c>
      <c r="K326" t="s">
        <v>834</v>
      </c>
      <c r="L326" t="s">
        <v>0</v>
      </c>
      <c r="M326" t="str">
        <f t="shared" si="80"/>
        <v>048314</v>
      </c>
      <c r="N326">
        <v>1</v>
      </c>
      <c r="O326">
        <v>1</v>
      </c>
      <c r="P326" t="str">
        <f>"03"</f>
        <v>03</v>
      </c>
      <c r="Q326" t="s">
        <v>835</v>
      </c>
      <c r="S326" t="s">
        <v>836</v>
      </c>
      <c r="T326" t="s">
        <v>836</v>
      </c>
      <c r="U326" t="str">
        <f t="shared" si="88"/>
        <v>2500-12-31 00:00:00.0</v>
      </c>
      <c r="V326" t="s">
        <v>837</v>
      </c>
      <c r="W326" t="str">
        <f t="shared" si="86"/>
        <v>048314-004697-**-**</v>
      </c>
      <c r="X326" t="s">
        <v>838</v>
      </c>
      <c r="Y326">
        <v>1206.25</v>
      </c>
      <c r="Z326">
        <v>1206.25</v>
      </c>
      <c r="AA326" t="str">
        <f t="shared" si="83"/>
        <v>06/08/2016</v>
      </c>
    </row>
    <row r="327" spans="1:27" x14ac:dyDescent="0.3">
      <c r="A327" t="str">
        <f t="shared" si="87"/>
        <v>048314</v>
      </c>
      <c r="B327" t="str">
        <f t="shared" si="75"/>
        <v>004697</v>
      </c>
      <c r="C327" t="s">
        <v>1099</v>
      </c>
      <c r="D327" t="s">
        <v>3839</v>
      </c>
      <c r="E327" t="s">
        <v>3840</v>
      </c>
      <c r="F327" t="s">
        <v>3841</v>
      </c>
      <c r="G327" t="s">
        <v>3842</v>
      </c>
      <c r="H327" t="str">
        <f t="shared" si="81"/>
        <v>048314</v>
      </c>
      <c r="I327" t="s">
        <v>833</v>
      </c>
      <c r="J327" t="str">
        <f>"2015-07-01 00:00:00.0"</f>
        <v>2015-07-01 00:00:00.0</v>
      </c>
      <c r="K327" t="s">
        <v>834</v>
      </c>
      <c r="L327" t="s">
        <v>0</v>
      </c>
      <c r="M327" t="str">
        <f t="shared" si="80"/>
        <v>048314</v>
      </c>
      <c r="N327">
        <v>1</v>
      </c>
      <c r="O327">
        <v>1</v>
      </c>
      <c r="P327" t="str">
        <f>"02"</f>
        <v>02</v>
      </c>
      <c r="Q327" t="s">
        <v>835</v>
      </c>
      <c r="S327" t="s">
        <v>836</v>
      </c>
      <c r="T327" t="s">
        <v>836</v>
      </c>
      <c r="U327" t="str">
        <f t="shared" si="88"/>
        <v>2500-12-31 00:00:00.0</v>
      </c>
      <c r="V327" t="s">
        <v>837</v>
      </c>
      <c r="W327" t="str">
        <f t="shared" si="86"/>
        <v>048314-004697-**-**</v>
      </c>
      <c r="X327" t="s">
        <v>838</v>
      </c>
      <c r="Y327">
        <v>1206.25</v>
      </c>
      <c r="Z327">
        <v>1206.25</v>
      </c>
      <c r="AA327" t="str">
        <f t="shared" si="83"/>
        <v>06/08/2016</v>
      </c>
    </row>
    <row r="328" spans="1:27" x14ac:dyDescent="0.3">
      <c r="A328" t="str">
        <f t="shared" si="87"/>
        <v>048314</v>
      </c>
      <c r="B328" t="str">
        <f t="shared" si="75"/>
        <v>004697</v>
      </c>
      <c r="C328" t="s">
        <v>3075</v>
      </c>
      <c r="D328" t="s">
        <v>3839</v>
      </c>
      <c r="E328" t="s">
        <v>3840</v>
      </c>
      <c r="F328" t="s">
        <v>3841</v>
      </c>
      <c r="G328" t="s">
        <v>3842</v>
      </c>
      <c r="H328" t="str">
        <f t="shared" si="81"/>
        <v>048314</v>
      </c>
      <c r="I328" t="s">
        <v>833</v>
      </c>
      <c r="J328" t="str">
        <f>"2015-07-01 00:00:00.0"</f>
        <v>2015-07-01 00:00:00.0</v>
      </c>
      <c r="K328" t="s">
        <v>834</v>
      </c>
      <c r="L328" t="s">
        <v>0</v>
      </c>
      <c r="M328" t="str">
        <f t="shared" si="80"/>
        <v>048314</v>
      </c>
      <c r="N328">
        <v>1</v>
      </c>
      <c r="O328">
        <v>1</v>
      </c>
      <c r="P328" t="str">
        <f>"05"</f>
        <v>05</v>
      </c>
      <c r="Q328" t="s">
        <v>835</v>
      </c>
      <c r="S328" t="s">
        <v>836</v>
      </c>
      <c r="T328" t="s">
        <v>836</v>
      </c>
      <c r="U328" t="str">
        <f t="shared" si="88"/>
        <v>2500-12-31 00:00:00.0</v>
      </c>
      <c r="V328" t="s">
        <v>837</v>
      </c>
      <c r="W328" t="str">
        <f>"048314-070417-**-**"</f>
        <v>048314-070417-**-**</v>
      </c>
      <c r="X328" t="s">
        <v>838</v>
      </c>
      <c r="Y328">
        <v>1125</v>
      </c>
      <c r="Z328">
        <v>1125</v>
      </c>
      <c r="AA328" t="str">
        <f t="shared" si="83"/>
        <v>06/08/2016</v>
      </c>
    </row>
    <row r="329" spans="1:27" x14ac:dyDescent="0.3">
      <c r="A329" t="str">
        <f t="shared" si="87"/>
        <v>048314</v>
      </c>
      <c r="B329" t="str">
        <f t="shared" si="75"/>
        <v>004697</v>
      </c>
      <c r="C329" t="s">
        <v>3476</v>
      </c>
      <c r="D329" t="s">
        <v>3839</v>
      </c>
      <c r="E329" t="s">
        <v>3840</v>
      </c>
      <c r="F329" t="s">
        <v>3841</v>
      </c>
      <c r="G329" t="s">
        <v>3842</v>
      </c>
      <c r="H329" t="str">
        <f t="shared" si="81"/>
        <v>048314</v>
      </c>
      <c r="I329" t="s">
        <v>833</v>
      </c>
      <c r="J329" t="str">
        <f>"2015-08-19 00:00:00.0"</f>
        <v>2015-08-19 00:00:00.0</v>
      </c>
      <c r="K329" t="s">
        <v>834</v>
      </c>
      <c r="L329" t="s">
        <v>0</v>
      </c>
      <c r="M329" t="str">
        <f t="shared" si="80"/>
        <v>048314</v>
      </c>
      <c r="N329">
        <v>1</v>
      </c>
      <c r="O329">
        <v>1</v>
      </c>
      <c r="P329" t="str">
        <f>"02"</f>
        <v>02</v>
      </c>
      <c r="Q329" t="s">
        <v>835</v>
      </c>
      <c r="S329" t="s">
        <v>836</v>
      </c>
      <c r="T329" t="s">
        <v>836</v>
      </c>
      <c r="U329" t="str">
        <f t="shared" si="88"/>
        <v>2500-12-31 00:00:00.0</v>
      </c>
      <c r="V329" t="s">
        <v>837</v>
      </c>
      <c r="W329" t="str">
        <f>"048314-004697-**-**"</f>
        <v>048314-004697-**-**</v>
      </c>
      <c r="X329" t="s">
        <v>838</v>
      </c>
      <c r="Y329">
        <v>1206.25</v>
      </c>
      <c r="Z329">
        <v>1206.25</v>
      </c>
      <c r="AA329" t="str">
        <f t="shared" si="83"/>
        <v>06/08/2016</v>
      </c>
    </row>
    <row r="330" spans="1:27" x14ac:dyDescent="0.3">
      <c r="A330" t="str">
        <f t="shared" si="87"/>
        <v>048314</v>
      </c>
      <c r="B330" t="str">
        <f t="shared" si="75"/>
        <v>004697</v>
      </c>
      <c r="C330" t="s">
        <v>994</v>
      </c>
      <c r="D330" t="s">
        <v>3839</v>
      </c>
      <c r="E330" t="s">
        <v>3840</v>
      </c>
      <c r="F330" t="s">
        <v>3841</v>
      </c>
      <c r="G330" t="s">
        <v>3842</v>
      </c>
      <c r="H330" t="str">
        <f>"048363"</f>
        <v>048363</v>
      </c>
      <c r="I330" t="s">
        <v>833</v>
      </c>
      <c r="J330" t="str">
        <f>"2015-07-01 00:00:00.0"</f>
        <v>2015-07-01 00:00:00.0</v>
      </c>
      <c r="K330" t="s">
        <v>834</v>
      </c>
      <c r="L330" t="s">
        <v>1</v>
      </c>
      <c r="M330" t="str">
        <f t="shared" si="80"/>
        <v>048314</v>
      </c>
      <c r="N330">
        <v>1</v>
      </c>
      <c r="O330">
        <v>1</v>
      </c>
      <c r="P330" t="str">
        <f>"05"</f>
        <v>05</v>
      </c>
      <c r="Q330" t="s">
        <v>835</v>
      </c>
      <c r="S330" t="s">
        <v>836</v>
      </c>
      <c r="T330" t="s">
        <v>836</v>
      </c>
      <c r="U330" t="str">
        <f t="shared" si="88"/>
        <v>2500-12-31 00:00:00.0</v>
      </c>
      <c r="V330" t="s">
        <v>837</v>
      </c>
      <c r="W330" t="str">
        <f>"048363-014522-**-**"</f>
        <v>048363-014522-**-**</v>
      </c>
      <c r="X330" t="s">
        <v>838</v>
      </c>
      <c r="Y330">
        <v>1127</v>
      </c>
      <c r="Z330">
        <v>1127</v>
      </c>
      <c r="AA330" t="str">
        <f>"06/15/2016"</f>
        <v>06/15/2016</v>
      </c>
    </row>
    <row r="331" spans="1:27" x14ac:dyDescent="0.3">
      <c r="A331" t="str">
        <f t="shared" si="87"/>
        <v>048314</v>
      </c>
      <c r="B331" t="str">
        <f t="shared" si="75"/>
        <v>004697</v>
      </c>
      <c r="C331" t="s">
        <v>1509</v>
      </c>
      <c r="D331" t="s">
        <v>3839</v>
      </c>
      <c r="E331" t="s">
        <v>3840</v>
      </c>
      <c r="F331" t="s">
        <v>3841</v>
      </c>
      <c r="G331" t="s">
        <v>3842</v>
      </c>
      <c r="H331" t="str">
        <f t="shared" ref="H331:H339" si="89">"048314"</f>
        <v>048314</v>
      </c>
      <c r="I331" t="s">
        <v>833</v>
      </c>
      <c r="J331" t="str">
        <f>"2015-07-01 00:00:00.0"</f>
        <v>2015-07-01 00:00:00.0</v>
      </c>
      <c r="K331" t="s">
        <v>834</v>
      </c>
      <c r="L331" t="s">
        <v>0</v>
      </c>
      <c r="M331" t="str">
        <f t="shared" si="80"/>
        <v>048314</v>
      </c>
      <c r="N331">
        <v>1</v>
      </c>
      <c r="O331">
        <v>1</v>
      </c>
      <c r="P331" t="str">
        <f>"02"</f>
        <v>02</v>
      </c>
      <c r="Q331" t="s">
        <v>835</v>
      </c>
      <c r="S331" t="s">
        <v>836</v>
      </c>
      <c r="T331" t="s">
        <v>836</v>
      </c>
      <c r="U331" t="str">
        <f t="shared" si="88"/>
        <v>2500-12-31 00:00:00.0</v>
      </c>
      <c r="V331" t="s">
        <v>837</v>
      </c>
      <c r="W331" t="str">
        <f>"048314-004697-**-**"</f>
        <v>048314-004697-**-**</v>
      </c>
      <c r="X331" t="s">
        <v>838</v>
      </c>
      <c r="Y331">
        <v>1206.25</v>
      </c>
      <c r="Z331">
        <v>1206.25</v>
      </c>
      <c r="AA331" t="str">
        <f t="shared" ref="AA331:AA339" si="90">"06/08/2016"</f>
        <v>06/08/2016</v>
      </c>
    </row>
    <row r="332" spans="1:27" x14ac:dyDescent="0.3">
      <c r="A332" t="str">
        <f t="shared" si="87"/>
        <v>048314</v>
      </c>
      <c r="B332" t="str">
        <f t="shared" si="75"/>
        <v>004697</v>
      </c>
      <c r="C332" t="s">
        <v>2881</v>
      </c>
      <c r="D332" t="s">
        <v>3839</v>
      </c>
      <c r="E332" t="s">
        <v>3840</v>
      </c>
      <c r="F332" t="s">
        <v>3841</v>
      </c>
      <c r="G332" t="s">
        <v>3842</v>
      </c>
      <c r="H332" t="str">
        <f t="shared" si="89"/>
        <v>048314</v>
      </c>
      <c r="I332" t="s">
        <v>833</v>
      </c>
      <c r="J332" t="str">
        <f>"2015-07-01 00:00:00.0"</f>
        <v>2015-07-01 00:00:00.0</v>
      </c>
      <c r="K332" t="s">
        <v>834</v>
      </c>
      <c r="L332" t="s">
        <v>0</v>
      </c>
      <c r="M332" t="str">
        <f t="shared" si="80"/>
        <v>048314</v>
      </c>
      <c r="N332">
        <v>1</v>
      </c>
      <c r="O332">
        <v>1</v>
      </c>
      <c r="P332" t="str">
        <f>"05"</f>
        <v>05</v>
      </c>
      <c r="Q332" t="s">
        <v>835</v>
      </c>
      <c r="S332" t="s">
        <v>836</v>
      </c>
      <c r="T332" t="s">
        <v>836</v>
      </c>
      <c r="U332" t="str">
        <f t="shared" si="88"/>
        <v>2500-12-31 00:00:00.0</v>
      </c>
      <c r="V332" t="s">
        <v>837</v>
      </c>
      <c r="W332" t="str">
        <f>"048314-070417-**-**"</f>
        <v>048314-070417-**-**</v>
      </c>
      <c r="X332" t="s">
        <v>838</v>
      </c>
      <c r="Y332">
        <v>1125</v>
      </c>
      <c r="Z332">
        <v>1125</v>
      </c>
      <c r="AA332" t="str">
        <f t="shared" si="90"/>
        <v>06/08/2016</v>
      </c>
    </row>
    <row r="333" spans="1:27" x14ac:dyDescent="0.3">
      <c r="A333" t="str">
        <f t="shared" si="87"/>
        <v>048314</v>
      </c>
      <c r="B333" t="str">
        <f t="shared" si="75"/>
        <v>004697</v>
      </c>
      <c r="C333" t="s">
        <v>3322</v>
      </c>
      <c r="D333" t="s">
        <v>3839</v>
      </c>
      <c r="E333" t="s">
        <v>3840</v>
      </c>
      <c r="F333" t="s">
        <v>3841</v>
      </c>
      <c r="G333" t="s">
        <v>3842</v>
      </c>
      <c r="H333" t="str">
        <f t="shared" si="89"/>
        <v>048314</v>
      </c>
      <c r="I333" t="s">
        <v>833</v>
      </c>
      <c r="J333" t="str">
        <f>"2015-07-01 00:00:00.0"</f>
        <v>2015-07-01 00:00:00.0</v>
      </c>
      <c r="K333" t="s">
        <v>834</v>
      </c>
      <c r="L333" t="s">
        <v>0</v>
      </c>
      <c r="M333" t="str">
        <f t="shared" si="80"/>
        <v>048314</v>
      </c>
      <c r="N333">
        <v>1</v>
      </c>
      <c r="O333">
        <v>1</v>
      </c>
      <c r="P333" t="str">
        <f>"04"</f>
        <v>04</v>
      </c>
      <c r="Q333" t="s">
        <v>835</v>
      </c>
      <c r="S333" t="s">
        <v>836</v>
      </c>
      <c r="T333" t="s">
        <v>836</v>
      </c>
      <c r="U333" t="str">
        <f t="shared" si="88"/>
        <v>2500-12-31 00:00:00.0</v>
      </c>
      <c r="V333" t="s">
        <v>837</v>
      </c>
      <c r="W333" t="str">
        <f>"048314-004697-**-**"</f>
        <v>048314-004697-**-**</v>
      </c>
      <c r="X333" t="s">
        <v>838</v>
      </c>
      <c r="Y333">
        <v>1206.25</v>
      </c>
      <c r="Z333">
        <v>1206.25</v>
      </c>
      <c r="AA333" t="str">
        <f t="shared" si="90"/>
        <v>06/08/2016</v>
      </c>
    </row>
    <row r="334" spans="1:27" x14ac:dyDescent="0.3">
      <c r="A334" t="str">
        <f t="shared" si="87"/>
        <v>048314</v>
      </c>
      <c r="B334" t="str">
        <f t="shared" si="75"/>
        <v>004697</v>
      </c>
      <c r="C334" t="s">
        <v>3728</v>
      </c>
      <c r="D334" t="s">
        <v>3839</v>
      </c>
      <c r="E334" t="s">
        <v>3840</v>
      </c>
      <c r="F334" t="s">
        <v>3841</v>
      </c>
      <c r="G334" t="s">
        <v>3842</v>
      </c>
      <c r="H334" t="str">
        <f t="shared" si="89"/>
        <v>048314</v>
      </c>
      <c r="I334" t="s">
        <v>833</v>
      </c>
      <c r="J334" t="str">
        <f>"2015-07-01 00:00:00.0"</f>
        <v>2015-07-01 00:00:00.0</v>
      </c>
      <c r="K334" t="s">
        <v>834</v>
      </c>
      <c r="L334" t="s">
        <v>0</v>
      </c>
      <c r="M334" t="str">
        <f t="shared" si="80"/>
        <v>048314</v>
      </c>
      <c r="N334">
        <v>1</v>
      </c>
      <c r="O334">
        <v>1</v>
      </c>
      <c r="P334" t="str">
        <f>"03"</f>
        <v>03</v>
      </c>
      <c r="Q334" t="s">
        <v>835</v>
      </c>
      <c r="S334" t="s">
        <v>836</v>
      </c>
      <c r="T334" t="s">
        <v>836</v>
      </c>
      <c r="U334" t="str">
        <f t="shared" si="88"/>
        <v>2500-12-31 00:00:00.0</v>
      </c>
      <c r="V334" t="s">
        <v>837</v>
      </c>
      <c r="W334" t="str">
        <f>"048314-004697-**-**"</f>
        <v>048314-004697-**-**</v>
      </c>
      <c r="X334" t="s">
        <v>838</v>
      </c>
      <c r="Y334">
        <v>1206.25</v>
      </c>
      <c r="Z334">
        <v>1206.25</v>
      </c>
      <c r="AA334" t="str">
        <f t="shared" si="90"/>
        <v>06/08/2016</v>
      </c>
    </row>
    <row r="335" spans="1:27" x14ac:dyDescent="0.3">
      <c r="A335" t="str">
        <f t="shared" si="87"/>
        <v>048314</v>
      </c>
      <c r="B335" t="str">
        <f t="shared" si="75"/>
        <v>004697</v>
      </c>
      <c r="C335" t="s">
        <v>3178</v>
      </c>
      <c r="D335" t="s">
        <v>3839</v>
      </c>
      <c r="E335" t="s">
        <v>3840</v>
      </c>
      <c r="F335" t="s">
        <v>3841</v>
      </c>
      <c r="G335" t="s">
        <v>3842</v>
      </c>
      <c r="H335" t="str">
        <f t="shared" si="89"/>
        <v>048314</v>
      </c>
      <c r="I335" t="s">
        <v>833</v>
      </c>
      <c r="J335" t="str">
        <f>"2015-08-17 00:00:00.0"</f>
        <v>2015-08-17 00:00:00.0</v>
      </c>
      <c r="K335" t="s">
        <v>834</v>
      </c>
      <c r="L335" t="s">
        <v>0</v>
      </c>
      <c r="M335" t="str">
        <f t="shared" si="80"/>
        <v>048314</v>
      </c>
      <c r="N335">
        <v>1</v>
      </c>
      <c r="O335">
        <v>1</v>
      </c>
      <c r="P335" t="str">
        <f>"04"</f>
        <v>04</v>
      </c>
      <c r="Q335" t="s">
        <v>835</v>
      </c>
      <c r="S335" t="s">
        <v>836</v>
      </c>
      <c r="T335" t="s">
        <v>836</v>
      </c>
      <c r="U335" t="str">
        <f t="shared" si="88"/>
        <v>2500-12-31 00:00:00.0</v>
      </c>
      <c r="V335" t="s">
        <v>837</v>
      </c>
      <c r="W335" t="str">
        <f>"048314-004697-**-**"</f>
        <v>048314-004697-**-**</v>
      </c>
      <c r="X335" t="s">
        <v>838</v>
      </c>
      <c r="Y335">
        <v>1206.25</v>
      </c>
      <c r="Z335">
        <v>1206.25</v>
      </c>
      <c r="AA335" t="str">
        <f t="shared" si="90"/>
        <v>06/08/2016</v>
      </c>
    </row>
    <row r="336" spans="1:27" x14ac:dyDescent="0.3">
      <c r="A336" t="str">
        <f t="shared" si="87"/>
        <v>048314</v>
      </c>
      <c r="B336" t="str">
        <f t="shared" si="75"/>
        <v>004697</v>
      </c>
      <c r="C336" t="s">
        <v>3080</v>
      </c>
      <c r="D336" t="s">
        <v>3839</v>
      </c>
      <c r="E336" t="s">
        <v>3840</v>
      </c>
      <c r="F336" t="s">
        <v>3841</v>
      </c>
      <c r="G336" t="s">
        <v>3842</v>
      </c>
      <c r="H336" t="str">
        <f t="shared" si="89"/>
        <v>048314</v>
      </c>
      <c r="I336" t="s">
        <v>833</v>
      </c>
      <c r="J336" t="str">
        <f t="shared" ref="J336:J344" si="91">"2015-07-01 00:00:00.0"</f>
        <v>2015-07-01 00:00:00.0</v>
      </c>
      <c r="K336" t="s">
        <v>834</v>
      </c>
      <c r="L336" t="s">
        <v>0</v>
      </c>
      <c r="M336" t="str">
        <f t="shared" si="80"/>
        <v>048314</v>
      </c>
      <c r="N336">
        <v>1</v>
      </c>
      <c r="O336">
        <v>1</v>
      </c>
      <c r="P336" t="str">
        <f>"05"</f>
        <v>05</v>
      </c>
      <c r="Q336" t="s">
        <v>835</v>
      </c>
      <c r="S336" t="s">
        <v>836</v>
      </c>
      <c r="T336" t="s">
        <v>836</v>
      </c>
      <c r="U336" t="str">
        <f t="shared" si="88"/>
        <v>2500-12-31 00:00:00.0</v>
      </c>
      <c r="V336" t="s">
        <v>837</v>
      </c>
      <c r="W336" t="str">
        <f>"048314-070417-**-**"</f>
        <v>048314-070417-**-**</v>
      </c>
      <c r="X336" t="s">
        <v>838</v>
      </c>
      <c r="Y336">
        <v>1125</v>
      </c>
      <c r="Z336">
        <v>1125</v>
      </c>
      <c r="AA336" t="str">
        <f t="shared" si="90"/>
        <v>06/08/2016</v>
      </c>
    </row>
    <row r="337" spans="1:27" x14ac:dyDescent="0.3">
      <c r="A337" t="str">
        <f t="shared" si="87"/>
        <v>048314</v>
      </c>
      <c r="B337" t="str">
        <f t="shared" si="75"/>
        <v>004697</v>
      </c>
      <c r="C337" t="s">
        <v>2231</v>
      </c>
      <c r="D337" t="s">
        <v>3839</v>
      </c>
      <c r="E337" t="s">
        <v>3840</v>
      </c>
      <c r="F337" t="s">
        <v>3841</v>
      </c>
      <c r="G337" t="s">
        <v>3842</v>
      </c>
      <c r="H337" t="str">
        <f t="shared" si="89"/>
        <v>048314</v>
      </c>
      <c r="I337" t="s">
        <v>833</v>
      </c>
      <c r="J337" t="str">
        <f t="shared" si="91"/>
        <v>2015-07-01 00:00:00.0</v>
      </c>
      <c r="K337" t="s">
        <v>834</v>
      </c>
      <c r="L337" t="s">
        <v>0</v>
      </c>
      <c r="M337" t="str">
        <f t="shared" si="80"/>
        <v>048314</v>
      </c>
      <c r="N337">
        <v>1</v>
      </c>
      <c r="O337">
        <v>1</v>
      </c>
      <c r="P337" t="str">
        <f>"02"</f>
        <v>02</v>
      </c>
      <c r="Q337" t="s">
        <v>835</v>
      </c>
      <c r="S337" t="s">
        <v>836</v>
      </c>
      <c r="T337" t="s">
        <v>836</v>
      </c>
      <c r="U337" t="str">
        <f t="shared" si="88"/>
        <v>2500-12-31 00:00:00.0</v>
      </c>
      <c r="V337" t="s">
        <v>837</v>
      </c>
      <c r="W337" t="str">
        <f>"048314-004697-**-**"</f>
        <v>048314-004697-**-**</v>
      </c>
      <c r="X337" t="s">
        <v>838</v>
      </c>
      <c r="Y337">
        <v>1206.25</v>
      </c>
      <c r="Z337">
        <v>1206.25</v>
      </c>
      <c r="AA337" t="str">
        <f t="shared" si="90"/>
        <v>06/08/2016</v>
      </c>
    </row>
    <row r="338" spans="1:27" x14ac:dyDescent="0.3">
      <c r="A338" t="str">
        <f t="shared" si="87"/>
        <v>048314</v>
      </c>
      <c r="B338" t="str">
        <f t="shared" si="75"/>
        <v>004697</v>
      </c>
      <c r="C338" t="s">
        <v>2073</v>
      </c>
      <c r="D338" t="s">
        <v>3839</v>
      </c>
      <c r="E338" t="s">
        <v>3840</v>
      </c>
      <c r="F338" t="s">
        <v>3841</v>
      </c>
      <c r="G338" t="s">
        <v>3842</v>
      </c>
      <c r="H338" t="str">
        <f t="shared" si="89"/>
        <v>048314</v>
      </c>
      <c r="I338" t="s">
        <v>833</v>
      </c>
      <c r="J338" t="str">
        <f t="shared" si="91"/>
        <v>2015-07-01 00:00:00.0</v>
      </c>
      <c r="K338" t="s">
        <v>834</v>
      </c>
      <c r="L338" t="s">
        <v>0</v>
      </c>
      <c r="M338" t="str">
        <f t="shared" si="80"/>
        <v>048314</v>
      </c>
      <c r="N338">
        <v>1</v>
      </c>
      <c r="O338">
        <v>1</v>
      </c>
      <c r="P338" t="str">
        <f>"01"</f>
        <v>01</v>
      </c>
      <c r="Q338" t="s">
        <v>835</v>
      </c>
      <c r="S338" t="s">
        <v>836</v>
      </c>
      <c r="T338" t="s">
        <v>836</v>
      </c>
      <c r="U338" t="str">
        <f t="shared" si="88"/>
        <v>2500-12-31 00:00:00.0</v>
      </c>
      <c r="V338" t="s">
        <v>837</v>
      </c>
      <c r="W338" t="str">
        <f>"048314-004697-**-**"</f>
        <v>048314-004697-**-**</v>
      </c>
      <c r="X338" t="s">
        <v>838</v>
      </c>
      <c r="Y338">
        <v>1206.25</v>
      </c>
      <c r="Z338">
        <v>1206.25</v>
      </c>
      <c r="AA338" t="str">
        <f t="shared" si="90"/>
        <v>06/08/2016</v>
      </c>
    </row>
    <row r="339" spans="1:27" x14ac:dyDescent="0.3">
      <c r="A339" t="str">
        <f t="shared" si="87"/>
        <v>048314</v>
      </c>
      <c r="B339" t="str">
        <f t="shared" si="75"/>
        <v>004697</v>
      </c>
      <c r="C339" t="s">
        <v>3323</v>
      </c>
      <c r="D339" t="s">
        <v>3839</v>
      </c>
      <c r="E339" t="s">
        <v>3840</v>
      </c>
      <c r="F339" t="s">
        <v>3841</v>
      </c>
      <c r="G339" t="s">
        <v>3842</v>
      </c>
      <c r="H339" t="str">
        <f t="shared" si="89"/>
        <v>048314</v>
      </c>
      <c r="I339" t="s">
        <v>833</v>
      </c>
      <c r="J339" t="str">
        <f t="shared" si="91"/>
        <v>2015-07-01 00:00:00.0</v>
      </c>
      <c r="K339" t="s">
        <v>834</v>
      </c>
      <c r="L339" t="s">
        <v>0</v>
      </c>
      <c r="M339" t="str">
        <f t="shared" si="80"/>
        <v>048314</v>
      </c>
      <c r="N339">
        <v>1</v>
      </c>
      <c r="O339">
        <v>1</v>
      </c>
      <c r="P339" t="str">
        <f>"04"</f>
        <v>04</v>
      </c>
      <c r="Q339" t="s">
        <v>835</v>
      </c>
      <c r="S339" t="s">
        <v>836</v>
      </c>
      <c r="T339" t="s">
        <v>836</v>
      </c>
      <c r="U339" t="str">
        <f t="shared" si="88"/>
        <v>2500-12-31 00:00:00.0</v>
      </c>
      <c r="V339" t="s">
        <v>837</v>
      </c>
      <c r="W339" t="str">
        <f>"048314-004697-**-**"</f>
        <v>048314-004697-**-**</v>
      </c>
      <c r="X339" t="s">
        <v>838</v>
      </c>
      <c r="Y339">
        <v>1206.25</v>
      </c>
      <c r="Z339">
        <v>1206.25</v>
      </c>
      <c r="AA339" t="str">
        <f t="shared" si="90"/>
        <v>06/08/2016</v>
      </c>
    </row>
    <row r="340" spans="1:27" x14ac:dyDescent="0.3">
      <c r="A340" t="str">
        <f t="shared" si="87"/>
        <v>048314</v>
      </c>
      <c r="B340" t="str">
        <f t="shared" ref="B340:B403" si="92">"004697"</f>
        <v>004697</v>
      </c>
      <c r="C340" t="s">
        <v>2882</v>
      </c>
      <c r="D340" t="s">
        <v>3839</v>
      </c>
      <c r="E340" t="s">
        <v>3840</v>
      </c>
      <c r="F340" t="s">
        <v>3841</v>
      </c>
      <c r="G340" t="s">
        <v>3842</v>
      </c>
      <c r="H340" t="str">
        <f>"048363"</f>
        <v>048363</v>
      </c>
      <c r="I340" t="s">
        <v>833</v>
      </c>
      <c r="J340" t="str">
        <f t="shared" si="91"/>
        <v>2015-07-01 00:00:00.0</v>
      </c>
      <c r="K340" t="s">
        <v>834</v>
      </c>
      <c r="L340" t="s">
        <v>1</v>
      </c>
      <c r="M340" t="str">
        <f t="shared" si="80"/>
        <v>048314</v>
      </c>
      <c r="N340">
        <v>1</v>
      </c>
      <c r="O340">
        <v>1</v>
      </c>
      <c r="P340" t="str">
        <f>"05"</f>
        <v>05</v>
      </c>
      <c r="Q340" t="s">
        <v>835</v>
      </c>
      <c r="S340" t="s">
        <v>860</v>
      </c>
      <c r="T340" t="s">
        <v>836</v>
      </c>
      <c r="U340" t="str">
        <f t="shared" si="88"/>
        <v>2500-12-31 00:00:00.0</v>
      </c>
      <c r="V340" t="s">
        <v>837</v>
      </c>
      <c r="W340" t="str">
        <f>"048363-014522-**-**"</f>
        <v>048363-014522-**-**</v>
      </c>
      <c r="X340" t="s">
        <v>838</v>
      </c>
      <c r="Y340">
        <v>1127</v>
      </c>
      <c r="Z340">
        <v>1127</v>
      </c>
      <c r="AA340" t="str">
        <f>"06/15/2016"</f>
        <v>06/15/2016</v>
      </c>
    </row>
    <row r="341" spans="1:27" x14ac:dyDescent="0.3">
      <c r="A341" t="str">
        <f t="shared" si="87"/>
        <v>048314</v>
      </c>
      <c r="B341" t="str">
        <f t="shared" si="92"/>
        <v>004697</v>
      </c>
      <c r="C341" t="s">
        <v>2966</v>
      </c>
      <c r="D341" t="s">
        <v>3839</v>
      </c>
      <c r="E341" t="s">
        <v>3840</v>
      </c>
      <c r="F341" t="s">
        <v>3841</v>
      </c>
      <c r="G341" t="s">
        <v>3842</v>
      </c>
      <c r="H341" t="str">
        <f>"048363"</f>
        <v>048363</v>
      </c>
      <c r="I341" t="s">
        <v>833</v>
      </c>
      <c r="J341" t="str">
        <f t="shared" si="91"/>
        <v>2015-07-01 00:00:00.0</v>
      </c>
      <c r="K341" t="s">
        <v>834</v>
      </c>
      <c r="L341" t="s">
        <v>1</v>
      </c>
      <c r="M341" t="str">
        <f t="shared" si="80"/>
        <v>048314</v>
      </c>
      <c r="N341">
        <v>1</v>
      </c>
      <c r="O341">
        <v>1</v>
      </c>
      <c r="P341" t="str">
        <f>"01"</f>
        <v>01</v>
      </c>
      <c r="Q341" t="s">
        <v>835</v>
      </c>
      <c r="S341" t="s">
        <v>860</v>
      </c>
      <c r="T341" t="s">
        <v>836</v>
      </c>
      <c r="U341" t="str">
        <f t="shared" si="88"/>
        <v>2500-12-31 00:00:00.0</v>
      </c>
      <c r="V341" t="s">
        <v>837</v>
      </c>
      <c r="W341" t="str">
        <f>"048363-026211-**-**"</f>
        <v>048363-026211-**-**</v>
      </c>
      <c r="X341" t="s">
        <v>838</v>
      </c>
      <c r="Y341">
        <v>1127</v>
      </c>
      <c r="Z341">
        <v>1127</v>
      </c>
      <c r="AA341" t="str">
        <f>"06/15/2016"</f>
        <v>06/15/2016</v>
      </c>
    </row>
    <row r="342" spans="1:27" x14ac:dyDescent="0.3">
      <c r="A342" t="str">
        <f t="shared" si="87"/>
        <v>048314</v>
      </c>
      <c r="B342" t="str">
        <f t="shared" si="92"/>
        <v>004697</v>
      </c>
      <c r="C342" t="s">
        <v>2967</v>
      </c>
      <c r="D342" t="s">
        <v>3839</v>
      </c>
      <c r="E342" t="s">
        <v>3840</v>
      </c>
      <c r="F342" t="s">
        <v>3841</v>
      </c>
      <c r="G342" t="s">
        <v>3842</v>
      </c>
      <c r="H342" t="str">
        <f>"048363"</f>
        <v>048363</v>
      </c>
      <c r="I342" t="s">
        <v>833</v>
      </c>
      <c r="J342" t="str">
        <f t="shared" si="91"/>
        <v>2015-07-01 00:00:00.0</v>
      </c>
      <c r="K342" t="s">
        <v>834</v>
      </c>
      <c r="L342" t="s">
        <v>1</v>
      </c>
      <c r="M342" t="str">
        <f t="shared" si="80"/>
        <v>048314</v>
      </c>
      <c r="N342">
        <v>1</v>
      </c>
      <c r="O342">
        <v>1</v>
      </c>
      <c r="P342" t="str">
        <f>"01"</f>
        <v>01</v>
      </c>
      <c r="Q342" t="str">
        <f>"10"</f>
        <v>10</v>
      </c>
      <c r="R342" t="str">
        <f>"2"</f>
        <v>2</v>
      </c>
      <c r="S342" t="s">
        <v>860</v>
      </c>
      <c r="T342" t="s">
        <v>836</v>
      </c>
      <c r="U342" t="str">
        <f t="shared" si="88"/>
        <v>2500-12-31 00:00:00.0</v>
      </c>
      <c r="V342" t="s">
        <v>837</v>
      </c>
      <c r="W342" t="str">
        <f>"048363-026211-**-**"</f>
        <v>048363-026211-**-**</v>
      </c>
      <c r="X342" t="s">
        <v>838</v>
      </c>
      <c r="Y342">
        <v>1127</v>
      </c>
      <c r="Z342">
        <v>1127</v>
      </c>
      <c r="AA342" t="str">
        <f>"06/15/2016"</f>
        <v>06/15/2016</v>
      </c>
    </row>
    <row r="343" spans="1:27" x14ac:dyDescent="0.3">
      <c r="A343" t="str">
        <f t="shared" si="87"/>
        <v>048314</v>
      </c>
      <c r="B343" t="str">
        <f t="shared" si="92"/>
        <v>004697</v>
      </c>
      <c r="C343" t="s">
        <v>2968</v>
      </c>
      <c r="D343" t="s">
        <v>3839</v>
      </c>
      <c r="E343" t="s">
        <v>3840</v>
      </c>
      <c r="F343" t="s">
        <v>3841</v>
      </c>
      <c r="G343" t="s">
        <v>3842</v>
      </c>
      <c r="H343" t="str">
        <f>"048363"</f>
        <v>048363</v>
      </c>
      <c r="I343" t="s">
        <v>833</v>
      </c>
      <c r="J343" t="str">
        <f t="shared" si="91"/>
        <v>2015-07-01 00:00:00.0</v>
      </c>
      <c r="K343" t="s">
        <v>834</v>
      </c>
      <c r="L343" t="s">
        <v>1</v>
      </c>
      <c r="M343" t="str">
        <f t="shared" si="80"/>
        <v>048314</v>
      </c>
      <c r="N343">
        <v>1</v>
      </c>
      <c r="O343">
        <v>1</v>
      </c>
      <c r="P343" t="str">
        <f>"01"</f>
        <v>01</v>
      </c>
      <c r="Q343" t="s">
        <v>835</v>
      </c>
      <c r="S343" t="s">
        <v>860</v>
      </c>
      <c r="T343" t="s">
        <v>836</v>
      </c>
      <c r="U343" t="str">
        <f t="shared" si="88"/>
        <v>2500-12-31 00:00:00.0</v>
      </c>
      <c r="V343" t="s">
        <v>837</v>
      </c>
      <c r="W343" t="str">
        <f>"048363-026211-**-**"</f>
        <v>048363-026211-**-**</v>
      </c>
      <c r="X343" t="s">
        <v>838</v>
      </c>
      <c r="Y343">
        <v>1127</v>
      </c>
      <c r="Z343">
        <v>1127</v>
      </c>
      <c r="AA343" t="str">
        <f>"06/15/2016"</f>
        <v>06/15/2016</v>
      </c>
    </row>
    <row r="344" spans="1:27" x14ac:dyDescent="0.3">
      <c r="A344" t="str">
        <f t="shared" si="87"/>
        <v>048314</v>
      </c>
      <c r="B344" t="str">
        <f t="shared" si="92"/>
        <v>004697</v>
      </c>
      <c r="C344" t="s">
        <v>989</v>
      </c>
      <c r="D344" t="s">
        <v>3839</v>
      </c>
      <c r="E344" t="s">
        <v>3840</v>
      </c>
      <c r="F344" t="s">
        <v>3841</v>
      </c>
      <c r="G344" t="s">
        <v>3842</v>
      </c>
      <c r="H344" t="str">
        <f t="shared" ref="H344:H356" si="93">"048314"</f>
        <v>048314</v>
      </c>
      <c r="I344" t="s">
        <v>833</v>
      </c>
      <c r="J344" t="str">
        <f t="shared" si="91"/>
        <v>2015-07-01 00:00:00.0</v>
      </c>
      <c r="K344" t="s">
        <v>834</v>
      </c>
      <c r="L344" t="s">
        <v>0</v>
      </c>
      <c r="M344" t="str">
        <f t="shared" si="80"/>
        <v>048314</v>
      </c>
      <c r="N344">
        <v>1</v>
      </c>
      <c r="O344">
        <v>1</v>
      </c>
      <c r="P344" t="str">
        <f>"01"</f>
        <v>01</v>
      </c>
      <c r="Q344" t="s">
        <v>835</v>
      </c>
      <c r="S344" t="s">
        <v>836</v>
      </c>
      <c r="T344" t="s">
        <v>836</v>
      </c>
      <c r="U344" t="str">
        <f t="shared" si="88"/>
        <v>2500-12-31 00:00:00.0</v>
      </c>
      <c r="V344" t="s">
        <v>837</v>
      </c>
      <c r="W344" t="str">
        <f t="shared" ref="W344:W350" si="94">"048314-004697-**-**"</f>
        <v>048314-004697-**-**</v>
      </c>
      <c r="X344" t="s">
        <v>838</v>
      </c>
      <c r="Y344">
        <v>1206.25</v>
      </c>
      <c r="Z344">
        <v>1206.25</v>
      </c>
      <c r="AA344" t="str">
        <f t="shared" ref="AA344:AA356" si="95">"06/08/2016"</f>
        <v>06/08/2016</v>
      </c>
    </row>
    <row r="345" spans="1:27" x14ac:dyDescent="0.3">
      <c r="A345" t="str">
        <f t="shared" si="87"/>
        <v>048314</v>
      </c>
      <c r="B345" t="str">
        <f t="shared" si="92"/>
        <v>004697</v>
      </c>
      <c r="C345" t="s">
        <v>3235</v>
      </c>
      <c r="D345" t="s">
        <v>3839</v>
      </c>
      <c r="E345" t="s">
        <v>3840</v>
      </c>
      <c r="F345" t="s">
        <v>3841</v>
      </c>
      <c r="G345" t="s">
        <v>3842</v>
      </c>
      <c r="H345" t="str">
        <f t="shared" si="93"/>
        <v>048314</v>
      </c>
      <c r="I345" t="s">
        <v>833</v>
      </c>
      <c r="J345" t="str">
        <f>"2015-09-08 00:00:00.0"</f>
        <v>2015-09-08 00:00:00.0</v>
      </c>
      <c r="K345" t="s">
        <v>834</v>
      </c>
      <c r="L345" t="s">
        <v>0</v>
      </c>
      <c r="M345" t="str">
        <f t="shared" si="80"/>
        <v>048314</v>
      </c>
      <c r="N345">
        <v>0.97409299999999999</v>
      </c>
      <c r="O345">
        <v>0.97409299999999999</v>
      </c>
      <c r="P345" t="str">
        <f>"02"</f>
        <v>02</v>
      </c>
      <c r="Q345" t="s">
        <v>835</v>
      </c>
      <c r="S345" t="s">
        <v>860</v>
      </c>
      <c r="T345" t="s">
        <v>836</v>
      </c>
      <c r="U345" t="str">
        <f t="shared" si="88"/>
        <v>2500-12-31 00:00:00.0</v>
      </c>
      <c r="V345" t="s">
        <v>837</v>
      </c>
      <c r="W345" t="str">
        <f t="shared" si="94"/>
        <v>048314-004697-**-**</v>
      </c>
      <c r="X345" t="s">
        <v>838</v>
      </c>
      <c r="Y345">
        <v>1175</v>
      </c>
      <c r="Z345">
        <v>1206.25</v>
      </c>
      <c r="AA345" t="str">
        <f t="shared" si="95"/>
        <v>06/08/2016</v>
      </c>
    </row>
    <row r="346" spans="1:27" x14ac:dyDescent="0.3">
      <c r="A346" t="str">
        <f t="shared" si="87"/>
        <v>048314</v>
      </c>
      <c r="B346" t="str">
        <f t="shared" si="92"/>
        <v>004697</v>
      </c>
      <c r="C346" t="s">
        <v>3182</v>
      </c>
      <c r="D346" t="s">
        <v>3839</v>
      </c>
      <c r="E346" t="s">
        <v>3840</v>
      </c>
      <c r="F346" t="s">
        <v>3841</v>
      </c>
      <c r="G346" t="s">
        <v>3842</v>
      </c>
      <c r="H346" t="str">
        <f t="shared" si="93"/>
        <v>048314</v>
      </c>
      <c r="I346" t="s">
        <v>833</v>
      </c>
      <c r="J346" t="str">
        <f>"2015-09-08 00:00:00.0"</f>
        <v>2015-09-08 00:00:00.0</v>
      </c>
      <c r="K346" t="s">
        <v>834</v>
      </c>
      <c r="L346" t="s">
        <v>0</v>
      </c>
      <c r="M346" t="str">
        <f t="shared" si="80"/>
        <v>048314</v>
      </c>
      <c r="N346">
        <v>0.97409299999999999</v>
      </c>
      <c r="O346">
        <v>0.97409299999999999</v>
      </c>
      <c r="P346" t="str">
        <f>"03"</f>
        <v>03</v>
      </c>
      <c r="Q346" t="s">
        <v>835</v>
      </c>
      <c r="S346" t="s">
        <v>860</v>
      </c>
      <c r="T346" t="s">
        <v>836</v>
      </c>
      <c r="U346" t="str">
        <f t="shared" si="88"/>
        <v>2500-12-31 00:00:00.0</v>
      </c>
      <c r="V346" t="s">
        <v>837</v>
      </c>
      <c r="W346" t="str">
        <f t="shared" si="94"/>
        <v>048314-004697-**-**</v>
      </c>
      <c r="X346" t="s">
        <v>838</v>
      </c>
      <c r="Y346">
        <v>1175</v>
      </c>
      <c r="Z346">
        <v>1206.25</v>
      </c>
      <c r="AA346" t="str">
        <f t="shared" si="95"/>
        <v>06/08/2016</v>
      </c>
    </row>
    <row r="347" spans="1:27" x14ac:dyDescent="0.3">
      <c r="A347" t="str">
        <f t="shared" si="87"/>
        <v>048314</v>
      </c>
      <c r="B347" t="str">
        <f t="shared" si="92"/>
        <v>004697</v>
      </c>
      <c r="C347" t="s">
        <v>3326</v>
      </c>
      <c r="D347" t="s">
        <v>3839</v>
      </c>
      <c r="E347" t="s">
        <v>3840</v>
      </c>
      <c r="F347" t="s">
        <v>3841</v>
      </c>
      <c r="G347" t="s">
        <v>3842</v>
      </c>
      <c r="H347" t="str">
        <f t="shared" si="93"/>
        <v>048314</v>
      </c>
      <c r="I347" t="s">
        <v>833</v>
      </c>
      <c r="J347" t="str">
        <f>"2015-07-01 00:00:00.0"</f>
        <v>2015-07-01 00:00:00.0</v>
      </c>
      <c r="K347" t="s">
        <v>834</v>
      </c>
      <c r="L347" t="s">
        <v>0</v>
      </c>
      <c r="M347" t="str">
        <f t="shared" si="80"/>
        <v>048314</v>
      </c>
      <c r="N347">
        <v>1</v>
      </c>
      <c r="O347">
        <v>1</v>
      </c>
      <c r="P347" t="str">
        <f>"04"</f>
        <v>04</v>
      </c>
      <c r="Q347" t="s">
        <v>835</v>
      </c>
      <c r="S347" t="s">
        <v>836</v>
      </c>
      <c r="T347" t="s">
        <v>836</v>
      </c>
      <c r="U347" t="str">
        <f t="shared" si="88"/>
        <v>2500-12-31 00:00:00.0</v>
      </c>
      <c r="V347" t="s">
        <v>837</v>
      </c>
      <c r="W347" t="str">
        <f t="shared" si="94"/>
        <v>048314-004697-**-**</v>
      </c>
      <c r="X347" t="s">
        <v>838</v>
      </c>
      <c r="Y347">
        <v>1206.25</v>
      </c>
      <c r="Z347">
        <v>1206.25</v>
      </c>
      <c r="AA347" t="str">
        <f t="shared" si="95"/>
        <v>06/08/2016</v>
      </c>
    </row>
    <row r="348" spans="1:27" x14ac:dyDescent="0.3">
      <c r="A348" t="str">
        <f t="shared" si="87"/>
        <v>048314</v>
      </c>
      <c r="B348" t="str">
        <f t="shared" si="92"/>
        <v>004697</v>
      </c>
      <c r="C348" t="s">
        <v>3568</v>
      </c>
      <c r="D348" t="s">
        <v>3839</v>
      </c>
      <c r="E348" t="s">
        <v>3840</v>
      </c>
      <c r="F348" t="s">
        <v>3841</v>
      </c>
      <c r="G348" t="s">
        <v>3842</v>
      </c>
      <c r="H348" t="str">
        <f t="shared" si="93"/>
        <v>048314</v>
      </c>
      <c r="I348" t="s">
        <v>833</v>
      </c>
      <c r="J348" t="str">
        <f>"2015-07-01 00:00:00.0"</f>
        <v>2015-07-01 00:00:00.0</v>
      </c>
      <c r="K348" t="s">
        <v>834</v>
      </c>
      <c r="L348" t="s">
        <v>0</v>
      </c>
      <c r="M348" t="str">
        <f t="shared" si="80"/>
        <v>048314</v>
      </c>
      <c r="N348">
        <v>1</v>
      </c>
      <c r="O348">
        <v>1</v>
      </c>
      <c r="P348" t="str">
        <f>"03"</f>
        <v>03</v>
      </c>
      <c r="Q348" t="s">
        <v>835</v>
      </c>
      <c r="S348" t="s">
        <v>836</v>
      </c>
      <c r="T348" t="s">
        <v>836</v>
      </c>
      <c r="U348" t="str">
        <f t="shared" si="88"/>
        <v>2500-12-31 00:00:00.0</v>
      </c>
      <c r="V348" t="s">
        <v>837</v>
      </c>
      <c r="W348" t="str">
        <f t="shared" si="94"/>
        <v>048314-004697-**-**</v>
      </c>
      <c r="X348" t="s">
        <v>838</v>
      </c>
      <c r="Y348">
        <v>1206.25</v>
      </c>
      <c r="Z348">
        <v>1206.25</v>
      </c>
      <c r="AA348" t="str">
        <f t="shared" si="95"/>
        <v>06/08/2016</v>
      </c>
    </row>
    <row r="349" spans="1:27" x14ac:dyDescent="0.3">
      <c r="A349" t="str">
        <f t="shared" si="87"/>
        <v>048314</v>
      </c>
      <c r="B349" t="str">
        <f t="shared" si="92"/>
        <v>004697</v>
      </c>
      <c r="C349" t="s">
        <v>867</v>
      </c>
      <c r="D349" t="s">
        <v>3839</v>
      </c>
      <c r="E349" t="s">
        <v>3840</v>
      </c>
      <c r="F349" t="s">
        <v>3841</v>
      </c>
      <c r="G349" t="s">
        <v>3842</v>
      </c>
      <c r="H349" t="str">
        <f t="shared" si="93"/>
        <v>048314</v>
      </c>
      <c r="I349" t="s">
        <v>833</v>
      </c>
      <c r="J349" t="str">
        <f>"2015-08-01 00:00:00.0"</f>
        <v>2015-08-01 00:00:00.0</v>
      </c>
      <c r="K349" t="s">
        <v>834</v>
      </c>
      <c r="L349" t="s">
        <v>0</v>
      </c>
      <c r="M349" t="str">
        <f t="shared" si="80"/>
        <v>048314</v>
      </c>
      <c r="N349">
        <v>1</v>
      </c>
      <c r="O349">
        <v>1</v>
      </c>
      <c r="P349" t="s">
        <v>764</v>
      </c>
      <c r="Q349" t="s">
        <v>835</v>
      </c>
      <c r="S349" t="s">
        <v>836</v>
      </c>
      <c r="T349" t="s">
        <v>836</v>
      </c>
      <c r="U349" t="str">
        <f t="shared" si="88"/>
        <v>2500-12-31 00:00:00.0</v>
      </c>
      <c r="V349" t="s">
        <v>837</v>
      </c>
      <c r="W349" t="str">
        <f t="shared" si="94"/>
        <v>048314-004697-**-**</v>
      </c>
      <c r="X349" t="s">
        <v>838</v>
      </c>
      <c r="Y349">
        <v>1206.25</v>
      </c>
      <c r="Z349">
        <v>1206.25</v>
      </c>
      <c r="AA349" t="str">
        <f t="shared" si="95"/>
        <v>06/08/2016</v>
      </c>
    </row>
    <row r="350" spans="1:27" x14ac:dyDescent="0.3">
      <c r="A350" t="str">
        <f t="shared" si="87"/>
        <v>048314</v>
      </c>
      <c r="B350" t="str">
        <f t="shared" si="92"/>
        <v>004697</v>
      </c>
      <c r="C350" t="s">
        <v>3007</v>
      </c>
      <c r="D350" t="s">
        <v>3839</v>
      </c>
      <c r="E350" t="s">
        <v>3840</v>
      </c>
      <c r="F350" t="s">
        <v>3841</v>
      </c>
      <c r="G350" t="s">
        <v>3842</v>
      </c>
      <c r="H350" t="str">
        <f t="shared" si="93"/>
        <v>048314</v>
      </c>
      <c r="I350" t="s">
        <v>833</v>
      </c>
      <c r="J350" t="str">
        <f t="shared" ref="J350:J359" si="96">"2015-07-01 00:00:00.0"</f>
        <v>2015-07-01 00:00:00.0</v>
      </c>
      <c r="K350" t="s">
        <v>834</v>
      </c>
      <c r="L350" t="s">
        <v>0</v>
      </c>
      <c r="M350" t="str">
        <f t="shared" si="80"/>
        <v>048314</v>
      </c>
      <c r="N350">
        <v>1</v>
      </c>
      <c r="O350">
        <v>1</v>
      </c>
      <c r="P350" t="str">
        <f>"01"</f>
        <v>01</v>
      </c>
      <c r="Q350" t="s">
        <v>835</v>
      </c>
      <c r="S350" t="s">
        <v>836</v>
      </c>
      <c r="T350" t="s">
        <v>836</v>
      </c>
      <c r="U350" t="str">
        <f t="shared" si="88"/>
        <v>2500-12-31 00:00:00.0</v>
      </c>
      <c r="V350" t="s">
        <v>837</v>
      </c>
      <c r="W350" t="str">
        <f t="shared" si="94"/>
        <v>048314-004697-**-**</v>
      </c>
      <c r="X350" t="s">
        <v>838</v>
      </c>
      <c r="Y350">
        <v>1206.25</v>
      </c>
      <c r="Z350">
        <v>1206.25</v>
      </c>
      <c r="AA350" t="str">
        <f t="shared" si="95"/>
        <v>06/08/2016</v>
      </c>
    </row>
    <row r="351" spans="1:27" x14ac:dyDescent="0.3">
      <c r="A351" t="str">
        <f t="shared" si="87"/>
        <v>048314</v>
      </c>
      <c r="B351" t="str">
        <f t="shared" si="92"/>
        <v>004697</v>
      </c>
      <c r="C351" t="s">
        <v>3450</v>
      </c>
      <c r="D351" t="s">
        <v>3839</v>
      </c>
      <c r="E351" t="s">
        <v>3840</v>
      </c>
      <c r="F351" t="s">
        <v>3841</v>
      </c>
      <c r="G351" t="s">
        <v>3842</v>
      </c>
      <c r="H351" t="str">
        <f t="shared" si="93"/>
        <v>048314</v>
      </c>
      <c r="I351" t="s">
        <v>833</v>
      </c>
      <c r="J351" t="str">
        <f t="shared" si="96"/>
        <v>2015-07-01 00:00:00.0</v>
      </c>
      <c r="K351" t="s">
        <v>834</v>
      </c>
      <c r="L351" t="s">
        <v>0</v>
      </c>
      <c r="M351" t="str">
        <f t="shared" si="80"/>
        <v>048314</v>
      </c>
      <c r="N351">
        <v>1</v>
      </c>
      <c r="O351">
        <v>1</v>
      </c>
      <c r="P351" t="str">
        <f>"05"</f>
        <v>05</v>
      </c>
      <c r="Q351" t="s">
        <v>835</v>
      </c>
      <c r="S351" t="s">
        <v>836</v>
      </c>
      <c r="T351" t="s">
        <v>836</v>
      </c>
      <c r="U351" t="str">
        <f t="shared" si="88"/>
        <v>2500-12-31 00:00:00.0</v>
      </c>
      <c r="V351" t="s">
        <v>837</v>
      </c>
      <c r="W351" t="str">
        <f>"048314-070417-**-**"</f>
        <v>048314-070417-**-**</v>
      </c>
      <c r="X351" t="s">
        <v>838</v>
      </c>
      <c r="Y351">
        <v>1125</v>
      </c>
      <c r="Z351">
        <v>1125</v>
      </c>
      <c r="AA351" t="str">
        <f t="shared" si="95"/>
        <v>06/08/2016</v>
      </c>
    </row>
    <row r="352" spans="1:27" x14ac:dyDescent="0.3">
      <c r="A352" t="str">
        <f t="shared" si="87"/>
        <v>048314</v>
      </c>
      <c r="B352" t="str">
        <f t="shared" si="92"/>
        <v>004697</v>
      </c>
      <c r="C352" t="s">
        <v>3661</v>
      </c>
      <c r="D352" t="s">
        <v>3839</v>
      </c>
      <c r="E352" t="s">
        <v>3840</v>
      </c>
      <c r="F352" t="s">
        <v>3841</v>
      </c>
      <c r="G352" t="s">
        <v>3842</v>
      </c>
      <c r="H352" t="str">
        <f t="shared" si="93"/>
        <v>048314</v>
      </c>
      <c r="I352" t="s">
        <v>833</v>
      </c>
      <c r="J352" t="str">
        <f t="shared" si="96"/>
        <v>2015-07-01 00:00:00.0</v>
      </c>
      <c r="K352" t="s">
        <v>834</v>
      </c>
      <c r="L352" t="s">
        <v>0</v>
      </c>
      <c r="M352" t="str">
        <f t="shared" si="80"/>
        <v>048314</v>
      </c>
      <c r="N352">
        <v>1</v>
      </c>
      <c r="O352">
        <v>1</v>
      </c>
      <c r="P352" t="str">
        <f>"01"</f>
        <v>01</v>
      </c>
      <c r="Q352" t="s">
        <v>835</v>
      </c>
      <c r="S352" t="s">
        <v>860</v>
      </c>
      <c r="T352" t="s">
        <v>836</v>
      </c>
      <c r="U352" t="str">
        <f t="shared" si="88"/>
        <v>2500-12-31 00:00:00.0</v>
      </c>
      <c r="V352" t="s">
        <v>837</v>
      </c>
      <c r="W352" t="str">
        <f>"048314-004697-**-**"</f>
        <v>048314-004697-**-**</v>
      </c>
      <c r="X352" t="s">
        <v>838</v>
      </c>
      <c r="Y352">
        <v>1206.25</v>
      </c>
      <c r="Z352">
        <v>1206.25</v>
      </c>
      <c r="AA352" t="str">
        <f t="shared" si="95"/>
        <v>06/08/2016</v>
      </c>
    </row>
    <row r="353" spans="1:27" x14ac:dyDescent="0.3">
      <c r="A353" t="str">
        <f t="shared" si="87"/>
        <v>048314</v>
      </c>
      <c r="B353" t="str">
        <f t="shared" si="92"/>
        <v>004697</v>
      </c>
      <c r="C353" t="s">
        <v>3569</v>
      </c>
      <c r="D353" t="s">
        <v>3839</v>
      </c>
      <c r="E353" t="s">
        <v>3840</v>
      </c>
      <c r="F353" t="s">
        <v>3841</v>
      </c>
      <c r="G353" t="s">
        <v>3842</v>
      </c>
      <c r="H353" t="str">
        <f t="shared" si="93"/>
        <v>048314</v>
      </c>
      <c r="I353" t="s">
        <v>833</v>
      </c>
      <c r="J353" t="str">
        <f t="shared" si="96"/>
        <v>2015-07-01 00:00:00.0</v>
      </c>
      <c r="K353" t="s">
        <v>834</v>
      </c>
      <c r="L353" t="s">
        <v>0</v>
      </c>
      <c r="M353" t="str">
        <f t="shared" si="80"/>
        <v>048314</v>
      </c>
      <c r="N353">
        <v>1</v>
      </c>
      <c r="O353">
        <v>1</v>
      </c>
      <c r="P353" t="str">
        <f>"03"</f>
        <v>03</v>
      </c>
      <c r="Q353" t="s">
        <v>835</v>
      </c>
      <c r="S353" t="s">
        <v>860</v>
      </c>
      <c r="T353" t="s">
        <v>836</v>
      </c>
      <c r="U353" t="str">
        <f t="shared" si="88"/>
        <v>2500-12-31 00:00:00.0</v>
      </c>
      <c r="V353" t="s">
        <v>837</v>
      </c>
      <c r="W353" t="str">
        <f>"048314-004697-**-**"</f>
        <v>048314-004697-**-**</v>
      </c>
      <c r="X353" t="s">
        <v>838</v>
      </c>
      <c r="Y353">
        <v>1206.25</v>
      </c>
      <c r="Z353">
        <v>1206.25</v>
      </c>
      <c r="AA353" t="str">
        <f t="shared" si="95"/>
        <v>06/08/2016</v>
      </c>
    </row>
    <row r="354" spans="1:27" x14ac:dyDescent="0.3">
      <c r="A354" t="str">
        <f t="shared" si="87"/>
        <v>048314</v>
      </c>
      <c r="B354" t="str">
        <f t="shared" si="92"/>
        <v>004697</v>
      </c>
      <c r="C354" t="s">
        <v>3329</v>
      </c>
      <c r="D354" t="s">
        <v>3839</v>
      </c>
      <c r="E354" t="s">
        <v>3840</v>
      </c>
      <c r="F354" t="s">
        <v>3841</v>
      </c>
      <c r="G354" t="s">
        <v>3842</v>
      </c>
      <c r="H354" t="str">
        <f t="shared" si="93"/>
        <v>048314</v>
      </c>
      <c r="I354" t="s">
        <v>833</v>
      </c>
      <c r="J354" t="str">
        <f t="shared" si="96"/>
        <v>2015-07-01 00:00:00.0</v>
      </c>
      <c r="K354" t="s">
        <v>834</v>
      </c>
      <c r="L354" t="s">
        <v>0</v>
      </c>
      <c r="M354" t="str">
        <f t="shared" ref="M354:M380" si="97">"048314"</f>
        <v>048314</v>
      </c>
      <c r="N354">
        <v>1</v>
      </c>
      <c r="O354">
        <v>1</v>
      </c>
      <c r="P354" t="str">
        <f>"04"</f>
        <v>04</v>
      </c>
      <c r="Q354" t="s">
        <v>835</v>
      </c>
      <c r="S354" t="s">
        <v>836</v>
      </c>
      <c r="T354" t="s">
        <v>836</v>
      </c>
      <c r="U354" t="str">
        <f t="shared" si="88"/>
        <v>2500-12-31 00:00:00.0</v>
      </c>
      <c r="V354" t="s">
        <v>837</v>
      </c>
      <c r="W354" t="str">
        <f>"048314-004697-**-**"</f>
        <v>048314-004697-**-**</v>
      </c>
      <c r="X354" t="s">
        <v>838</v>
      </c>
      <c r="Y354">
        <v>1206.25</v>
      </c>
      <c r="Z354">
        <v>1206.25</v>
      </c>
      <c r="AA354" t="str">
        <f t="shared" si="95"/>
        <v>06/08/2016</v>
      </c>
    </row>
    <row r="355" spans="1:27" x14ac:dyDescent="0.3">
      <c r="A355" t="str">
        <f t="shared" si="87"/>
        <v>048314</v>
      </c>
      <c r="B355" t="str">
        <f t="shared" si="92"/>
        <v>004697</v>
      </c>
      <c r="C355" t="s">
        <v>3282</v>
      </c>
      <c r="D355" t="s">
        <v>3839</v>
      </c>
      <c r="E355" t="s">
        <v>3840</v>
      </c>
      <c r="F355" t="s">
        <v>3841</v>
      </c>
      <c r="G355" t="s">
        <v>3842</v>
      </c>
      <c r="H355" t="str">
        <f t="shared" si="93"/>
        <v>048314</v>
      </c>
      <c r="I355" t="s">
        <v>833</v>
      </c>
      <c r="J355" t="str">
        <f t="shared" si="96"/>
        <v>2015-07-01 00:00:00.0</v>
      </c>
      <c r="K355" t="s">
        <v>834</v>
      </c>
      <c r="L355" t="s">
        <v>0</v>
      </c>
      <c r="M355" t="str">
        <f t="shared" si="97"/>
        <v>048314</v>
      </c>
      <c r="N355">
        <v>1</v>
      </c>
      <c r="O355">
        <v>1</v>
      </c>
      <c r="P355" t="str">
        <f>"05"</f>
        <v>05</v>
      </c>
      <c r="Q355" t="s">
        <v>835</v>
      </c>
      <c r="S355" t="s">
        <v>836</v>
      </c>
      <c r="T355" t="s">
        <v>836</v>
      </c>
      <c r="U355" t="str">
        <f t="shared" si="88"/>
        <v>2500-12-31 00:00:00.0</v>
      </c>
      <c r="V355" t="s">
        <v>837</v>
      </c>
      <c r="W355" t="str">
        <f>"048314-070417-**-**"</f>
        <v>048314-070417-**-**</v>
      </c>
      <c r="X355" t="s">
        <v>838</v>
      </c>
      <c r="Y355">
        <v>1125</v>
      </c>
      <c r="Z355">
        <v>1125</v>
      </c>
      <c r="AA355" t="str">
        <f t="shared" si="95"/>
        <v>06/08/2016</v>
      </c>
    </row>
    <row r="356" spans="1:27" x14ac:dyDescent="0.3">
      <c r="A356" t="str">
        <f t="shared" si="87"/>
        <v>048314</v>
      </c>
      <c r="B356" t="str">
        <f t="shared" si="92"/>
        <v>004697</v>
      </c>
      <c r="C356" t="s">
        <v>3281</v>
      </c>
      <c r="D356" t="s">
        <v>3839</v>
      </c>
      <c r="E356" t="s">
        <v>3840</v>
      </c>
      <c r="F356" t="s">
        <v>3841</v>
      </c>
      <c r="G356" t="s">
        <v>3842</v>
      </c>
      <c r="H356" t="str">
        <f t="shared" si="93"/>
        <v>048314</v>
      </c>
      <c r="I356" t="s">
        <v>833</v>
      </c>
      <c r="J356" t="str">
        <f t="shared" si="96"/>
        <v>2015-07-01 00:00:00.0</v>
      </c>
      <c r="K356" t="s">
        <v>834</v>
      </c>
      <c r="L356" t="s">
        <v>0</v>
      </c>
      <c r="M356" t="str">
        <f t="shared" si="97"/>
        <v>048314</v>
      </c>
      <c r="N356">
        <v>1</v>
      </c>
      <c r="O356">
        <v>1</v>
      </c>
      <c r="P356" t="str">
        <f>"05"</f>
        <v>05</v>
      </c>
      <c r="Q356" t="s">
        <v>835</v>
      </c>
      <c r="S356" t="s">
        <v>836</v>
      </c>
      <c r="T356" t="s">
        <v>836</v>
      </c>
      <c r="U356" t="str">
        <f t="shared" si="88"/>
        <v>2500-12-31 00:00:00.0</v>
      </c>
      <c r="V356" t="s">
        <v>837</v>
      </c>
      <c r="W356" t="str">
        <f>"048314-070417-**-**"</f>
        <v>048314-070417-**-**</v>
      </c>
      <c r="X356" t="s">
        <v>838</v>
      </c>
      <c r="Y356">
        <v>1125</v>
      </c>
      <c r="Z356">
        <v>1125</v>
      </c>
      <c r="AA356" t="str">
        <f t="shared" si="95"/>
        <v>06/08/2016</v>
      </c>
    </row>
    <row r="357" spans="1:27" x14ac:dyDescent="0.3">
      <c r="A357" t="str">
        <f t="shared" si="87"/>
        <v>048314</v>
      </c>
      <c r="B357" t="str">
        <f t="shared" si="92"/>
        <v>004697</v>
      </c>
      <c r="C357" t="s">
        <v>3418</v>
      </c>
      <c r="D357" t="s">
        <v>3839</v>
      </c>
      <c r="E357" t="s">
        <v>3840</v>
      </c>
      <c r="F357" t="s">
        <v>3841</v>
      </c>
      <c r="G357" t="s">
        <v>3842</v>
      </c>
      <c r="H357" t="str">
        <f>"143396"</f>
        <v>143396</v>
      </c>
      <c r="I357" t="s">
        <v>833</v>
      </c>
      <c r="J357" t="str">
        <f t="shared" si="96"/>
        <v>2015-07-01 00:00:00.0</v>
      </c>
      <c r="K357" t="s">
        <v>834</v>
      </c>
      <c r="L357" t="s">
        <v>2</v>
      </c>
      <c r="M357" t="str">
        <f t="shared" si="97"/>
        <v>048314</v>
      </c>
      <c r="N357">
        <v>0.52688199999999996</v>
      </c>
      <c r="O357">
        <v>0.52688199999999996</v>
      </c>
      <c r="P357" t="str">
        <f>"04"</f>
        <v>04</v>
      </c>
      <c r="Q357" t="str">
        <f>"10"</f>
        <v>10</v>
      </c>
      <c r="R357" t="str">
        <f>"2"</f>
        <v>2</v>
      </c>
      <c r="S357" t="s">
        <v>836</v>
      </c>
      <c r="T357" t="s">
        <v>836</v>
      </c>
      <c r="U357" t="str">
        <f>"2016-01-14 00:00:00.0"</f>
        <v>2016-01-14 00:00:00.0</v>
      </c>
      <c r="V357" t="s">
        <v>837</v>
      </c>
      <c r="W357" t="str">
        <f>"143396-143396-04-**"</f>
        <v>143396-143396-04-**</v>
      </c>
      <c r="X357" t="s">
        <v>865</v>
      </c>
      <c r="Y357">
        <v>588</v>
      </c>
      <c r="Z357">
        <v>1116</v>
      </c>
      <c r="AA357" t="str">
        <f>"05/25/2016"</f>
        <v>05/25/2016</v>
      </c>
    </row>
    <row r="358" spans="1:27" x14ac:dyDescent="0.3">
      <c r="A358" t="str">
        <f t="shared" si="87"/>
        <v>048314</v>
      </c>
      <c r="B358" t="str">
        <f t="shared" si="92"/>
        <v>004697</v>
      </c>
      <c r="C358" t="s">
        <v>3294</v>
      </c>
      <c r="D358" t="s">
        <v>3839</v>
      </c>
      <c r="E358" t="s">
        <v>3840</v>
      </c>
      <c r="F358" t="s">
        <v>3841</v>
      </c>
      <c r="G358" t="s">
        <v>3842</v>
      </c>
      <c r="H358" t="str">
        <f t="shared" ref="H358:H401" si="98">"048314"</f>
        <v>048314</v>
      </c>
      <c r="I358" t="s">
        <v>833</v>
      </c>
      <c r="J358" t="str">
        <f t="shared" si="96"/>
        <v>2015-07-01 00:00:00.0</v>
      </c>
      <c r="K358" t="s">
        <v>834</v>
      </c>
      <c r="L358" t="s">
        <v>0</v>
      </c>
      <c r="M358" t="str">
        <f t="shared" si="97"/>
        <v>048314</v>
      </c>
      <c r="N358">
        <v>1</v>
      </c>
      <c r="O358">
        <v>1</v>
      </c>
      <c r="P358" t="str">
        <f>"05"</f>
        <v>05</v>
      </c>
      <c r="Q358" t="str">
        <f>"10"</f>
        <v>10</v>
      </c>
      <c r="R358" t="str">
        <f>"2"</f>
        <v>2</v>
      </c>
      <c r="S358" t="s">
        <v>836</v>
      </c>
      <c r="T358" t="s">
        <v>836</v>
      </c>
      <c r="U358" t="str">
        <f>"2500-12-31 00:00:00.0"</f>
        <v>2500-12-31 00:00:00.0</v>
      </c>
      <c r="V358" t="s">
        <v>837</v>
      </c>
      <c r="W358" t="str">
        <f>"048314-070417-**-**"</f>
        <v>048314-070417-**-**</v>
      </c>
      <c r="X358" t="s">
        <v>838</v>
      </c>
      <c r="Y358">
        <v>1125</v>
      </c>
      <c r="Z358">
        <v>1125</v>
      </c>
      <c r="AA358" t="str">
        <f t="shared" ref="AA358:AA401" si="99">"06/08/2016"</f>
        <v>06/08/2016</v>
      </c>
    </row>
    <row r="359" spans="1:27" x14ac:dyDescent="0.3">
      <c r="A359" t="str">
        <f t="shared" si="87"/>
        <v>048314</v>
      </c>
      <c r="B359" t="str">
        <f t="shared" si="92"/>
        <v>004697</v>
      </c>
      <c r="C359" t="s">
        <v>3585</v>
      </c>
      <c r="D359" t="s">
        <v>3839</v>
      </c>
      <c r="E359" t="s">
        <v>3840</v>
      </c>
      <c r="F359" t="s">
        <v>3841</v>
      </c>
      <c r="G359" t="s">
        <v>3842</v>
      </c>
      <c r="H359" t="str">
        <f t="shared" si="98"/>
        <v>048314</v>
      </c>
      <c r="I359" t="s">
        <v>833</v>
      </c>
      <c r="J359" t="str">
        <f t="shared" si="96"/>
        <v>2015-07-01 00:00:00.0</v>
      </c>
      <c r="K359" t="s">
        <v>834</v>
      </c>
      <c r="L359" t="s">
        <v>0</v>
      </c>
      <c r="M359" t="str">
        <f t="shared" si="97"/>
        <v>048314</v>
      </c>
      <c r="N359">
        <v>1</v>
      </c>
      <c r="O359">
        <v>1</v>
      </c>
      <c r="P359" t="str">
        <f>"03"</f>
        <v>03</v>
      </c>
      <c r="Q359" t="str">
        <f>"05"</f>
        <v>05</v>
      </c>
      <c r="R359" t="str">
        <f>"1"</f>
        <v>1</v>
      </c>
      <c r="S359" t="s">
        <v>836</v>
      </c>
      <c r="T359" t="s">
        <v>836</v>
      </c>
      <c r="U359" t="str">
        <f>"2500-12-31 00:00:00.0"</f>
        <v>2500-12-31 00:00:00.0</v>
      </c>
      <c r="V359" t="s">
        <v>837</v>
      </c>
      <c r="W359" t="str">
        <f>"048314-004697-**-**"</f>
        <v>048314-004697-**-**</v>
      </c>
      <c r="X359" t="s">
        <v>838</v>
      </c>
      <c r="Y359">
        <v>1206.25</v>
      </c>
      <c r="Z359">
        <v>1206.25</v>
      </c>
      <c r="AA359" t="str">
        <f t="shared" si="99"/>
        <v>06/08/2016</v>
      </c>
    </row>
    <row r="360" spans="1:27" x14ac:dyDescent="0.3">
      <c r="A360" t="str">
        <f t="shared" si="87"/>
        <v>048314</v>
      </c>
      <c r="B360" t="str">
        <f t="shared" si="92"/>
        <v>004697</v>
      </c>
      <c r="C360" t="s">
        <v>1002</v>
      </c>
      <c r="D360" t="s">
        <v>3839</v>
      </c>
      <c r="E360" t="s">
        <v>3840</v>
      </c>
      <c r="F360" t="s">
        <v>3841</v>
      </c>
      <c r="G360" t="s">
        <v>3842</v>
      </c>
      <c r="H360" t="str">
        <f t="shared" si="98"/>
        <v>048314</v>
      </c>
      <c r="I360" t="s">
        <v>833</v>
      </c>
      <c r="J360" t="str">
        <f>"2015-08-01 00:00:00.0"</f>
        <v>2015-08-01 00:00:00.0</v>
      </c>
      <c r="K360" t="s">
        <v>834</v>
      </c>
      <c r="L360" t="s">
        <v>0</v>
      </c>
      <c r="M360" t="str">
        <f t="shared" si="97"/>
        <v>048314</v>
      </c>
      <c r="N360">
        <v>0.25906699999999999</v>
      </c>
      <c r="O360">
        <v>0.25906699999999999</v>
      </c>
      <c r="P360" t="s">
        <v>764</v>
      </c>
      <c r="Q360" t="s">
        <v>835</v>
      </c>
      <c r="S360" t="s">
        <v>836</v>
      </c>
      <c r="T360" t="s">
        <v>836</v>
      </c>
      <c r="U360" t="str">
        <f>"2015-11-09 00:00:00.0"</f>
        <v>2015-11-09 00:00:00.0</v>
      </c>
      <c r="V360" t="s">
        <v>837</v>
      </c>
      <c r="W360" t="str">
        <f>"048314-004697-**-**"</f>
        <v>048314-004697-**-**</v>
      </c>
      <c r="X360" t="s">
        <v>838</v>
      </c>
      <c r="Y360">
        <v>312.5</v>
      </c>
      <c r="Z360">
        <v>1206.25</v>
      </c>
      <c r="AA360" t="str">
        <f t="shared" si="99"/>
        <v>06/08/2016</v>
      </c>
    </row>
    <row r="361" spans="1:27" x14ac:dyDescent="0.3">
      <c r="A361" t="str">
        <f t="shared" si="87"/>
        <v>048314</v>
      </c>
      <c r="B361" t="str">
        <f t="shared" si="92"/>
        <v>004697</v>
      </c>
      <c r="C361" t="s">
        <v>1002</v>
      </c>
      <c r="D361" t="s">
        <v>3839</v>
      </c>
      <c r="E361" t="s">
        <v>3840</v>
      </c>
      <c r="F361" t="s">
        <v>3841</v>
      </c>
      <c r="G361" t="s">
        <v>3842</v>
      </c>
      <c r="H361" t="str">
        <f t="shared" si="98"/>
        <v>048314</v>
      </c>
      <c r="I361" t="s">
        <v>833</v>
      </c>
      <c r="J361" t="str">
        <f>"2015-11-10 00:00:00.0"</f>
        <v>2015-11-10 00:00:00.0</v>
      </c>
      <c r="K361" t="s">
        <v>834</v>
      </c>
      <c r="L361" t="s">
        <v>0</v>
      </c>
      <c r="M361" t="str">
        <f t="shared" si="97"/>
        <v>048314</v>
      </c>
      <c r="N361">
        <v>0.74093299999999995</v>
      </c>
      <c r="O361">
        <v>0.74093299999999995</v>
      </c>
      <c r="P361" t="s">
        <v>764</v>
      </c>
      <c r="Q361" t="str">
        <f>"05"</f>
        <v>05</v>
      </c>
      <c r="R361" t="str">
        <f>"1"</f>
        <v>1</v>
      </c>
      <c r="S361" t="s">
        <v>836</v>
      </c>
      <c r="T361" t="s">
        <v>836</v>
      </c>
      <c r="U361" t="str">
        <f t="shared" ref="U361:U366" si="100">"2500-12-31 00:00:00.0"</f>
        <v>2500-12-31 00:00:00.0</v>
      </c>
      <c r="V361" t="s">
        <v>837</v>
      </c>
      <c r="W361" t="str">
        <f>"048314-004697-**-**"</f>
        <v>048314-004697-**-**</v>
      </c>
      <c r="X361" t="s">
        <v>838</v>
      </c>
      <c r="Y361">
        <v>893.75</v>
      </c>
      <c r="Z361">
        <v>1206.25</v>
      </c>
      <c r="AA361" t="str">
        <f t="shared" si="99"/>
        <v>06/08/2016</v>
      </c>
    </row>
    <row r="362" spans="1:27" x14ac:dyDescent="0.3">
      <c r="A362" t="str">
        <f t="shared" si="87"/>
        <v>048314</v>
      </c>
      <c r="B362" t="str">
        <f t="shared" si="92"/>
        <v>004697</v>
      </c>
      <c r="C362" t="s">
        <v>3117</v>
      </c>
      <c r="D362" t="s">
        <v>3839</v>
      </c>
      <c r="E362" t="s">
        <v>3840</v>
      </c>
      <c r="F362" t="s">
        <v>3841</v>
      </c>
      <c r="G362" t="s">
        <v>3842</v>
      </c>
      <c r="H362" t="str">
        <f t="shared" si="98"/>
        <v>048314</v>
      </c>
      <c r="I362" t="s">
        <v>833</v>
      </c>
      <c r="J362" t="str">
        <f>"2015-08-01 00:00:00.0"</f>
        <v>2015-08-01 00:00:00.0</v>
      </c>
      <c r="K362" t="s">
        <v>834</v>
      </c>
      <c r="L362" t="s">
        <v>0</v>
      </c>
      <c r="M362" t="str">
        <f t="shared" si="97"/>
        <v>048314</v>
      </c>
      <c r="N362">
        <v>1</v>
      </c>
      <c r="O362">
        <v>1</v>
      </c>
      <c r="P362" t="s">
        <v>764</v>
      </c>
      <c r="Q362" t="s">
        <v>835</v>
      </c>
      <c r="S362" t="s">
        <v>836</v>
      </c>
      <c r="T362" t="s">
        <v>836</v>
      </c>
      <c r="U362" t="str">
        <f t="shared" si="100"/>
        <v>2500-12-31 00:00:00.0</v>
      </c>
      <c r="V362" t="s">
        <v>837</v>
      </c>
      <c r="W362" t="str">
        <f>"048314-004697-**-**"</f>
        <v>048314-004697-**-**</v>
      </c>
      <c r="X362" t="s">
        <v>838</v>
      </c>
      <c r="Y362">
        <v>1206.25</v>
      </c>
      <c r="Z362">
        <v>1206.25</v>
      </c>
      <c r="AA362" t="str">
        <f t="shared" si="99"/>
        <v>06/08/2016</v>
      </c>
    </row>
    <row r="363" spans="1:27" x14ac:dyDescent="0.3">
      <c r="A363" t="str">
        <f t="shared" si="87"/>
        <v>048314</v>
      </c>
      <c r="B363" t="str">
        <f t="shared" si="92"/>
        <v>004697</v>
      </c>
      <c r="C363" t="s">
        <v>3425</v>
      </c>
      <c r="D363" t="s">
        <v>3839</v>
      </c>
      <c r="E363" t="s">
        <v>3840</v>
      </c>
      <c r="F363" t="s">
        <v>3841</v>
      </c>
      <c r="G363" t="s">
        <v>3842</v>
      </c>
      <c r="H363" t="str">
        <f t="shared" si="98"/>
        <v>048314</v>
      </c>
      <c r="I363" t="s">
        <v>833</v>
      </c>
      <c r="J363" t="str">
        <f>"2015-07-01 00:00:00.0"</f>
        <v>2015-07-01 00:00:00.0</v>
      </c>
      <c r="K363" t="s">
        <v>834</v>
      </c>
      <c r="L363" t="s">
        <v>0</v>
      </c>
      <c r="M363" t="str">
        <f t="shared" si="97"/>
        <v>048314</v>
      </c>
      <c r="N363">
        <v>1</v>
      </c>
      <c r="O363">
        <v>1</v>
      </c>
      <c r="P363" t="str">
        <f>"05"</f>
        <v>05</v>
      </c>
      <c r="Q363" t="s">
        <v>835</v>
      </c>
      <c r="S363" t="s">
        <v>836</v>
      </c>
      <c r="T363" t="s">
        <v>836</v>
      </c>
      <c r="U363" t="str">
        <f t="shared" si="100"/>
        <v>2500-12-31 00:00:00.0</v>
      </c>
      <c r="V363" t="s">
        <v>837</v>
      </c>
      <c r="W363" t="str">
        <f>"048314-070417-**-**"</f>
        <v>048314-070417-**-**</v>
      </c>
      <c r="X363" t="s">
        <v>838</v>
      </c>
      <c r="Y363">
        <v>1125</v>
      </c>
      <c r="Z363">
        <v>1125</v>
      </c>
      <c r="AA363" t="str">
        <f t="shared" si="99"/>
        <v>06/08/2016</v>
      </c>
    </row>
    <row r="364" spans="1:27" x14ac:dyDescent="0.3">
      <c r="A364" t="str">
        <f t="shared" si="87"/>
        <v>048314</v>
      </c>
      <c r="B364" t="str">
        <f t="shared" si="92"/>
        <v>004697</v>
      </c>
      <c r="C364" t="s">
        <v>3400</v>
      </c>
      <c r="D364" t="s">
        <v>3839</v>
      </c>
      <c r="E364" t="s">
        <v>3840</v>
      </c>
      <c r="F364" t="s">
        <v>3841</v>
      </c>
      <c r="G364" t="s">
        <v>3842</v>
      </c>
      <c r="H364" t="str">
        <f t="shared" si="98"/>
        <v>048314</v>
      </c>
      <c r="I364" t="s">
        <v>833</v>
      </c>
      <c r="J364" t="str">
        <f>"2015-07-01 00:00:00.0"</f>
        <v>2015-07-01 00:00:00.0</v>
      </c>
      <c r="K364" t="s">
        <v>834</v>
      </c>
      <c r="L364" t="s">
        <v>0</v>
      </c>
      <c r="M364" t="str">
        <f t="shared" si="97"/>
        <v>048314</v>
      </c>
      <c r="N364">
        <v>1</v>
      </c>
      <c r="O364">
        <v>1</v>
      </c>
      <c r="P364" t="str">
        <f>"04"</f>
        <v>04</v>
      </c>
      <c r="Q364" t="s">
        <v>835</v>
      </c>
      <c r="S364" t="s">
        <v>860</v>
      </c>
      <c r="T364" t="s">
        <v>836</v>
      </c>
      <c r="U364" t="str">
        <f t="shared" si="100"/>
        <v>2500-12-31 00:00:00.0</v>
      </c>
      <c r="V364" t="s">
        <v>837</v>
      </c>
      <c r="W364" t="str">
        <f>"048314-004697-**-**"</f>
        <v>048314-004697-**-**</v>
      </c>
      <c r="X364" t="s">
        <v>838</v>
      </c>
      <c r="Y364">
        <v>1206.25</v>
      </c>
      <c r="Z364">
        <v>1206.25</v>
      </c>
      <c r="AA364" t="str">
        <f t="shared" si="99"/>
        <v>06/08/2016</v>
      </c>
    </row>
    <row r="365" spans="1:27" x14ac:dyDescent="0.3">
      <c r="A365" t="str">
        <f t="shared" si="87"/>
        <v>048314</v>
      </c>
      <c r="B365" t="str">
        <f t="shared" si="92"/>
        <v>004697</v>
      </c>
      <c r="C365" t="s">
        <v>3081</v>
      </c>
      <c r="D365" t="s">
        <v>3839</v>
      </c>
      <c r="E365" t="s">
        <v>3840</v>
      </c>
      <c r="F365" t="s">
        <v>3841</v>
      </c>
      <c r="G365" t="s">
        <v>3842</v>
      </c>
      <c r="H365" t="str">
        <f t="shared" si="98"/>
        <v>048314</v>
      </c>
      <c r="I365" t="s">
        <v>833</v>
      </c>
      <c r="J365" t="str">
        <f>"2015-07-01 00:00:00.0"</f>
        <v>2015-07-01 00:00:00.0</v>
      </c>
      <c r="K365" t="s">
        <v>834</v>
      </c>
      <c r="L365" t="s">
        <v>0</v>
      </c>
      <c r="M365" t="str">
        <f t="shared" si="97"/>
        <v>048314</v>
      </c>
      <c r="N365">
        <v>1</v>
      </c>
      <c r="O365">
        <v>1</v>
      </c>
      <c r="P365" t="str">
        <f>"05"</f>
        <v>05</v>
      </c>
      <c r="Q365" t="s">
        <v>835</v>
      </c>
      <c r="S365" t="s">
        <v>836</v>
      </c>
      <c r="T365" t="s">
        <v>836</v>
      </c>
      <c r="U365" t="str">
        <f t="shared" si="100"/>
        <v>2500-12-31 00:00:00.0</v>
      </c>
      <c r="V365" t="s">
        <v>837</v>
      </c>
      <c r="W365" t="str">
        <f>"048314-070417-**-**"</f>
        <v>048314-070417-**-**</v>
      </c>
      <c r="X365" t="s">
        <v>838</v>
      </c>
      <c r="Y365">
        <v>1125</v>
      </c>
      <c r="Z365">
        <v>1125</v>
      </c>
      <c r="AA365" t="str">
        <f t="shared" si="99"/>
        <v>06/08/2016</v>
      </c>
    </row>
    <row r="366" spans="1:27" x14ac:dyDescent="0.3">
      <c r="A366" t="str">
        <f t="shared" si="87"/>
        <v>048314</v>
      </c>
      <c r="B366" t="str">
        <f t="shared" si="92"/>
        <v>004697</v>
      </c>
      <c r="C366" t="s">
        <v>1716</v>
      </c>
      <c r="D366" t="s">
        <v>3839</v>
      </c>
      <c r="E366" t="s">
        <v>3840</v>
      </c>
      <c r="F366" t="s">
        <v>3841</v>
      </c>
      <c r="G366" t="s">
        <v>3842</v>
      </c>
      <c r="H366" t="str">
        <f t="shared" si="98"/>
        <v>048314</v>
      </c>
      <c r="I366" t="s">
        <v>833</v>
      </c>
      <c r="J366" t="str">
        <f>"2015-11-12 00:00:00.0"</f>
        <v>2015-11-12 00:00:00.0</v>
      </c>
      <c r="K366" t="s">
        <v>834</v>
      </c>
      <c r="L366" t="s">
        <v>0</v>
      </c>
      <c r="M366" t="str">
        <f t="shared" si="97"/>
        <v>048314</v>
      </c>
      <c r="N366">
        <v>0.73057000000000005</v>
      </c>
      <c r="O366">
        <v>0.73057000000000005</v>
      </c>
      <c r="P366" t="str">
        <f>"02"</f>
        <v>02</v>
      </c>
      <c r="Q366" t="str">
        <f>"05"</f>
        <v>05</v>
      </c>
      <c r="R366" t="str">
        <f>"1"</f>
        <v>1</v>
      </c>
      <c r="S366" t="s">
        <v>836</v>
      </c>
      <c r="T366" t="s">
        <v>836</v>
      </c>
      <c r="U366" t="str">
        <f t="shared" si="100"/>
        <v>2500-12-31 00:00:00.0</v>
      </c>
      <c r="V366" t="s">
        <v>837</v>
      </c>
      <c r="W366" t="str">
        <f t="shared" ref="W366:W378" si="101">"048314-004697-**-**"</f>
        <v>048314-004697-**-**</v>
      </c>
      <c r="X366" t="s">
        <v>838</v>
      </c>
      <c r="Y366">
        <v>881.25</v>
      </c>
      <c r="Z366">
        <v>1206.25</v>
      </c>
      <c r="AA366" t="str">
        <f t="shared" si="99"/>
        <v>06/08/2016</v>
      </c>
    </row>
    <row r="367" spans="1:27" x14ac:dyDescent="0.3">
      <c r="A367" t="str">
        <f t="shared" si="87"/>
        <v>048314</v>
      </c>
      <c r="B367" t="str">
        <f t="shared" si="92"/>
        <v>004697</v>
      </c>
      <c r="C367" t="s">
        <v>1716</v>
      </c>
      <c r="D367" t="s">
        <v>3839</v>
      </c>
      <c r="E367" t="s">
        <v>3840</v>
      </c>
      <c r="F367" t="s">
        <v>3841</v>
      </c>
      <c r="G367" t="s">
        <v>3842</v>
      </c>
      <c r="H367" t="str">
        <f t="shared" si="98"/>
        <v>048314</v>
      </c>
      <c r="I367" t="s">
        <v>833</v>
      </c>
      <c r="J367" t="str">
        <f>"2015-08-01 00:00:00.0"</f>
        <v>2015-08-01 00:00:00.0</v>
      </c>
      <c r="K367" t="s">
        <v>834</v>
      </c>
      <c r="L367" t="s">
        <v>0</v>
      </c>
      <c r="M367" t="str">
        <f t="shared" si="97"/>
        <v>048314</v>
      </c>
      <c r="N367">
        <v>0.26943</v>
      </c>
      <c r="O367">
        <v>0.26943</v>
      </c>
      <c r="P367" t="str">
        <f>"02"</f>
        <v>02</v>
      </c>
      <c r="Q367" t="s">
        <v>835</v>
      </c>
      <c r="S367" t="s">
        <v>836</v>
      </c>
      <c r="T367" t="s">
        <v>836</v>
      </c>
      <c r="U367" t="str">
        <f>"2015-11-11 00:00:00.0"</f>
        <v>2015-11-11 00:00:00.0</v>
      </c>
      <c r="V367" t="s">
        <v>837</v>
      </c>
      <c r="W367" t="str">
        <f t="shared" si="101"/>
        <v>048314-004697-**-**</v>
      </c>
      <c r="X367" t="s">
        <v>838</v>
      </c>
      <c r="Y367">
        <v>325</v>
      </c>
      <c r="Z367">
        <v>1206.25</v>
      </c>
      <c r="AA367" t="str">
        <f t="shared" si="99"/>
        <v>06/08/2016</v>
      </c>
    </row>
    <row r="368" spans="1:27" x14ac:dyDescent="0.3">
      <c r="A368" t="str">
        <f t="shared" si="87"/>
        <v>048314</v>
      </c>
      <c r="B368" t="str">
        <f t="shared" si="92"/>
        <v>004697</v>
      </c>
      <c r="C368" t="s">
        <v>1095</v>
      </c>
      <c r="D368" t="s">
        <v>3839</v>
      </c>
      <c r="E368" t="s">
        <v>3840</v>
      </c>
      <c r="F368" t="s">
        <v>3841</v>
      </c>
      <c r="G368" t="s">
        <v>3842</v>
      </c>
      <c r="H368" t="str">
        <f t="shared" si="98"/>
        <v>048314</v>
      </c>
      <c r="I368" t="s">
        <v>833</v>
      </c>
      <c r="J368" t="str">
        <f>"2015-07-01 00:00:00.0"</f>
        <v>2015-07-01 00:00:00.0</v>
      </c>
      <c r="K368" t="s">
        <v>834</v>
      </c>
      <c r="L368" t="s">
        <v>0</v>
      </c>
      <c r="M368" t="str">
        <f t="shared" si="97"/>
        <v>048314</v>
      </c>
      <c r="N368">
        <v>1</v>
      </c>
      <c r="O368">
        <v>1</v>
      </c>
      <c r="P368" t="str">
        <f>"02"</f>
        <v>02</v>
      </c>
      <c r="Q368" t="s">
        <v>835</v>
      </c>
      <c r="S368" t="s">
        <v>836</v>
      </c>
      <c r="T368" t="s">
        <v>836</v>
      </c>
      <c r="U368" t="str">
        <f t="shared" ref="U368:U394" si="102">"2500-12-31 00:00:00.0"</f>
        <v>2500-12-31 00:00:00.0</v>
      </c>
      <c r="V368" t="s">
        <v>837</v>
      </c>
      <c r="W368" t="str">
        <f t="shared" si="101"/>
        <v>048314-004697-**-**</v>
      </c>
      <c r="X368" t="s">
        <v>838</v>
      </c>
      <c r="Y368">
        <v>1206.25</v>
      </c>
      <c r="Z368">
        <v>1206.25</v>
      </c>
      <c r="AA368" t="str">
        <f t="shared" si="99"/>
        <v>06/08/2016</v>
      </c>
    </row>
    <row r="369" spans="1:27" x14ac:dyDescent="0.3">
      <c r="A369" t="str">
        <f t="shared" si="87"/>
        <v>048314</v>
      </c>
      <c r="B369" t="str">
        <f t="shared" si="92"/>
        <v>004697</v>
      </c>
      <c r="C369" t="s">
        <v>3254</v>
      </c>
      <c r="D369" t="s">
        <v>3839</v>
      </c>
      <c r="E369" t="s">
        <v>3840</v>
      </c>
      <c r="F369" t="s">
        <v>3841</v>
      </c>
      <c r="G369" t="s">
        <v>3842</v>
      </c>
      <c r="H369" t="str">
        <f t="shared" si="98"/>
        <v>048314</v>
      </c>
      <c r="I369" t="s">
        <v>833</v>
      </c>
      <c r="J369" t="str">
        <f>"2015-08-01 00:00:00.0"</f>
        <v>2015-08-01 00:00:00.0</v>
      </c>
      <c r="K369" t="s">
        <v>834</v>
      </c>
      <c r="L369" t="s">
        <v>0</v>
      </c>
      <c r="M369" t="str">
        <f t="shared" si="97"/>
        <v>048314</v>
      </c>
      <c r="N369">
        <v>1</v>
      </c>
      <c r="O369">
        <v>1</v>
      </c>
      <c r="P369" t="str">
        <f>"04"</f>
        <v>04</v>
      </c>
      <c r="Q369" t="s">
        <v>835</v>
      </c>
      <c r="S369" t="s">
        <v>836</v>
      </c>
      <c r="T369" t="s">
        <v>836</v>
      </c>
      <c r="U369" t="str">
        <f t="shared" si="102"/>
        <v>2500-12-31 00:00:00.0</v>
      </c>
      <c r="V369" t="s">
        <v>837</v>
      </c>
      <c r="W369" t="str">
        <f t="shared" si="101"/>
        <v>048314-004697-**-**</v>
      </c>
      <c r="X369" t="s">
        <v>838</v>
      </c>
      <c r="Y369">
        <v>1206.25</v>
      </c>
      <c r="Z369">
        <v>1206.25</v>
      </c>
      <c r="AA369" t="str">
        <f t="shared" si="99"/>
        <v>06/08/2016</v>
      </c>
    </row>
    <row r="370" spans="1:27" x14ac:dyDescent="0.3">
      <c r="A370" t="str">
        <f t="shared" si="87"/>
        <v>048314</v>
      </c>
      <c r="B370" t="str">
        <f t="shared" si="92"/>
        <v>004697</v>
      </c>
      <c r="C370" t="s">
        <v>3236</v>
      </c>
      <c r="D370" t="s">
        <v>3839</v>
      </c>
      <c r="E370" t="s">
        <v>3840</v>
      </c>
      <c r="F370" t="s">
        <v>3841</v>
      </c>
      <c r="G370" t="s">
        <v>3842</v>
      </c>
      <c r="H370" t="str">
        <f t="shared" si="98"/>
        <v>048314</v>
      </c>
      <c r="I370" t="s">
        <v>833</v>
      </c>
      <c r="J370" t="str">
        <f>"2015-08-01 00:00:00.0"</f>
        <v>2015-08-01 00:00:00.0</v>
      </c>
      <c r="K370" t="s">
        <v>834</v>
      </c>
      <c r="L370" t="s">
        <v>0</v>
      </c>
      <c r="M370" t="str">
        <f t="shared" si="97"/>
        <v>048314</v>
      </c>
      <c r="N370">
        <v>1</v>
      </c>
      <c r="O370">
        <v>1</v>
      </c>
      <c r="P370" t="str">
        <f>"02"</f>
        <v>02</v>
      </c>
      <c r="Q370" t="s">
        <v>835</v>
      </c>
      <c r="S370" t="s">
        <v>836</v>
      </c>
      <c r="T370" t="s">
        <v>836</v>
      </c>
      <c r="U370" t="str">
        <f t="shared" si="102"/>
        <v>2500-12-31 00:00:00.0</v>
      </c>
      <c r="V370" t="s">
        <v>837</v>
      </c>
      <c r="W370" t="str">
        <f t="shared" si="101"/>
        <v>048314-004697-**-**</v>
      </c>
      <c r="X370" t="s">
        <v>838</v>
      </c>
      <c r="Y370">
        <v>1206.25</v>
      </c>
      <c r="Z370">
        <v>1206.25</v>
      </c>
      <c r="AA370" t="str">
        <f t="shared" si="99"/>
        <v>06/08/2016</v>
      </c>
    </row>
    <row r="371" spans="1:27" x14ac:dyDescent="0.3">
      <c r="A371" t="str">
        <f t="shared" si="87"/>
        <v>048314</v>
      </c>
      <c r="B371" t="str">
        <f t="shared" si="92"/>
        <v>004697</v>
      </c>
      <c r="C371" t="s">
        <v>3593</v>
      </c>
      <c r="D371" t="s">
        <v>3839</v>
      </c>
      <c r="E371" t="s">
        <v>3840</v>
      </c>
      <c r="F371" t="s">
        <v>3841</v>
      </c>
      <c r="G371" t="s">
        <v>3842</v>
      </c>
      <c r="H371" t="str">
        <f t="shared" si="98"/>
        <v>048314</v>
      </c>
      <c r="I371" t="s">
        <v>833</v>
      </c>
      <c r="J371" t="str">
        <f>"2015-07-01 00:00:00.0"</f>
        <v>2015-07-01 00:00:00.0</v>
      </c>
      <c r="K371" t="s">
        <v>834</v>
      </c>
      <c r="L371" t="s">
        <v>0</v>
      </c>
      <c r="M371" t="str">
        <f t="shared" si="97"/>
        <v>048314</v>
      </c>
      <c r="N371">
        <v>1</v>
      </c>
      <c r="O371">
        <v>1</v>
      </c>
      <c r="P371" t="str">
        <f>"03"</f>
        <v>03</v>
      </c>
      <c r="Q371" t="s">
        <v>835</v>
      </c>
      <c r="S371" t="s">
        <v>836</v>
      </c>
      <c r="T371" t="s">
        <v>836</v>
      </c>
      <c r="U371" t="str">
        <f t="shared" si="102"/>
        <v>2500-12-31 00:00:00.0</v>
      </c>
      <c r="V371" t="s">
        <v>837</v>
      </c>
      <c r="W371" t="str">
        <f t="shared" si="101"/>
        <v>048314-004697-**-**</v>
      </c>
      <c r="X371" t="s">
        <v>838</v>
      </c>
      <c r="Y371">
        <v>1206.25</v>
      </c>
      <c r="Z371">
        <v>1206.25</v>
      </c>
      <c r="AA371" t="str">
        <f t="shared" si="99"/>
        <v>06/08/2016</v>
      </c>
    </row>
    <row r="372" spans="1:27" x14ac:dyDescent="0.3">
      <c r="A372" t="str">
        <f t="shared" si="87"/>
        <v>048314</v>
      </c>
      <c r="B372" t="str">
        <f t="shared" si="92"/>
        <v>004697</v>
      </c>
      <c r="C372" t="s">
        <v>3330</v>
      </c>
      <c r="D372" t="s">
        <v>3839</v>
      </c>
      <c r="E372" t="s">
        <v>3840</v>
      </c>
      <c r="F372" t="s">
        <v>3841</v>
      </c>
      <c r="G372" t="s">
        <v>3842</v>
      </c>
      <c r="H372" t="str">
        <f t="shared" si="98"/>
        <v>048314</v>
      </c>
      <c r="I372" t="s">
        <v>833</v>
      </c>
      <c r="J372" t="str">
        <f>"2015-07-01 00:00:00.0"</f>
        <v>2015-07-01 00:00:00.0</v>
      </c>
      <c r="K372" t="s">
        <v>834</v>
      </c>
      <c r="L372" t="s">
        <v>0</v>
      </c>
      <c r="M372" t="str">
        <f t="shared" si="97"/>
        <v>048314</v>
      </c>
      <c r="N372">
        <v>1</v>
      </c>
      <c r="O372">
        <v>1</v>
      </c>
      <c r="P372" t="str">
        <f>"04"</f>
        <v>04</v>
      </c>
      <c r="Q372" t="str">
        <f>"15"</f>
        <v>15</v>
      </c>
      <c r="R372" t="str">
        <f>"2"</f>
        <v>2</v>
      </c>
      <c r="S372" t="s">
        <v>836</v>
      </c>
      <c r="T372" t="s">
        <v>836</v>
      </c>
      <c r="U372" t="str">
        <f t="shared" si="102"/>
        <v>2500-12-31 00:00:00.0</v>
      </c>
      <c r="V372" t="s">
        <v>837</v>
      </c>
      <c r="W372" t="str">
        <f t="shared" si="101"/>
        <v>048314-004697-**-**</v>
      </c>
      <c r="X372" t="s">
        <v>838</v>
      </c>
      <c r="Y372">
        <v>1206.25</v>
      </c>
      <c r="Z372">
        <v>1206.25</v>
      </c>
      <c r="AA372" t="str">
        <f t="shared" si="99"/>
        <v>06/08/2016</v>
      </c>
    </row>
    <row r="373" spans="1:27" x14ac:dyDescent="0.3">
      <c r="A373" t="str">
        <f t="shared" si="87"/>
        <v>048314</v>
      </c>
      <c r="B373" t="str">
        <f t="shared" si="92"/>
        <v>004697</v>
      </c>
      <c r="C373" t="s">
        <v>3671</v>
      </c>
      <c r="D373" t="s">
        <v>3839</v>
      </c>
      <c r="E373" t="s">
        <v>3840</v>
      </c>
      <c r="F373" t="s">
        <v>3841</v>
      </c>
      <c r="G373" t="s">
        <v>3842</v>
      </c>
      <c r="H373" t="str">
        <f t="shared" si="98"/>
        <v>048314</v>
      </c>
      <c r="I373" t="s">
        <v>833</v>
      </c>
      <c r="J373" t="str">
        <f>"2015-07-01 00:00:00.0"</f>
        <v>2015-07-01 00:00:00.0</v>
      </c>
      <c r="K373" t="s">
        <v>834</v>
      </c>
      <c r="L373" t="s">
        <v>0</v>
      </c>
      <c r="M373" t="str">
        <f t="shared" si="97"/>
        <v>048314</v>
      </c>
      <c r="N373">
        <v>1</v>
      </c>
      <c r="O373">
        <v>1</v>
      </c>
      <c r="P373" t="str">
        <f>"03"</f>
        <v>03</v>
      </c>
      <c r="Q373" t="str">
        <f>"05"</f>
        <v>05</v>
      </c>
      <c r="R373" t="str">
        <f>"1"</f>
        <v>1</v>
      </c>
      <c r="S373" t="s">
        <v>836</v>
      </c>
      <c r="T373" t="s">
        <v>836</v>
      </c>
      <c r="U373" t="str">
        <f t="shared" si="102"/>
        <v>2500-12-31 00:00:00.0</v>
      </c>
      <c r="V373" t="s">
        <v>837</v>
      </c>
      <c r="W373" t="str">
        <f t="shared" si="101"/>
        <v>048314-004697-**-**</v>
      </c>
      <c r="X373" t="s">
        <v>838</v>
      </c>
      <c r="Y373">
        <v>1206.25</v>
      </c>
      <c r="Z373">
        <v>1206.25</v>
      </c>
      <c r="AA373" t="str">
        <f t="shared" si="99"/>
        <v>06/08/2016</v>
      </c>
    </row>
    <row r="374" spans="1:27" x14ac:dyDescent="0.3">
      <c r="A374" t="str">
        <f t="shared" si="87"/>
        <v>048314</v>
      </c>
      <c r="B374" t="str">
        <f t="shared" si="92"/>
        <v>004697</v>
      </c>
      <c r="C374" t="s">
        <v>949</v>
      </c>
      <c r="D374" t="s">
        <v>3839</v>
      </c>
      <c r="E374" t="s">
        <v>3840</v>
      </c>
      <c r="F374" t="s">
        <v>3841</v>
      </c>
      <c r="G374" t="s">
        <v>3842</v>
      </c>
      <c r="H374" t="str">
        <f t="shared" si="98"/>
        <v>048314</v>
      </c>
      <c r="I374" t="s">
        <v>833</v>
      </c>
      <c r="J374" t="str">
        <f>"2015-07-01 00:00:00.0"</f>
        <v>2015-07-01 00:00:00.0</v>
      </c>
      <c r="K374" t="s">
        <v>834</v>
      </c>
      <c r="L374" t="s">
        <v>0</v>
      </c>
      <c r="M374" t="str">
        <f t="shared" si="97"/>
        <v>048314</v>
      </c>
      <c r="N374">
        <v>1</v>
      </c>
      <c r="O374">
        <v>1</v>
      </c>
      <c r="P374" t="str">
        <f>"01"</f>
        <v>01</v>
      </c>
      <c r="Q374" t="s">
        <v>835</v>
      </c>
      <c r="S374" t="s">
        <v>836</v>
      </c>
      <c r="T374" t="s">
        <v>836</v>
      </c>
      <c r="U374" t="str">
        <f t="shared" si="102"/>
        <v>2500-12-31 00:00:00.0</v>
      </c>
      <c r="V374" t="s">
        <v>837</v>
      </c>
      <c r="W374" t="str">
        <f t="shared" si="101"/>
        <v>048314-004697-**-**</v>
      </c>
      <c r="X374" t="s">
        <v>838</v>
      </c>
      <c r="Y374">
        <v>1206.25</v>
      </c>
      <c r="Z374">
        <v>1206.25</v>
      </c>
      <c r="AA374" t="str">
        <f t="shared" si="99"/>
        <v>06/08/2016</v>
      </c>
    </row>
    <row r="375" spans="1:27" x14ac:dyDescent="0.3">
      <c r="A375" t="str">
        <f t="shared" si="87"/>
        <v>048314</v>
      </c>
      <c r="B375" t="str">
        <f t="shared" si="92"/>
        <v>004697</v>
      </c>
      <c r="C375" t="s">
        <v>2759</v>
      </c>
      <c r="D375" t="s">
        <v>3839</v>
      </c>
      <c r="E375" t="s">
        <v>3840</v>
      </c>
      <c r="F375" t="s">
        <v>3841</v>
      </c>
      <c r="G375" t="s">
        <v>3842</v>
      </c>
      <c r="H375" t="str">
        <f t="shared" si="98"/>
        <v>048314</v>
      </c>
      <c r="I375" t="s">
        <v>833</v>
      </c>
      <c r="J375" t="str">
        <f>"2015-08-01 00:00:00.0"</f>
        <v>2015-08-01 00:00:00.0</v>
      </c>
      <c r="K375" t="s">
        <v>834</v>
      </c>
      <c r="L375" t="s">
        <v>0</v>
      </c>
      <c r="M375" t="str">
        <f t="shared" si="97"/>
        <v>048314</v>
      </c>
      <c r="N375">
        <v>1</v>
      </c>
      <c r="O375">
        <v>1</v>
      </c>
      <c r="P375" t="str">
        <f>"03"</f>
        <v>03</v>
      </c>
      <c r="Q375" t="s">
        <v>835</v>
      </c>
      <c r="S375" t="s">
        <v>860</v>
      </c>
      <c r="T375" t="s">
        <v>836</v>
      </c>
      <c r="U375" t="str">
        <f t="shared" si="102"/>
        <v>2500-12-31 00:00:00.0</v>
      </c>
      <c r="V375" t="s">
        <v>837</v>
      </c>
      <c r="W375" t="str">
        <f t="shared" si="101"/>
        <v>048314-004697-**-**</v>
      </c>
      <c r="X375" t="s">
        <v>838</v>
      </c>
      <c r="Y375">
        <v>1206.25</v>
      </c>
      <c r="Z375">
        <v>1206.25</v>
      </c>
      <c r="AA375" t="str">
        <f t="shared" si="99"/>
        <v>06/08/2016</v>
      </c>
    </row>
    <row r="376" spans="1:27" x14ac:dyDescent="0.3">
      <c r="A376" t="str">
        <f t="shared" si="87"/>
        <v>048314</v>
      </c>
      <c r="B376" t="str">
        <f t="shared" si="92"/>
        <v>004697</v>
      </c>
      <c r="C376" t="s">
        <v>1845</v>
      </c>
      <c r="D376" t="s">
        <v>3839</v>
      </c>
      <c r="E376" t="s">
        <v>3840</v>
      </c>
      <c r="F376" t="s">
        <v>3841</v>
      </c>
      <c r="G376" t="s">
        <v>3842</v>
      </c>
      <c r="H376" t="str">
        <f t="shared" si="98"/>
        <v>048314</v>
      </c>
      <c r="I376" t="s">
        <v>833</v>
      </c>
      <c r="J376" t="str">
        <f>"2015-08-01 00:00:00.0"</f>
        <v>2015-08-01 00:00:00.0</v>
      </c>
      <c r="K376" t="s">
        <v>834</v>
      </c>
      <c r="L376" t="s">
        <v>0</v>
      </c>
      <c r="M376" t="str">
        <f t="shared" si="97"/>
        <v>048314</v>
      </c>
      <c r="N376">
        <v>1</v>
      </c>
      <c r="O376">
        <v>1</v>
      </c>
      <c r="P376" t="s">
        <v>764</v>
      </c>
      <c r="Q376" t="s">
        <v>835</v>
      </c>
      <c r="S376" t="s">
        <v>836</v>
      </c>
      <c r="T376" t="s">
        <v>836</v>
      </c>
      <c r="U376" t="str">
        <f t="shared" si="102"/>
        <v>2500-12-31 00:00:00.0</v>
      </c>
      <c r="V376" t="s">
        <v>837</v>
      </c>
      <c r="W376" t="str">
        <f t="shared" si="101"/>
        <v>048314-004697-**-**</v>
      </c>
      <c r="X376" t="s">
        <v>838</v>
      </c>
      <c r="Y376">
        <v>1206.25</v>
      </c>
      <c r="Z376">
        <v>1206.25</v>
      </c>
      <c r="AA376" t="str">
        <f t="shared" si="99"/>
        <v>06/08/2016</v>
      </c>
    </row>
    <row r="377" spans="1:27" x14ac:dyDescent="0.3">
      <c r="A377" t="str">
        <f t="shared" si="87"/>
        <v>048314</v>
      </c>
      <c r="B377" t="str">
        <f t="shared" si="92"/>
        <v>004697</v>
      </c>
      <c r="C377" t="s">
        <v>3629</v>
      </c>
      <c r="D377" t="s">
        <v>3839</v>
      </c>
      <c r="E377" t="s">
        <v>3840</v>
      </c>
      <c r="F377" t="s">
        <v>3841</v>
      </c>
      <c r="G377" t="s">
        <v>3842</v>
      </c>
      <c r="H377" t="str">
        <f t="shared" si="98"/>
        <v>048314</v>
      </c>
      <c r="I377" t="s">
        <v>833</v>
      </c>
      <c r="J377" t="str">
        <f>"2015-07-01 00:00:00.0"</f>
        <v>2015-07-01 00:00:00.0</v>
      </c>
      <c r="K377" t="s">
        <v>834</v>
      </c>
      <c r="L377" t="s">
        <v>0</v>
      </c>
      <c r="M377" t="str">
        <f t="shared" si="97"/>
        <v>048314</v>
      </c>
      <c r="N377">
        <v>1</v>
      </c>
      <c r="O377">
        <v>1</v>
      </c>
      <c r="P377" t="str">
        <f>"02"</f>
        <v>02</v>
      </c>
      <c r="Q377" t="str">
        <f>"05"</f>
        <v>05</v>
      </c>
      <c r="R377" t="str">
        <f>"1"</f>
        <v>1</v>
      </c>
      <c r="S377" t="s">
        <v>836</v>
      </c>
      <c r="T377" t="s">
        <v>836</v>
      </c>
      <c r="U377" t="str">
        <f t="shared" si="102"/>
        <v>2500-12-31 00:00:00.0</v>
      </c>
      <c r="V377" t="s">
        <v>837</v>
      </c>
      <c r="W377" t="str">
        <f t="shared" si="101"/>
        <v>048314-004697-**-**</v>
      </c>
      <c r="X377" t="s">
        <v>838</v>
      </c>
      <c r="Y377">
        <v>1206.25</v>
      </c>
      <c r="Z377">
        <v>1206.25</v>
      </c>
      <c r="AA377" t="str">
        <f t="shared" si="99"/>
        <v>06/08/2016</v>
      </c>
    </row>
    <row r="378" spans="1:27" x14ac:dyDescent="0.3">
      <c r="A378" t="str">
        <f t="shared" si="87"/>
        <v>048314</v>
      </c>
      <c r="B378" t="str">
        <f t="shared" si="92"/>
        <v>004697</v>
      </c>
      <c r="C378" t="s">
        <v>2304</v>
      </c>
      <c r="D378" t="s">
        <v>3839</v>
      </c>
      <c r="E378" t="s">
        <v>3840</v>
      </c>
      <c r="F378" t="s">
        <v>3841</v>
      </c>
      <c r="G378" t="s">
        <v>3842</v>
      </c>
      <c r="H378" t="str">
        <f t="shared" si="98"/>
        <v>048314</v>
      </c>
      <c r="I378" t="s">
        <v>833</v>
      </c>
      <c r="J378" t="str">
        <f>"2015-07-01 00:00:00.0"</f>
        <v>2015-07-01 00:00:00.0</v>
      </c>
      <c r="K378" t="s">
        <v>834</v>
      </c>
      <c r="L378" t="s">
        <v>0</v>
      </c>
      <c r="M378" t="str">
        <f t="shared" si="97"/>
        <v>048314</v>
      </c>
      <c r="N378">
        <v>1</v>
      </c>
      <c r="O378">
        <v>1</v>
      </c>
      <c r="P378" t="str">
        <f>"02"</f>
        <v>02</v>
      </c>
      <c r="Q378" t="s">
        <v>835</v>
      </c>
      <c r="S378" t="s">
        <v>836</v>
      </c>
      <c r="T378" t="s">
        <v>836</v>
      </c>
      <c r="U378" t="str">
        <f t="shared" si="102"/>
        <v>2500-12-31 00:00:00.0</v>
      </c>
      <c r="V378" t="s">
        <v>837</v>
      </c>
      <c r="W378" t="str">
        <f t="shared" si="101"/>
        <v>048314-004697-**-**</v>
      </c>
      <c r="X378" t="s">
        <v>838</v>
      </c>
      <c r="Y378">
        <v>1206.25</v>
      </c>
      <c r="Z378">
        <v>1206.25</v>
      </c>
      <c r="AA378" t="str">
        <f t="shared" si="99"/>
        <v>06/08/2016</v>
      </c>
    </row>
    <row r="379" spans="1:27" x14ac:dyDescent="0.3">
      <c r="A379" t="str">
        <f t="shared" si="87"/>
        <v>048314</v>
      </c>
      <c r="B379" t="str">
        <f t="shared" si="92"/>
        <v>004697</v>
      </c>
      <c r="C379" t="s">
        <v>2886</v>
      </c>
      <c r="D379" t="s">
        <v>3839</v>
      </c>
      <c r="E379" t="s">
        <v>3840</v>
      </c>
      <c r="F379" t="s">
        <v>3841</v>
      </c>
      <c r="G379" t="s">
        <v>3842</v>
      </c>
      <c r="H379" t="str">
        <f t="shared" si="98"/>
        <v>048314</v>
      </c>
      <c r="I379" t="s">
        <v>833</v>
      </c>
      <c r="J379" t="str">
        <f>"2015-07-01 00:00:00.0"</f>
        <v>2015-07-01 00:00:00.0</v>
      </c>
      <c r="K379" t="s">
        <v>834</v>
      </c>
      <c r="L379" t="s">
        <v>0</v>
      </c>
      <c r="M379" t="str">
        <f t="shared" si="97"/>
        <v>048314</v>
      </c>
      <c r="N379">
        <v>1</v>
      </c>
      <c r="O379">
        <v>1</v>
      </c>
      <c r="P379" t="str">
        <f>"05"</f>
        <v>05</v>
      </c>
      <c r="Q379" t="s">
        <v>835</v>
      </c>
      <c r="S379" t="s">
        <v>836</v>
      </c>
      <c r="T379" t="s">
        <v>836</v>
      </c>
      <c r="U379" t="str">
        <f t="shared" si="102"/>
        <v>2500-12-31 00:00:00.0</v>
      </c>
      <c r="V379" t="s">
        <v>837</v>
      </c>
      <c r="W379" t="str">
        <f>"048314-070417-**-**"</f>
        <v>048314-070417-**-**</v>
      </c>
      <c r="X379" t="s">
        <v>838</v>
      </c>
      <c r="Y379">
        <v>1125</v>
      </c>
      <c r="Z379">
        <v>1125</v>
      </c>
      <c r="AA379" t="str">
        <f t="shared" si="99"/>
        <v>06/08/2016</v>
      </c>
    </row>
    <row r="380" spans="1:27" x14ac:dyDescent="0.3">
      <c r="A380" t="str">
        <f t="shared" si="87"/>
        <v>048314</v>
      </c>
      <c r="B380" t="str">
        <f t="shared" si="92"/>
        <v>004697</v>
      </c>
      <c r="C380" t="s">
        <v>3618</v>
      </c>
      <c r="D380" t="s">
        <v>3839</v>
      </c>
      <c r="E380" t="s">
        <v>3840</v>
      </c>
      <c r="F380" t="s">
        <v>3841</v>
      </c>
      <c r="G380" t="s">
        <v>3842</v>
      </c>
      <c r="H380" t="str">
        <f t="shared" si="98"/>
        <v>048314</v>
      </c>
      <c r="I380" t="s">
        <v>833</v>
      </c>
      <c r="J380" t="str">
        <f>"2015-07-01 00:00:00.0"</f>
        <v>2015-07-01 00:00:00.0</v>
      </c>
      <c r="K380" t="s">
        <v>834</v>
      </c>
      <c r="L380" t="s">
        <v>0</v>
      </c>
      <c r="M380" t="str">
        <f t="shared" si="97"/>
        <v>048314</v>
      </c>
      <c r="N380">
        <v>1</v>
      </c>
      <c r="O380">
        <v>1</v>
      </c>
      <c r="P380" t="str">
        <f>"03"</f>
        <v>03</v>
      </c>
      <c r="Q380" t="s">
        <v>835</v>
      </c>
      <c r="S380" t="s">
        <v>836</v>
      </c>
      <c r="T380" t="s">
        <v>836</v>
      </c>
      <c r="U380" t="str">
        <f t="shared" si="102"/>
        <v>2500-12-31 00:00:00.0</v>
      </c>
      <c r="V380" t="s">
        <v>837</v>
      </c>
      <c r="W380" t="str">
        <f>"048314-004697-**-**"</f>
        <v>048314-004697-**-**</v>
      </c>
      <c r="X380" t="s">
        <v>838</v>
      </c>
      <c r="Y380">
        <v>1206.25</v>
      </c>
      <c r="Z380">
        <v>1206.25</v>
      </c>
      <c r="AA380" t="str">
        <f t="shared" si="99"/>
        <v>06/08/2016</v>
      </c>
    </row>
    <row r="381" spans="1:27" x14ac:dyDescent="0.3">
      <c r="A381" t="str">
        <f t="shared" si="87"/>
        <v>048314</v>
      </c>
      <c r="B381" t="str">
        <f t="shared" si="92"/>
        <v>004697</v>
      </c>
      <c r="C381" t="s">
        <v>1530</v>
      </c>
      <c r="D381" t="s">
        <v>3839</v>
      </c>
      <c r="E381" t="s">
        <v>3840</v>
      </c>
      <c r="F381" t="s">
        <v>3841</v>
      </c>
      <c r="G381" t="s">
        <v>3842</v>
      </c>
      <c r="H381" t="str">
        <f t="shared" si="98"/>
        <v>048314</v>
      </c>
      <c r="I381" t="s">
        <v>833</v>
      </c>
      <c r="J381" t="str">
        <f>"2015-08-01 00:00:00.0"</f>
        <v>2015-08-01 00:00:00.0</v>
      </c>
      <c r="K381" t="s">
        <v>834</v>
      </c>
      <c r="L381" t="s">
        <v>0</v>
      </c>
      <c r="M381" t="str">
        <f>"048348"</f>
        <v>048348</v>
      </c>
      <c r="N381">
        <v>1</v>
      </c>
      <c r="O381">
        <v>1</v>
      </c>
      <c r="P381" t="s">
        <v>764</v>
      </c>
      <c r="Q381" t="s">
        <v>835</v>
      </c>
      <c r="S381" t="s">
        <v>836</v>
      </c>
      <c r="T381" t="s">
        <v>836</v>
      </c>
      <c r="U381" t="str">
        <f t="shared" si="102"/>
        <v>2500-12-31 00:00:00.0</v>
      </c>
      <c r="V381" t="s">
        <v>837</v>
      </c>
      <c r="W381" t="str">
        <f>"048314-004697-**-**"</f>
        <v>048314-004697-**-**</v>
      </c>
      <c r="X381" t="s">
        <v>838</v>
      </c>
      <c r="Y381">
        <v>1206.25</v>
      </c>
      <c r="Z381">
        <v>1206.25</v>
      </c>
      <c r="AA381" t="str">
        <f t="shared" si="99"/>
        <v>06/08/2016</v>
      </c>
    </row>
    <row r="382" spans="1:27" x14ac:dyDescent="0.3">
      <c r="A382" t="str">
        <f t="shared" si="87"/>
        <v>048314</v>
      </c>
      <c r="B382" t="str">
        <f t="shared" si="92"/>
        <v>004697</v>
      </c>
      <c r="C382" t="s">
        <v>2887</v>
      </c>
      <c r="D382" t="s">
        <v>3839</v>
      </c>
      <c r="E382" t="s">
        <v>3840</v>
      </c>
      <c r="F382" t="s">
        <v>3841</v>
      </c>
      <c r="G382" t="s">
        <v>3842</v>
      </c>
      <c r="H382" t="str">
        <f t="shared" si="98"/>
        <v>048314</v>
      </c>
      <c r="I382" t="s">
        <v>833</v>
      </c>
      <c r="J382" t="str">
        <f>"2015-07-01 00:00:00.0"</f>
        <v>2015-07-01 00:00:00.0</v>
      </c>
      <c r="K382" t="s">
        <v>834</v>
      </c>
      <c r="L382" t="s">
        <v>0</v>
      </c>
      <c r="M382" t="str">
        <f t="shared" ref="M382:M445" si="103">"048314"</f>
        <v>048314</v>
      </c>
      <c r="N382">
        <v>1</v>
      </c>
      <c r="O382">
        <v>1</v>
      </c>
      <c r="P382" t="str">
        <f>"05"</f>
        <v>05</v>
      </c>
      <c r="Q382" t="s">
        <v>835</v>
      </c>
      <c r="S382" t="s">
        <v>836</v>
      </c>
      <c r="T382" t="s">
        <v>836</v>
      </c>
      <c r="U382" t="str">
        <f t="shared" si="102"/>
        <v>2500-12-31 00:00:00.0</v>
      </c>
      <c r="V382" t="s">
        <v>837</v>
      </c>
      <c r="W382" t="str">
        <f>"048314-070417-**-**"</f>
        <v>048314-070417-**-**</v>
      </c>
      <c r="X382" t="s">
        <v>838</v>
      </c>
      <c r="Y382">
        <v>1125</v>
      </c>
      <c r="Z382">
        <v>1125</v>
      </c>
      <c r="AA382" t="str">
        <f t="shared" si="99"/>
        <v>06/08/2016</v>
      </c>
    </row>
    <row r="383" spans="1:27" x14ac:dyDescent="0.3">
      <c r="A383" t="str">
        <f t="shared" si="87"/>
        <v>048314</v>
      </c>
      <c r="B383" t="str">
        <f t="shared" si="92"/>
        <v>004697</v>
      </c>
      <c r="C383" t="s">
        <v>3383</v>
      </c>
      <c r="D383" t="s">
        <v>3839</v>
      </c>
      <c r="E383" t="s">
        <v>3840</v>
      </c>
      <c r="F383" t="s">
        <v>3841</v>
      </c>
      <c r="G383" t="s">
        <v>3842</v>
      </c>
      <c r="H383" t="str">
        <f t="shared" si="98"/>
        <v>048314</v>
      </c>
      <c r="I383" t="s">
        <v>833</v>
      </c>
      <c r="J383" t="str">
        <f>"2015-07-01 00:00:00.0"</f>
        <v>2015-07-01 00:00:00.0</v>
      </c>
      <c r="K383" t="s">
        <v>834</v>
      </c>
      <c r="L383" t="s">
        <v>0</v>
      </c>
      <c r="M383" t="str">
        <f t="shared" si="103"/>
        <v>048314</v>
      </c>
      <c r="N383">
        <v>1</v>
      </c>
      <c r="O383">
        <v>1</v>
      </c>
      <c r="P383" t="str">
        <f>"04"</f>
        <v>04</v>
      </c>
      <c r="Q383" t="s">
        <v>835</v>
      </c>
      <c r="S383" t="s">
        <v>836</v>
      </c>
      <c r="T383" t="s">
        <v>836</v>
      </c>
      <c r="U383" t="str">
        <f t="shared" si="102"/>
        <v>2500-12-31 00:00:00.0</v>
      </c>
      <c r="V383" t="s">
        <v>837</v>
      </c>
      <c r="W383" t="str">
        <f>"048314-004697-**-**"</f>
        <v>048314-004697-**-**</v>
      </c>
      <c r="X383" t="s">
        <v>838</v>
      </c>
      <c r="Y383">
        <v>1206.25</v>
      </c>
      <c r="Z383">
        <v>1206.25</v>
      </c>
      <c r="AA383" t="str">
        <f t="shared" si="99"/>
        <v>06/08/2016</v>
      </c>
    </row>
    <row r="384" spans="1:27" x14ac:dyDescent="0.3">
      <c r="A384" t="str">
        <f t="shared" si="87"/>
        <v>048314</v>
      </c>
      <c r="B384" t="str">
        <f t="shared" si="92"/>
        <v>004697</v>
      </c>
      <c r="C384" t="s">
        <v>3613</v>
      </c>
      <c r="D384" t="s">
        <v>3839</v>
      </c>
      <c r="E384" t="s">
        <v>3840</v>
      </c>
      <c r="F384" t="s">
        <v>3841</v>
      </c>
      <c r="G384" t="s">
        <v>3842</v>
      </c>
      <c r="H384" t="str">
        <f t="shared" si="98"/>
        <v>048314</v>
      </c>
      <c r="I384" t="s">
        <v>833</v>
      </c>
      <c r="J384" t="str">
        <f>"2015-07-01 00:00:00.0"</f>
        <v>2015-07-01 00:00:00.0</v>
      </c>
      <c r="K384" t="s">
        <v>834</v>
      </c>
      <c r="L384" t="s">
        <v>0</v>
      </c>
      <c r="M384" t="str">
        <f t="shared" si="103"/>
        <v>048314</v>
      </c>
      <c r="N384">
        <v>1</v>
      </c>
      <c r="O384">
        <v>1</v>
      </c>
      <c r="P384" t="str">
        <f>"03"</f>
        <v>03</v>
      </c>
      <c r="Q384" t="s">
        <v>835</v>
      </c>
      <c r="S384" t="s">
        <v>836</v>
      </c>
      <c r="T384" t="s">
        <v>836</v>
      </c>
      <c r="U384" t="str">
        <f t="shared" si="102"/>
        <v>2500-12-31 00:00:00.0</v>
      </c>
      <c r="V384" t="s">
        <v>837</v>
      </c>
      <c r="W384" t="str">
        <f>"048314-004697-**-**"</f>
        <v>048314-004697-**-**</v>
      </c>
      <c r="X384" t="s">
        <v>838</v>
      </c>
      <c r="Y384">
        <v>1206.25</v>
      </c>
      <c r="Z384">
        <v>1206.25</v>
      </c>
      <c r="AA384" t="str">
        <f t="shared" si="99"/>
        <v>06/08/2016</v>
      </c>
    </row>
    <row r="385" spans="1:27" x14ac:dyDescent="0.3">
      <c r="A385" t="str">
        <f t="shared" si="87"/>
        <v>048314</v>
      </c>
      <c r="B385" t="str">
        <f t="shared" si="92"/>
        <v>004697</v>
      </c>
      <c r="C385" t="s">
        <v>3449</v>
      </c>
      <c r="D385" t="s">
        <v>3839</v>
      </c>
      <c r="E385" t="s">
        <v>3840</v>
      </c>
      <c r="F385" t="s">
        <v>3841</v>
      </c>
      <c r="G385" t="s">
        <v>3842</v>
      </c>
      <c r="H385" t="str">
        <f t="shared" si="98"/>
        <v>048314</v>
      </c>
      <c r="I385" t="s">
        <v>833</v>
      </c>
      <c r="J385" t="str">
        <f>"2015-07-01 00:00:00.0"</f>
        <v>2015-07-01 00:00:00.0</v>
      </c>
      <c r="K385" t="s">
        <v>834</v>
      </c>
      <c r="L385" t="s">
        <v>0</v>
      </c>
      <c r="M385" t="str">
        <f t="shared" si="103"/>
        <v>048314</v>
      </c>
      <c r="N385">
        <v>1</v>
      </c>
      <c r="O385">
        <v>1</v>
      </c>
      <c r="P385" t="str">
        <f>"02"</f>
        <v>02</v>
      </c>
      <c r="Q385" t="str">
        <f>"05"</f>
        <v>05</v>
      </c>
      <c r="R385" t="str">
        <f>"1"</f>
        <v>1</v>
      </c>
      <c r="S385" t="s">
        <v>836</v>
      </c>
      <c r="T385" t="s">
        <v>836</v>
      </c>
      <c r="U385" t="str">
        <f t="shared" si="102"/>
        <v>2500-12-31 00:00:00.0</v>
      </c>
      <c r="V385" t="s">
        <v>837</v>
      </c>
      <c r="W385" t="str">
        <f>"048314-004697-**-**"</f>
        <v>048314-004697-**-**</v>
      </c>
      <c r="X385" t="s">
        <v>838</v>
      </c>
      <c r="Y385">
        <v>1206.25</v>
      </c>
      <c r="Z385">
        <v>1206.25</v>
      </c>
      <c r="AA385" t="str">
        <f t="shared" si="99"/>
        <v>06/08/2016</v>
      </c>
    </row>
    <row r="386" spans="1:27" x14ac:dyDescent="0.3">
      <c r="A386" t="str">
        <f t="shared" ref="A386:A449" si="104">"048314"</f>
        <v>048314</v>
      </c>
      <c r="B386" t="str">
        <f t="shared" si="92"/>
        <v>004697</v>
      </c>
      <c r="C386" t="s">
        <v>2888</v>
      </c>
      <c r="D386" t="s">
        <v>3839</v>
      </c>
      <c r="E386" t="s">
        <v>3840</v>
      </c>
      <c r="F386" t="s">
        <v>3841</v>
      </c>
      <c r="G386" t="s">
        <v>3842</v>
      </c>
      <c r="H386" t="str">
        <f t="shared" si="98"/>
        <v>048314</v>
      </c>
      <c r="I386" t="s">
        <v>833</v>
      </c>
      <c r="J386" t="str">
        <f>"2015-07-01 00:00:00.0"</f>
        <v>2015-07-01 00:00:00.0</v>
      </c>
      <c r="K386" t="s">
        <v>834</v>
      </c>
      <c r="L386" t="s">
        <v>0</v>
      </c>
      <c r="M386" t="str">
        <f t="shared" si="103"/>
        <v>048314</v>
      </c>
      <c r="N386">
        <v>1</v>
      </c>
      <c r="O386">
        <v>1</v>
      </c>
      <c r="P386" t="str">
        <f>"05"</f>
        <v>05</v>
      </c>
      <c r="Q386" t="s">
        <v>835</v>
      </c>
      <c r="S386" t="s">
        <v>836</v>
      </c>
      <c r="T386" t="s">
        <v>836</v>
      </c>
      <c r="U386" t="str">
        <f t="shared" si="102"/>
        <v>2500-12-31 00:00:00.0</v>
      </c>
      <c r="V386" t="s">
        <v>837</v>
      </c>
      <c r="W386" t="str">
        <f>"048314-070417-**-**"</f>
        <v>048314-070417-**-**</v>
      </c>
      <c r="X386" t="s">
        <v>838</v>
      </c>
      <c r="Y386">
        <v>1125</v>
      </c>
      <c r="Z386">
        <v>1125</v>
      </c>
      <c r="AA386" t="str">
        <f t="shared" si="99"/>
        <v>06/08/2016</v>
      </c>
    </row>
    <row r="387" spans="1:27" x14ac:dyDescent="0.3">
      <c r="A387" t="str">
        <f t="shared" si="104"/>
        <v>048314</v>
      </c>
      <c r="B387" t="str">
        <f t="shared" si="92"/>
        <v>004697</v>
      </c>
      <c r="C387" t="s">
        <v>3218</v>
      </c>
      <c r="D387" t="s">
        <v>3839</v>
      </c>
      <c r="E387" t="s">
        <v>3840</v>
      </c>
      <c r="F387" t="s">
        <v>3841</v>
      </c>
      <c r="G387" t="s">
        <v>3842</v>
      </c>
      <c r="H387" t="str">
        <f t="shared" si="98"/>
        <v>048314</v>
      </c>
      <c r="I387" t="s">
        <v>833</v>
      </c>
      <c r="J387" t="str">
        <f>"2015-11-24 00:00:00.0"</f>
        <v>2015-11-24 00:00:00.0</v>
      </c>
      <c r="K387" t="s">
        <v>834</v>
      </c>
      <c r="L387" t="s">
        <v>0</v>
      </c>
      <c r="M387" t="str">
        <f t="shared" si="103"/>
        <v>048314</v>
      </c>
      <c r="N387">
        <v>0.67357500000000003</v>
      </c>
      <c r="O387">
        <v>0.64781200000000005</v>
      </c>
      <c r="P387" t="str">
        <f>"03"</f>
        <v>03</v>
      </c>
      <c r="Q387" t="s">
        <v>835</v>
      </c>
      <c r="S387" t="s">
        <v>836</v>
      </c>
      <c r="T387" t="s">
        <v>836</v>
      </c>
      <c r="U387" t="str">
        <f t="shared" si="102"/>
        <v>2500-12-31 00:00:00.0</v>
      </c>
      <c r="V387" t="s">
        <v>837</v>
      </c>
      <c r="W387" t="str">
        <f>"048314-004697-**-**"</f>
        <v>048314-004697-**-**</v>
      </c>
      <c r="X387" t="s">
        <v>838</v>
      </c>
      <c r="Y387">
        <v>812.5</v>
      </c>
      <c r="Z387">
        <v>1206.25</v>
      </c>
      <c r="AA387" t="str">
        <f t="shared" si="99"/>
        <v>06/08/2016</v>
      </c>
    </row>
    <row r="388" spans="1:27" x14ac:dyDescent="0.3">
      <c r="A388" t="str">
        <f t="shared" si="104"/>
        <v>048314</v>
      </c>
      <c r="B388" t="str">
        <f t="shared" si="92"/>
        <v>004697</v>
      </c>
      <c r="C388" t="s">
        <v>3693</v>
      </c>
      <c r="D388" t="s">
        <v>3839</v>
      </c>
      <c r="E388" t="s">
        <v>3840</v>
      </c>
      <c r="F388" t="s">
        <v>3841</v>
      </c>
      <c r="G388" t="s">
        <v>3842</v>
      </c>
      <c r="H388" t="str">
        <f t="shared" si="98"/>
        <v>048314</v>
      </c>
      <c r="I388" t="s">
        <v>833</v>
      </c>
      <c r="J388" t="str">
        <f>"2015-08-01 00:00:00.0"</f>
        <v>2015-08-01 00:00:00.0</v>
      </c>
      <c r="K388" t="s">
        <v>834</v>
      </c>
      <c r="L388" t="s">
        <v>0</v>
      </c>
      <c r="M388" t="str">
        <f t="shared" si="103"/>
        <v>048314</v>
      </c>
      <c r="N388">
        <v>1</v>
      </c>
      <c r="O388">
        <v>1</v>
      </c>
      <c r="P388" t="s">
        <v>764</v>
      </c>
      <c r="Q388" t="s">
        <v>835</v>
      </c>
      <c r="S388" t="s">
        <v>836</v>
      </c>
      <c r="T388" t="s">
        <v>836</v>
      </c>
      <c r="U388" t="str">
        <f t="shared" si="102"/>
        <v>2500-12-31 00:00:00.0</v>
      </c>
      <c r="V388" t="s">
        <v>837</v>
      </c>
      <c r="W388" t="str">
        <f>"048314-004697-**-**"</f>
        <v>048314-004697-**-**</v>
      </c>
      <c r="X388" t="s">
        <v>838</v>
      </c>
      <c r="Y388">
        <v>1206.25</v>
      </c>
      <c r="Z388">
        <v>1206.25</v>
      </c>
      <c r="AA388" t="str">
        <f t="shared" si="99"/>
        <v>06/08/2016</v>
      </c>
    </row>
    <row r="389" spans="1:27" x14ac:dyDescent="0.3">
      <c r="A389" t="str">
        <f t="shared" si="104"/>
        <v>048314</v>
      </c>
      <c r="B389" t="str">
        <f t="shared" si="92"/>
        <v>004697</v>
      </c>
      <c r="C389" t="s">
        <v>910</v>
      </c>
      <c r="D389" t="s">
        <v>3839</v>
      </c>
      <c r="E389" t="s">
        <v>3840</v>
      </c>
      <c r="F389" t="s">
        <v>3841</v>
      </c>
      <c r="G389" t="s">
        <v>3842</v>
      </c>
      <c r="H389" t="str">
        <f t="shared" si="98"/>
        <v>048314</v>
      </c>
      <c r="I389" t="s">
        <v>833</v>
      </c>
      <c r="J389" t="str">
        <f>"2015-08-01 00:00:00.0"</f>
        <v>2015-08-01 00:00:00.0</v>
      </c>
      <c r="K389" t="s">
        <v>834</v>
      </c>
      <c r="L389" t="s">
        <v>0</v>
      </c>
      <c r="M389" t="str">
        <f t="shared" si="103"/>
        <v>048314</v>
      </c>
      <c r="N389">
        <v>1</v>
      </c>
      <c r="O389">
        <v>1</v>
      </c>
      <c r="P389" t="s">
        <v>764</v>
      </c>
      <c r="Q389" t="s">
        <v>835</v>
      </c>
      <c r="S389" t="s">
        <v>836</v>
      </c>
      <c r="T389" t="s">
        <v>836</v>
      </c>
      <c r="U389" t="str">
        <f t="shared" si="102"/>
        <v>2500-12-31 00:00:00.0</v>
      </c>
      <c r="V389" t="s">
        <v>837</v>
      </c>
      <c r="W389" t="str">
        <f>"048314-004697-**-**"</f>
        <v>048314-004697-**-**</v>
      </c>
      <c r="X389" t="s">
        <v>838</v>
      </c>
      <c r="Y389">
        <v>1206.25</v>
      </c>
      <c r="Z389">
        <v>1206.25</v>
      </c>
      <c r="AA389" t="str">
        <f t="shared" si="99"/>
        <v>06/08/2016</v>
      </c>
    </row>
    <row r="390" spans="1:27" x14ac:dyDescent="0.3">
      <c r="A390" t="str">
        <f t="shared" si="104"/>
        <v>048314</v>
      </c>
      <c r="B390" t="str">
        <f t="shared" si="92"/>
        <v>004697</v>
      </c>
      <c r="C390" t="s">
        <v>1503</v>
      </c>
      <c r="D390" t="s">
        <v>3839</v>
      </c>
      <c r="E390" t="s">
        <v>3840</v>
      </c>
      <c r="F390" t="s">
        <v>3841</v>
      </c>
      <c r="G390" t="s">
        <v>3842</v>
      </c>
      <c r="H390" t="str">
        <f t="shared" si="98"/>
        <v>048314</v>
      </c>
      <c r="I390" t="s">
        <v>833</v>
      </c>
      <c r="J390" t="str">
        <f>"2015-07-01 00:00:00.0"</f>
        <v>2015-07-01 00:00:00.0</v>
      </c>
      <c r="K390" t="s">
        <v>834</v>
      </c>
      <c r="L390" t="s">
        <v>0</v>
      </c>
      <c r="M390" t="str">
        <f t="shared" si="103"/>
        <v>048314</v>
      </c>
      <c r="N390">
        <v>1</v>
      </c>
      <c r="O390">
        <v>1</v>
      </c>
      <c r="P390" t="str">
        <f>"02"</f>
        <v>02</v>
      </c>
      <c r="Q390" t="s">
        <v>835</v>
      </c>
      <c r="S390" t="s">
        <v>836</v>
      </c>
      <c r="T390" t="s">
        <v>836</v>
      </c>
      <c r="U390" t="str">
        <f t="shared" si="102"/>
        <v>2500-12-31 00:00:00.0</v>
      </c>
      <c r="V390" t="s">
        <v>837</v>
      </c>
      <c r="W390" t="str">
        <f>"048314-004697-**-**"</f>
        <v>048314-004697-**-**</v>
      </c>
      <c r="X390" t="s">
        <v>838</v>
      </c>
      <c r="Y390">
        <v>1206.25</v>
      </c>
      <c r="Z390">
        <v>1206.25</v>
      </c>
      <c r="AA390" t="str">
        <f t="shared" si="99"/>
        <v>06/08/2016</v>
      </c>
    </row>
    <row r="391" spans="1:27" x14ac:dyDescent="0.3">
      <c r="A391" t="str">
        <f t="shared" si="104"/>
        <v>048314</v>
      </c>
      <c r="B391" t="str">
        <f t="shared" si="92"/>
        <v>004697</v>
      </c>
      <c r="C391" t="s">
        <v>1067</v>
      </c>
      <c r="D391" t="s">
        <v>3839</v>
      </c>
      <c r="E391" t="s">
        <v>3840</v>
      </c>
      <c r="F391" t="s">
        <v>3841</v>
      </c>
      <c r="G391" t="s">
        <v>3842</v>
      </c>
      <c r="H391" t="str">
        <f t="shared" si="98"/>
        <v>048314</v>
      </c>
      <c r="I391" t="s">
        <v>833</v>
      </c>
      <c r="J391" t="str">
        <f>"2015-08-17 00:00:00.0"</f>
        <v>2015-08-17 00:00:00.0</v>
      </c>
      <c r="K391" t="s">
        <v>834</v>
      </c>
      <c r="L391" t="s">
        <v>0</v>
      </c>
      <c r="M391" t="str">
        <f t="shared" si="103"/>
        <v>048314</v>
      </c>
      <c r="N391">
        <v>1</v>
      </c>
      <c r="O391">
        <v>1</v>
      </c>
      <c r="P391" t="str">
        <f>"01"</f>
        <v>01</v>
      </c>
      <c r="Q391" t="s">
        <v>835</v>
      </c>
      <c r="S391" t="s">
        <v>836</v>
      </c>
      <c r="T391" t="s">
        <v>836</v>
      </c>
      <c r="U391" t="str">
        <f t="shared" si="102"/>
        <v>2500-12-31 00:00:00.0</v>
      </c>
      <c r="V391" t="s">
        <v>837</v>
      </c>
      <c r="W391" t="str">
        <f>"048314-004697-**-**"</f>
        <v>048314-004697-**-**</v>
      </c>
      <c r="X391" t="s">
        <v>838</v>
      </c>
      <c r="Y391">
        <v>1206.25</v>
      </c>
      <c r="Z391">
        <v>1206.25</v>
      </c>
      <c r="AA391" t="str">
        <f t="shared" si="99"/>
        <v>06/08/2016</v>
      </c>
    </row>
    <row r="392" spans="1:27" x14ac:dyDescent="0.3">
      <c r="A392" t="str">
        <f t="shared" si="104"/>
        <v>048314</v>
      </c>
      <c r="B392" t="str">
        <f t="shared" si="92"/>
        <v>004697</v>
      </c>
      <c r="C392" t="s">
        <v>2892</v>
      </c>
      <c r="D392" t="s">
        <v>3839</v>
      </c>
      <c r="E392" t="s">
        <v>3840</v>
      </c>
      <c r="F392" t="s">
        <v>3841</v>
      </c>
      <c r="G392" t="s">
        <v>3842</v>
      </c>
      <c r="H392" t="str">
        <f t="shared" si="98"/>
        <v>048314</v>
      </c>
      <c r="I392" t="s">
        <v>833</v>
      </c>
      <c r="J392" t="str">
        <f>"2015-07-01 00:00:00.0"</f>
        <v>2015-07-01 00:00:00.0</v>
      </c>
      <c r="K392" t="s">
        <v>834</v>
      </c>
      <c r="L392" t="s">
        <v>0</v>
      </c>
      <c r="M392" t="str">
        <f t="shared" si="103"/>
        <v>048314</v>
      </c>
      <c r="N392">
        <v>1</v>
      </c>
      <c r="O392">
        <v>1</v>
      </c>
      <c r="P392" t="str">
        <f>"05"</f>
        <v>05</v>
      </c>
      <c r="Q392" t="s">
        <v>835</v>
      </c>
      <c r="S392" t="s">
        <v>836</v>
      </c>
      <c r="T392" t="s">
        <v>836</v>
      </c>
      <c r="U392" t="str">
        <f t="shared" si="102"/>
        <v>2500-12-31 00:00:00.0</v>
      </c>
      <c r="V392" t="s">
        <v>837</v>
      </c>
      <c r="W392" t="str">
        <f>"048314-070417-**-**"</f>
        <v>048314-070417-**-**</v>
      </c>
      <c r="X392" t="s">
        <v>838</v>
      </c>
      <c r="Y392">
        <v>1125</v>
      </c>
      <c r="Z392">
        <v>1125</v>
      </c>
      <c r="AA392" t="str">
        <f t="shared" si="99"/>
        <v>06/08/2016</v>
      </c>
    </row>
    <row r="393" spans="1:27" x14ac:dyDescent="0.3">
      <c r="A393" t="str">
        <f t="shared" si="104"/>
        <v>048314</v>
      </c>
      <c r="B393" t="str">
        <f t="shared" si="92"/>
        <v>004697</v>
      </c>
      <c r="C393" t="s">
        <v>3338</v>
      </c>
      <c r="D393" t="s">
        <v>3839</v>
      </c>
      <c r="E393" t="s">
        <v>3840</v>
      </c>
      <c r="F393" t="s">
        <v>3841</v>
      </c>
      <c r="G393" t="s">
        <v>3842</v>
      </c>
      <c r="H393" t="str">
        <f t="shared" si="98"/>
        <v>048314</v>
      </c>
      <c r="I393" t="s">
        <v>833</v>
      </c>
      <c r="J393" t="str">
        <f>"2015-07-01 00:00:00.0"</f>
        <v>2015-07-01 00:00:00.0</v>
      </c>
      <c r="K393" t="s">
        <v>834</v>
      </c>
      <c r="L393" t="s">
        <v>0</v>
      </c>
      <c r="M393" t="str">
        <f t="shared" si="103"/>
        <v>048314</v>
      </c>
      <c r="N393">
        <v>1</v>
      </c>
      <c r="O393">
        <v>1</v>
      </c>
      <c r="P393" t="str">
        <f>"04"</f>
        <v>04</v>
      </c>
      <c r="Q393" t="s">
        <v>835</v>
      </c>
      <c r="S393" t="s">
        <v>836</v>
      </c>
      <c r="T393" t="s">
        <v>836</v>
      </c>
      <c r="U393" t="str">
        <f t="shared" si="102"/>
        <v>2500-12-31 00:00:00.0</v>
      </c>
      <c r="V393" t="s">
        <v>837</v>
      </c>
      <c r="W393" t="str">
        <f>"048314-004697-**-**"</f>
        <v>048314-004697-**-**</v>
      </c>
      <c r="X393" t="s">
        <v>838</v>
      </c>
      <c r="Y393">
        <v>1206.25</v>
      </c>
      <c r="Z393">
        <v>1206.25</v>
      </c>
      <c r="AA393" t="str">
        <f t="shared" si="99"/>
        <v>06/08/2016</v>
      </c>
    </row>
    <row r="394" spans="1:27" x14ac:dyDescent="0.3">
      <c r="A394" t="str">
        <f t="shared" si="104"/>
        <v>048314</v>
      </c>
      <c r="B394" t="str">
        <f t="shared" si="92"/>
        <v>004697</v>
      </c>
      <c r="C394" t="s">
        <v>2777</v>
      </c>
      <c r="D394" t="s">
        <v>3839</v>
      </c>
      <c r="E394" t="s">
        <v>3840</v>
      </c>
      <c r="F394" t="s">
        <v>3841</v>
      </c>
      <c r="G394" t="s">
        <v>3842</v>
      </c>
      <c r="H394" t="str">
        <f t="shared" si="98"/>
        <v>048314</v>
      </c>
      <c r="I394" t="s">
        <v>833</v>
      </c>
      <c r="J394" t="str">
        <f>"2015-07-01 00:00:00.0"</f>
        <v>2015-07-01 00:00:00.0</v>
      </c>
      <c r="K394" t="s">
        <v>834</v>
      </c>
      <c r="L394" t="s">
        <v>0</v>
      </c>
      <c r="M394" t="str">
        <f t="shared" si="103"/>
        <v>048314</v>
      </c>
      <c r="N394">
        <v>1</v>
      </c>
      <c r="O394">
        <v>1</v>
      </c>
      <c r="P394" t="str">
        <f>"05"</f>
        <v>05</v>
      </c>
      <c r="Q394" t="str">
        <f>"10"</f>
        <v>10</v>
      </c>
      <c r="R394" t="str">
        <f>"2"</f>
        <v>2</v>
      </c>
      <c r="S394" t="s">
        <v>836</v>
      </c>
      <c r="T394" t="s">
        <v>836</v>
      </c>
      <c r="U394" t="str">
        <f t="shared" si="102"/>
        <v>2500-12-31 00:00:00.0</v>
      </c>
      <c r="V394" t="s">
        <v>837</v>
      </c>
      <c r="W394" t="str">
        <f>"048314-070417-**-**"</f>
        <v>048314-070417-**-**</v>
      </c>
      <c r="X394" t="s">
        <v>838</v>
      </c>
      <c r="Y394">
        <v>1125</v>
      </c>
      <c r="Z394">
        <v>1125</v>
      </c>
      <c r="AA394" t="str">
        <f t="shared" si="99"/>
        <v>06/08/2016</v>
      </c>
    </row>
    <row r="395" spans="1:27" x14ac:dyDescent="0.3">
      <c r="A395" t="str">
        <f t="shared" si="104"/>
        <v>048314</v>
      </c>
      <c r="B395" t="str">
        <f t="shared" si="92"/>
        <v>004697</v>
      </c>
      <c r="C395" t="s">
        <v>2791</v>
      </c>
      <c r="D395" t="s">
        <v>3839</v>
      </c>
      <c r="E395" t="s">
        <v>3840</v>
      </c>
      <c r="F395" t="s">
        <v>3841</v>
      </c>
      <c r="G395" t="s">
        <v>3842</v>
      </c>
      <c r="H395" t="str">
        <f t="shared" si="98"/>
        <v>048314</v>
      </c>
      <c r="I395" t="s">
        <v>833</v>
      </c>
      <c r="J395" t="str">
        <f>"2015-07-01 00:00:00.0"</f>
        <v>2015-07-01 00:00:00.0</v>
      </c>
      <c r="K395" t="s">
        <v>834</v>
      </c>
      <c r="L395" t="s">
        <v>0</v>
      </c>
      <c r="M395" t="str">
        <f t="shared" si="103"/>
        <v>048314</v>
      </c>
      <c r="N395">
        <v>7.7778E-2</v>
      </c>
      <c r="O395">
        <v>7.7778E-2</v>
      </c>
      <c r="P395" t="str">
        <f>"05"</f>
        <v>05</v>
      </c>
      <c r="Q395" t="s">
        <v>835</v>
      </c>
      <c r="S395" t="s">
        <v>836</v>
      </c>
      <c r="T395" t="s">
        <v>836</v>
      </c>
      <c r="U395" t="str">
        <f>"2015-09-20 00:00:00.0"</f>
        <v>2015-09-20 00:00:00.0</v>
      </c>
      <c r="V395" t="s">
        <v>837</v>
      </c>
      <c r="W395" t="str">
        <f>"048314-070417-**-**"</f>
        <v>048314-070417-**-**</v>
      </c>
      <c r="X395" t="s">
        <v>838</v>
      </c>
      <c r="Y395">
        <v>87.5</v>
      </c>
      <c r="Z395">
        <v>1125</v>
      </c>
      <c r="AA395" t="str">
        <f t="shared" si="99"/>
        <v>06/08/2016</v>
      </c>
    </row>
    <row r="396" spans="1:27" x14ac:dyDescent="0.3">
      <c r="A396" t="str">
        <f t="shared" si="104"/>
        <v>048314</v>
      </c>
      <c r="B396" t="str">
        <f t="shared" si="92"/>
        <v>004697</v>
      </c>
      <c r="C396" t="s">
        <v>2791</v>
      </c>
      <c r="D396" t="s">
        <v>3839</v>
      </c>
      <c r="E396" t="s">
        <v>3840</v>
      </c>
      <c r="F396" t="s">
        <v>3841</v>
      </c>
      <c r="G396" t="s">
        <v>3842</v>
      </c>
      <c r="H396" t="str">
        <f t="shared" si="98"/>
        <v>048314</v>
      </c>
      <c r="I396" t="s">
        <v>833</v>
      </c>
      <c r="J396" t="str">
        <f>"2015-09-21 00:00:00.0"</f>
        <v>2015-09-21 00:00:00.0</v>
      </c>
      <c r="K396" t="s">
        <v>834</v>
      </c>
      <c r="L396" t="s">
        <v>0</v>
      </c>
      <c r="M396" t="str">
        <f t="shared" si="103"/>
        <v>048314</v>
      </c>
      <c r="N396">
        <v>0.92222199999999999</v>
      </c>
      <c r="O396">
        <v>0.92222199999999999</v>
      </c>
      <c r="P396" t="str">
        <f>"05"</f>
        <v>05</v>
      </c>
      <c r="Q396" t="s">
        <v>835</v>
      </c>
      <c r="S396" t="s">
        <v>836</v>
      </c>
      <c r="T396" t="s">
        <v>836</v>
      </c>
      <c r="U396" t="str">
        <f t="shared" ref="U396:U402" si="105">"2500-12-31 00:00:00.0"</f>
        <v>2500-12-31 00:00:00.0</v>
      </c>
      <c r="V396" t="s">
        <v>837</v>
      </c>
      <c r="W396" t="str">
        <f>"048314-070417-**-**"</f>
        <v>048314-070417-**-**</v>
      </c>
      <c r="X396" t="s">
        <v>838</v>
      </c>
      <c r="Y396">
        <v>1037.5</v>
      </c>
      <c r="Z396">
        <v>1125</v>
      </c>
      <c r="AA396" t="str">
        <f t="shared" si="99"/>
        <v>06/08/2016</v>
      </c>
    </row>
    <row r="397" spans="1:27" x14ac:dyDescent="0.3">
      <c r="A397" t="str">
        <f t="shared" si="104"/>
        <v>048314</v>
      </c>
      <c r="B397" t="str">
        <f t="shared" si="92"/>
        <v>004697</v>
      </c>
      <c r="C397" t="s">
        <v>3073</v>
      </c>
      <c r="D397" t="s">
        <v>3839</v>
      </c>
      <c r="E397" t="s">
        <v>3840</v>
      </c>
      <c r="F397" t="s">
        <v>3841</v>
      </c>
      <c r="G397" t="s">
        <v>3842</v>
      </c>
      <c r="H397" t="str">
        <f t="shared" si="98"/>
        <v>048314</v>
      </c>
      <c r="I397" t="s">
        <v>833</v>
      </c>
      <c r="J397" t="str">
        <f>"2015-07-01 00:00:00.0"</f>
        <v>2015-07-01 00:00:00.0</v>
      </c>
      <c r="K397" t="s">
        <v>834</v>
      </c>
      <c r="L397" t="s">
        <v>0</v>
      </c>
      <c r="M397" t="str">
        <f t="shared" si="103"/>
        <v>048314</v>
      </c>
      <c r="N397">
        <v>1</v>
      </c>
      <c r="O397">
        <v>1</v>
      </c>
      <c r="P397" t="str">
        <f>"04"</f>
        <v>04</v>
      </c>
      <c r="Q397" t="s">
        <v>835</v>
      </c>
      <c r="S397" t="s">
        <v>836</v>
      </c>
      <c r="T397" t="s">
        <v>836</v>
      </c>
      <c r="U397" t="str">
        <f t="shared" si="105"/>
        <v>2500-12-31 00:00:00.0</v>
      </c>
      <c r="V397" t="s">
        <v>837</v>
      </c>
      <c r="W397" t="str">
        <f>"048314-004697-**-**"</f>
        <v>048314-004697-**-**</v>
      </c>
      <c r="X397" t="s">
        <v>838</v>
      </c>
      <c r="Y397">
        <v>1206.25</v>
      </c>
      <c r="Z397">
        <v>1206.25</v>
      </c>
      <c r="AA397" t="str">
        <f t="shared" si="99"/>
        <v>06/08/2016</v>
      </c>
    </row>
    <row r="398" spans="1:27" x14ac:dyDescent="0.3">
      <c r="A398" t="str">
        <f t="shared" si="104"/>
        <v>048314</v>
      </c>
      <c r="B398" t="str">
        <f t="shared" si="92"/>
        <v>004697</v>
      </c>
      <c r="C398" t="s">
        <v>2896</v>
      </c>
      <c r="D398" t="s">
        <v>3839</v>
      </c>
      <c r="E398" t="s">
        <v>3840</v>
      </c>
      <c r="F398" t="s">
        <v>3841</v>
      </c>
      <c r="G398" t="s">
        <v>3842</v>
      </c>
      <c r="H398" t="str">
        <f t="shared" si="98"/>
        <v>048314</v>
      </c>
      <c r="I398" t="s">
        <v>833</v>
      </c>
      <c r="J398" t="str">
        <f>"2015-07-01 00:00:00.0"</f>
        <v>2015-07-01 00:00:00.0</v>
      </c>
      <c r="K398" t="s">
        <v>834</v>
      </c>
      <c r="L398" t="s">
        <v>0</v>
      </c>
      <c r="M398" t="str">
        <f t="shared" si="103"/>
        <v>048314</v>
      </c>
      <c r="N398">
        <v>1</v>
      </c>
      <c r="O398">
        <v>1</v>
      </c>
      <c r="P398" t="str">
        <f>"05"</f>
        <v>05</v>
      </c>
      <c r="Q398" t="s">
        <v>835</v>
      </c>
      <c r="S398" t="s">
        <v>836</v>
      </c>
      <c r="T398" t="s">
        <v>836</v>
      </c>
      <c r="U398" t="str">
        <f t="shared" si="105"/>
        <v>2500-12-31 00:00:00.0</v>
      </c>
      <c r="V398" t="s">
        <v>837</v>
      </c>
      <c r="W398" t="str">
        <f>"048314-070417-**-**"</f>
        <v>048314-070417-**-**</v>
      </c>
      <c r="X398" t="s">
        <v>838</v>
      </c>
      <c r="Y398">
        <v>1125</v>
      </c>
      <c r="Z398">
        <v>1125</v>
      </c>
      <c r="AA398" t="str">
        <f t="shared" si="99"/>
        <v>06/08/2016</v>
      </c>
    </row>
    <row r="399" spans="1:27" x14ac:dyDescent="0.3">
      <c r="A399" t="str">
        <f t="shared" si="104"/>
        <v>048314</v>
      </c>
      <c r="B399" t="str">
        <f t="shared" si="92"/>
        <v>004697</v>
      </c>
      <c r="C399" t="s">
        <v>3736</v>
      </c>
      <c r="D399" t="s">
        <v>3839</v>
      </c>
      <c r="E399" t="s">
        <v>3840</v>
      </c>
      <c r="F399" t="s">
        <v>3841</v>
      </c>
      <c r="G399" t="s">
        <v>3842</v>
      </c>
      <c r="H399" t="str">
        <f t="shared" si="98"/>
        <v>048314</v>
      </c>
      <c r="I399" t="s">
        <v>833</v>
      </c>
      <c r="J399" t="str">
        <f>"2015-08-01 00:00:00.0"</f>
        <v>2015-08-01 00:00:00.0</v>
      </c>
      <c r="K399" t="s">
        <v>834</v>
      </c>
      <c r="L399" t="s">
        <v>0</v>
      </c>
      <c r="M399" t="str">
        <f t="shared" si="103"/>
        <v>048314</v>
      </c>
      <c r="N399">
        <v>1</v>
      </c>
      <c r="O399">
        <v>1</v>
      </c>
      <c r="P399" t="s">
        <v>764</v>
      </c>
      <c r="Q399" t="s">
        <v>835</v>
      </c>
      <c r="S399" t="s">
        <v>836</v>
      </c>
      <c r="T399" t="s">
        <v>836</v>
      </c>
      <c r="U399" t="str">
        <f t="shared" si="105"/>
        <v>2500-12-31 00:00:00.0</v>
      </c>
      <c r="V399" t="s">
        <v>837</v>
      </c>
      <c r="W399" t="str">
        <f>"048314-004697-**-**"</f>
        <v>048314-004697-**-**</v>
      </c>
      <c r="X399" t="s">
        <v>838</v>
      </c>
      <c r="Y399">
        <v>1206.25</v>
      </c>
      <c r="Z399">
        <v>1206.25</v>
      </c>
      <c r="AA399" t="str">
        <f t="shared" si="99"/>
        <v>06/08/2016</v>
      </c>
    </row>
    <row r="400" spans="1:27" x14ac:dyDescent="0.3">
      <c r="A400" t="str">
        <f t="shared" si="104"/>
        <v>048314</v>
      </c>
      <c r="B400" t="str">
        <f t="shared" si="92"/>
        <v>004697</v>
      </c>
      <c r="C400" t="s">
        <v>3335</v>
      </c>
      <c r="D400" t="s">
        <v>3839</v>
      </c>
      <c r="E400" t="s">
        <v>3840</v>
      </c>
      <c r="F400" t="s">
        <v>3841</v>
      </c>
      <c r="G400" t="s">
        <v>3842</v>
      </c>
      <c r="H400" t="str">
        <f t="shared" si="98"/>
        <v>048314</v>
      </c>
      <c r="I400" t="s">
        <v>833</v>
      </c>
      <c r="J400" t="str">
        <f t="shared" ref="J400:J407" si="106">"2015-07-01 00:00:00.0"</f>
        <v>2015-07-01 00:00:00.0</v>
      </c>
      <c r="K400" t="s">
        <v>834</v>
      </c>
      <c r="L400" t="s">
        <v>0</v>
      </c>
      <c r="M400" t="str">
        <f t="shared" si="103"/>
        <v>048314</v>
      </c>
      <c r="N400">
        <v>1</v>
      </c>
      <c r="O400">
        <v>1</v>
      </c>
      <c r="P400" t="str">
        <f>"04"</f>
        <v>04</v>
      </c>
      <c r="Q400" t="s">
        <v>835</v>
      </c>
      <c r="S400" t="s">
        <v>836</v>
      </c>
      <c r="T400" t="s">
        <v>836</v>
      </c>
      <c r="U400" t="str">
        <f t="shared" si="105"/>
        <v>2500-12-31 00:00:00.0</v>
      </c>
      <c r="V400" t="s">
        <v>837</v>
      </c>
      <c r="W400" t="str">
        <f>"048314-004697-**-**"</f>
        <v>048314-004697-**-**</v>
      </c>
      <c r="X400" t="s">
        <v>838</v>
      </c>
      <c r="Y400">
        <v>1206.25</v>
      </c>
      <c r="Z400">
        <v>1206.25</v>
      </c>
      <c r="AA400" t="str">
        <f t="shared" si="99"/>
        <v>06/08/2016</v>
      </c>
    </row>
    <row r="401" spans="1:27" x14ac:dyDescent="0.3">
      <c r="A401" t="str">
        <f t="shared" si="104"/>
        <v>048314</v>
      </c>
      <c r="B401" t="str">
        <f t="shared" si="92"/>
        <v>004697</v>
      </c>
      <c r="C401" t="s">
        <v>2387</v>
      </c>
      <c r="D401" t="s">
        <v>3839</v>
      </c>
      <c r="E401" t="s">
        <v>3840</v>
      </c>
      <c r="F401" t="s">
        <v>3841</v>
      </c>
      <c r="G401" t="s">
        <v>3842</v>
      </c>
      <c r="H401" t="str">
        <f t="shared" si="98"/>
        <v>048314</v>
      </c>
      <c r="I401" t="s">
        <v>833</v>
      </c>
      <c r="J401" t="str">
        <f t="shared" si="106"/>
        <v>2015-07-01 00:00:00.0</v>
      </c>
      <c r="K401" t="s">
        <v>834</v>
      </c>
      <c r="L401" t="s">
        <v>0</v>
      </c>
      <c r="M401" t="str">
        <f t="shared" si="103"/>
        <v>048314</v>
      </c>
      <c r="N401">
        <v>1</v>
      </c>
      <c r="O401">
        <v>1</v>
      </c>
      <c r="P401" t="str">
        <f>"02"</f>
        <v>02</v>
      </c>
      <c r="Q401" t="s">
        <v>835</v>
      </c>
      <c r="S401" t="s">
        <v>836</v>
      </c>
      <c r="T401" t="s">
        <v>836</v>
      </c>
      <c r="U401" t="str">
        <f t="shared" si="105"/>
        <v>2500-12-31 00:00:00.0</v>
      </c>
      <c r="V401" t="s">
        <v>837</v>
      </c>
      <c r="W401" t="str">
        <f>"048314-004697-**-**"</f>
        <v>048314-004697-**-**</v>
      </c>
      <c r="X401" t="s">
        <v>838</v>
      </c>
      <c r="Y401">
        <v>1206.25</v>
      </c>
      <c r="Z401">
        <v>1206.25</v>
      </c>
      <c r="AA401" t="str">
        <f t="shared" si="99"/>
        <v>06/08/2016</v>
      </c>
    </row>
    <row r="402" spans="1:27" x14ac:dyDescent="0.3">
      <c r="A402" t="str">
        <f t="shared" si="104"/>
        <v>048314</v>
      </c>
      <c r="B402" t="str">
        <f t="shared" si="92"/>
        <v>004697</v>
      </c>
      <c r="C402" t="s">
        <v>1063</v>
      </c>
      <c r="D402" t="s">
        <v>3839</v>
      </c>
      <c r="E402" t="s">
        <v>3840</v>
      </c>
      <c r="F402" t="s">
        <v>3841</v>
      </c>
      <c r="G402" t="s">
        <v>3842</v>
      </c>
      <c r="H402" t="str">
        <f>"048280"</f>
        <v>048280</v>
      </c>
      <c r="I402" t="s">
        <v>833</v>
      </c>
      <c r="J402" t="str">
        <f t="shared" si="106"/>
        <v>2015-07-01 00:00:00.0</v>
      </c>
      <c r="K402" t="s">
        <v>834</v>
      </c>
      <c r="L402" t="s">
        <v>142</v>
      </c>
      <c r="M402" t="str">
        <f t="shared" si="103"/>
        <v>048314</v>
      </c>
      <c r="N402">
        <v>1</v>
      </c>
      <c r="O402">
        <v>1</v>
      </c>
      <c r="P402" t="s">
        <v>841</v>
      </c>
      <c r="Q402" t="str">
        <f>"16"</f>
        <v>16</v>
      </c>
      <c r="R402" t="str">
        <f>"2"</f>
        <v>2</v>
      </c>
      <c r="S402" t="s">
        <v>836</v>
      </c>
      <c r="T402" t="s">
        <v>836</v>
      </c>
      <c r="U402" t="str">
        <f t="shared" si="105"/>
        <v>2500-12-31 00:00:00.0</v>
      </c>
      <c r="V402" t="s">
        <v>837</v>
      </c>
      <c r="W402" t="str">
        <f>"048280-048280-PS-AP"</f>
        <v>048280-048280-PS-AP</v>
      </c>
      <c r="X402" t="s">
        <v>838</v>
      </c>
      <c r="Y402">
        <v>143</v>
      </c>
      <c r="Z402">
        <v>143</v>
      </c>
      <c r="AA402" t="str">
        <f>"06/15/2016"</f>
        <v>06/15/2016</v>
      </c>
    </row>
    <row r="403" spans="1:27" x14ac:dyDescent="0.3">
      <c r="A403" t="str">
        <f t="shared" si="104"/>
        <v>048314</v>
      </c>
      <c r="B403" t="str">
        <f t="shared" si="92"/>
        <v>004697</v>
      </c>
      <c r="C403" t="s">
        <v>1251</v>
      </c>
      <c r="D403" t="s">
        <v>3839</v>
      </c>
      <c r="E403" t="s">
        <v>3840</v>
      </c>
      <c r="F403" t="s">
        <v>3841</v>
      </c>
      <c r="G403" t="s">
        <v>3842</v>
      </c>
      <c r="H403" t="str">
        <f>"048280"</f>
        <v>048280</v>
      </c>
      <c r="I403" t="s">
        <v>833</v>
      </c>
      <c r="J403" t="str">
        <f t="shared" si="106"/>
        <v>2015-07-01 00:00:00.0</v>
      </c>
      <c r="K403" t="s">
        <v>834</v>
      </c>
      <c r="L403" t="s">
        <v>142</v>
      </c>
      <c r="M403" t="str">
        <f t="shared" si="103"/>
        <v>048314</v>
      </c>
      <c r="N403">
        <v>0.43448300000000001</v>
      </c>
      <c r="O403">
        <v>0.43448300000000001</v>
      </c>
      <c r="P403" t="s">
        <v>841</v>
      </c>
      <c r="Q403" t="str">
        <f>"16"</f>
        <v>16</v>
      </c>
      <c r="R403" t="str">
        <f>"2"</f>
        <v>2</v>
      </c>
      <c r="S403" t="s">
        <v>860</v>
      </c>
      <c r="T403" t="s">
        <v>836</v>
      </c>
      <c r="U403" t="str">
        <f>"2015-12-22 00:00:00.0"</f>
        <v>2015-12-22 00:00:00.0</v>
      </c>
      <c r="V403" t="s">
        <v>837</v>
      </c>
      <c r="W403" t="str">
        <f>"048280-048280-PS-BP"</f>
        <v>048280-048280-PS-BP</v>
      </c>
      <c r="X403" t="s">
        <v>838</v>
      </c>
      <c r="Y403">
        <v>63</v>
      </c>
      <c r="Z403">
        <v>145</v>
      </c>
      <c r="AA403" t="str">
        <f>"06/15/2016"</f>
        <v>06/15/2016</v>
      </c>
    </row>
    <row r="404" spans="1:27" x14ac:dyDescent="0.3">
      <c r="A404" t="str">
        <f t="shared" si="104"/>
        <v>048314</v>
      </c>
      <c r="B404" t="str">
        <f t="shared" ref="B404:B467" si="107">"004697"</f>
        <v>004697</v>
      </c>
      <c r="C404" t="s">
        <v>3202</v>
      </c>
      <c r="D404" t="s">
        <v>3839</v>
      </c>
      <c r="E404" t="s">
        <v>3840</v>
      </c>
      <c r="F404" t="s">
        <v>3841</v>
      </c>
      <c r="G404" t="s">
        <v>3842</v>
      </c>
      <c r="H404" t="str">
        <f t="shared" ref="H404:H410" si="108">"048314"</f>
        <v>048314</v>
      </c>
      <c r="I404" t="s">
        <v>833</v>
      </c>
      <c r="J404" t="str">
        <f t="shared" si="106"/>
        <v>2015-07-01 00:00:00.0</v>
      </c>
      <c r="K404" t="s">
        <v>834</v>
      </c>
      <c r="L404" t="s">
        <v>0</v>
      </c>
      <c r="M404" t="str">
        <f t="shared" si="103"/>
        <v>048314</v>
      </c>
      <c r="N404">
        <v>1</v>
      </c>
      <c r="O404">
        <v>1</v>
      </c>
      <c r="P404" t="str">
        <f>"02"</f>
        <v>02</v>
      </c>
      <c r="Q404" t="s">
        <v>835</v>
      </c>
      <c r="S404" t="s">
        <v>836</v>
      </c>
      <c r="T404" t="s">
        <v>836</v>
      </c>
      <c r="U404" t="str">
        <f t="shared" ref="U404:U423" si="109">"2500-12-31 00:00:00.0"</f>
        <v>2500-12-31 00:00:00.0</v>
      </c>
      <c r="V404" t="s">
        <v>837</v>
      </c>
      <c r="W404" t="str">
        <f>"048314-004697-**-**"</f>
        <v>048314-004697-**-**</v>
      </c>
      <c r="X404" t="s">
        <v>838</v>
      </c>
      <c r="Y404">
        <v>1206.25</v>
      </c>
      <c r="Z404">
        <v>1206.25</v>
      </c>
      <c r="AA404" t="str">
        <f t="shared" ref="AA404:AA439" si="110">"06/08/2016"</f>
        <v>06/08/2016</v>
      </c>
    </row>
    <row r="405" spans="1:27" x14ac:dyDescent="0.3">
      <c r="A405" t="str">
        <f t="shared" si="104"/>
        <v>048314</v>
      </c>
      <c r="B405" t="str">
        <f t="shared" si="107"/>
        <v>004697</v>
      </c>
      <c r="C405" t="s">
        <v>2988</v>
      </c>
      <c r="D405" t="s">
        <v>3839</v>
      </c>
      <c r="E405" t="s">
        <v>3840</v>
      </c>
      <c r="F405" t="s">
        <v>3841</v>
      </c>
      <c r="G405" t="s">
        <v>3842</v>
      </c>
      <c r="H405" t="str">
        <f t="shared" si="108"/>
        <v>048314</v>
      </c>
      <c r="I405" t="s">
        <v>833</v>
      </c>
      <c r="J405" t="str">
        <f t="shared" si="106"/>
        <v>2015-07-01 00:00:00.0</v>
      </c>
      <c r="K405" t="s">
        <v>834</v>
      </c>
      <c r="L405" t="s">
        <v>0</v>
      </c>
      <c r="M405" t="str">
        <f t="shared" si="103"/>
        <v>048314</v>
      </c>
      <c r="N405">
        <v>1</v>
      </c>
      <c r="O405">
        <v>1</v>
      </c>
      <c r="P405" t="str">
        <f>"01"</f>
        <v>01</v>
      </c>
      <c r="Q405" t="s">
        <v>835</v>
      </c>
      <c r="S405" t="s">
        <v>836</v>
      </c>
      <c r="T405" t="s">
        <v>836</v>
      </c>
      <c r="U405" t="str">
        <f t="shared" si="109"/>
        <v>2500-12-31 00:00:00.0</v>
      </c>
      <c r="V405" t="s">
        <v>837</v>
      </c>
      <c r="W405" t="str">
        <f>"048314-004697-**-**"</f>
        <v>048314-004697-**-**</v>
      </c>
      <c r="X405" t="s">
        <v>838</v>
      </c>
      <c r="Y405">
        <v>1206.25</v>
      </c>
      <c r="Z405">
        <v>1206.25</v>
      </c>
      <c r="AA405" t="str">
        <f t="shared" si="110"/>
        <v>06/08/2016</v>
      </c>
    </row>
    <row r="406" spans="1:27" x14ac:dyDescent="0.3">
      <c r="A406" t="str">
        <f t="shared" si="104"/>
        <v>048314</v>
      </c>
      <c r="B406" t="str">
        <f t="shared" si="107"/>
        <v>004697</v>
      </c>
      <c r="C406" t="s">
        <v>3336</v>
      </c>
      <c r="D406" t="s">
        <v>3839</v>
      </c>
      <c r="E406" t="s">
        <v>3840</v>
      </c>
      <c r="F406" t="s">
        <v>3841</v>
      </c>
      <c r="G406" t="s">
        <v>3842</v>
      </c>
      <c r="H406" t="str">
        <f t="shared" si="108"/>
        <v>048314</v>
      </c>
      <c r="I406" t="s">
        <v>833</v>
      </c>
      <c r="J406" t="str">
        <f t="shared" si="106"/>
        <v>2015-07-01 00:00:00.0</v>
      </c>
      <c r="K406" t="s">
        <v>834</v>
      </c>
      <c r="L406" t="s">
        <v>0</v>
      </c>
      <c r="M406" t="str">
        <f t="shared" si="103"/>
        <v>048314</v>
      </c>
      <c r="N406">
        <v>1</v>
      </c>
      <c r="O406">
        <v>1</v>
      </c>
      <c r="P406" t="str">
        <f>"04"</f>
        <v>04</v>
      </c>
      <c r="Q406" t="s">
        <v>835</v>
      </c>
      <c r="S406" t="s">
        <v>836</v>
      </c>
      <c r="T406" t="s">
        <v>836</v>
      </c>
      <c r="U406" t="str">
        <f t="shared" si="109"/>
        <v>2500-12-31 00:00:00.0</v>
      </c>
      <c r="V406" t="s">
        <v>837</v>
      </c>
      <c r="W406" t="str">
        <f>"048314-004697-**-**"</f>
        <v>048314-004697-**-**</v>
      </c>
      <c r="X406" t="s">
        <v>838</v>
      </c>
      <c r="Y406">
        <v>1206.25</v>
      </c>
      <c r="Z406">
        <v>1206.25</v>
      </c>
      <c r="AA406" t="str">
        <f t="shared" si="110"/>
        <v>06/08/2016</v>
      </c>
    </row>
    <row r="407" spans="1:27" x14ac:dyDescent="0.3">
      <c r="A407" t="str">
        <f t="shared" si="104"/>
        <v>048314</v>
      </c>
      <c r="B407" t="str">
        <f t="shared" si="107"/>
        <v>004697</v>
      </c>
      <c r="C407" t="s">
        <v>3452</v>
      </c>
      <c r="D407" t="s">
        <v>3839</v>
      </c>
      <c r="E407" t="s">
        <v>3840</v>
      </c>
      <c r="F407" t="s">
        <v>3841</v>
      </c>
      <c r="G407" t="s">
        <v>3842</v>
      </c>
      <c r="H407" t="str">
        <f t="shared" si="108"/>
        <v>048314</v>
      </c>
      <c r="I407" t="s">
        <v>833</v>
      </c>
      <c r="J407" t="str">
        <f t="shared" si="106"/>
        <v>2015-07-01 00:00:00.0</v>
      </c>
      <c r="K407" t="s">
        <v>834</v>
      </c>
      <c r="L407" t="s">
        <v>0</v>
      </c>
      <c r="M407" t="str">
        <f t="shared" si="103"/>
        <v>048314</v>
      </c>
      <c r="N407">
        <v>1</v>
      </c>
      <c r="O407">
        <v>1</v>
      </c>
      <c r="P407" t="str">
        <f>"01"</f>
        <v>01</v>
      </c>
      <c r="Q407" t="s">
        <v>835</v>
      </c>
      <c r="S407" t="s">
        <v>836</v>
      </c>
      <c r="T407" t="s">
        <v>836</v>
      </c>
      <c r="U407" t="str">
        <f t="shared" si="109"/>
        <v>2500-12-31 00:00:00.0</v>
      </c>
      <c r="V407" t="s">
        <v>837</v>
      </c>
      <c r="W407" t="str">
        <f>"048314-004697-**-**"</f>
        <v>048314-004697-**-**</v>
      </c>
      <c r="X407" t="s">
        <v>838</v>
      </c>
      <c r="Y407">
        <v>1206.25</v>
      </c>
      <c r="Z407">
        <v>1206.25</v>
      </c>
      <c r="AA407" t="str">
        <f t="shared" si="110"/>
        <v>06/08/2016</v>
      </c>
    </row>
    <row r="408" spans="1:27" x14ac:dyDescent="0.3">
      <c r="A408" t="str">
        <f t="shared" si="104"/>
        <v>048314</v>
      </c>
      <c r="B408" t="str">
        <f t="shared" si="107"/>
        <v>004697</v>
      </c>
      <c r="C408" t="s">
        <v>3055</v>
      </c>
      <c r="D408" t="s">
        <v>3839</v>
      </c>
      <c r="E408" t="s">
        <v>3840</v>
      </c>
      <c r="F408" t="s">
        <v>3841</v>
      </c>
      <c r="G408" t="s">
        <v>3842</v>
      </c>
      <c r="H408" t="str">
        <f t="shared" si="108"/>
        <v>048314</v>
      </c>
      <c r="I408" t="s">
        <v>833</v>
      </c>
      <c r="J408" t="str">
        <f>"2015-08-01 00:00:00.0"</f>
        <v>2015-08-01 00:00:00.0</v>
      </c>
      <c r="K408" t="s">
        <v>834</v>
      </c>
      <c r="L408" t="s">
        <v>0</v>
      </c>
      <c r="M408" t="str">
        <f t="shared" si="103"/>
        <v>048314</v>
      </c>
      <c r="N408">
        <v>1</v>
      </c>
      <c r="O408">
        <v>1</v>
      </c>
      <c r="P408" t="str">
        <f>"01"</f>
        <v>01</v>
      </c>
      <c r="Q408" t="s">
        <v>835</v>
      </c>
      <c r="S408" t="s">
        <v>836</v>
      </c>
      <c r="T408" t="s">
        <v>836</v>
      </c>
      <c r="U408" t="str">
        <f t="shared" si="109"/>
        <v>2500-12-31 00:00:00.0</v>
      </c>
      <c r="V408" t="s">
        <v>837</v>
      </c>
      <c r="W408" t="str">
        <f>"048314-004697-**-**"</f>
        <v>048314-004697-**-**</v>
      </c>
      <c r="X408" t="s">
        <v>838</v>
      </c>
      <c r="Y408">
        <v>1206.25</v>
      </c>
      <c r="Z408">
        <v>1206.25</v>
      </c>
      <c r="AA408" t="str">
        <f t="shared" si="110"/>
        <v>06/08/2016</v>
      </c>
    </row>
    <row r="409" spans="1:27" x14ac:dyDescent="0.3">
      <c r="A409" t="str">
        <f t="shared" si="104"/>
        <v>048314</v>
      </c>
      <c r="B409" t="str">
        <f t="shared" si="107"/>
        <v>004697</v>
      </c>
      <c r="C409" t="s">
        <v>2898</v>
      </c>
      <c r="D409" t="s">
        <v>3839</v>
      </c>
      <c r="E409" t="s">
        <v>3840</v>
      </c>
      <c r="F409" t="s">
        <v>3841</v>
      </c>
      <c r="G409" t="s">
        <v>3842</v>
      </c>
      <c r="H409" t="str">
        <f t="shared" si="108"/>
        <v>048314</v>
      </c>
      <c r="I409" t="s">
        <v>833</v>
      </c>
      <c r="J409" t="str">
        <f>"2015-07-01 00:00:00.0"</f>
        <v>2015-07-01 00:00:00.0</v>
      </c>
      <c r="K409" t="s">
        <v>834</v>
      </c>
      <c r="L409" t="s">
        <v>0</v>
      </c>
      <c r="M409" t="str">
        <f t="shared" si="103"/>
        <v>048314</v>
      </c>
      <c r="N409">
        <v>1</v>
      </c>
      <c r="O409">
        <v>1</v>
      </c>
      <c r="P409" t="str">
        <f>"05"</f>
        <v>05</v>
      </c>
      <c r="Q409" t="s">
        <v>835</v>
      </c>
      <c r="S409" t="s">
        <v>836</v>
      </c>
      <c r="T409" t="s">
        <v>836</v>
      </c>
      <c r="U409" t="str">
        <f t="shared" si="109"/>
        <v>2500-12-31 00:00:00.0</v>
      </c>
      <c r="V409" t="s">
        <v>837</v>
      </c>
      <c r="W409" t="str">
        <f>"048314-070417-**-**"</f>
        <v>048314-070417-**-**</v>
      </c>
      <c r="X409" t="s">
        <v>838</v>
      </c>
      <c r="Y409">
        <v>1125</v>
      </c>
      <c r="Z409">
        <v>1125</v>
      </c>
      <c r="AA409" t="str">
        <f t="shared" si="110"/>
        <v>06/08/2016</v>
      </c>
    </row>
    <row r="410" spans="1:27" x14ac:dyDescent="0.3">
      <c r="A410" t="str">
        <f t="shared" si="104"/>
        <v>048314</v>
      </c>
      <c r="B410" t="str">
        <f t="shared" si="107"/>
        <v>004697</v>
      </c>
      <c r="C410" t="s">
        <v>2989</v>
      </c>
      <c r="D410" t="s">
        <v>3839</v>
      </c>
      <c r="E410" t="s">
        <v>3840</v>
      </c>
      <c r="F410" t="s">
        <v>3841</v>
      </c>
      <c r="G410" t="s">
        <v>3842</v>
      </c>
      <c r="H410" t="str">
        <f t="shared" si="108"/>
        <v>048314</v>
      </c>
      <c r="I410" t="s">
        <v>833</v>
      </c>
      <c r="J410" t="str">
        <f>"2015-08-01 00:00:00.0"</f>
        <v>2015-08-01 00:00:00.0</v>
      </c>
      <c r="K410" t="s">
        <v>834</v>
      </c>
      <c r="L410" t="s">
        <v>0</v>
      </c>
      <c r="M410" t="str">
        <f t="shared" si="103"/>
        <v>048314</v>
      </c>
      <c r="N410">
        <v>1</v>
      </c>
      <c r="O410">
        <v>1</v>
      </c>
      <c r="P410" t="str">
        <f>"01"</f>
        <v>01</v>
      </c>
      <c r="Q410" t="s">
        <v>835</v>
      </c>
      <c r="S410" t="s">
        <v>836</v>
      </c>
      <c r="T410" t="s">
        <v>836</v>
      </c>
      <c r="U410" t="str">
        <f t="shared" si="109"/>
        <v>2500-12-31 00:00:00.0</v>
      </c>
      <c r="V410" t="s">
        <v>837</v>
      </c>
      <c r="W410" t="str">
        <f>"048314-004697-**-**"</f>
        <v>048314-004697-**-**</v>
      </c>
      <c r="X410" t="s">
        <v>838</v>
      </c>
      <c r="Y410">
        <v>1206.25</v>
      </c>
      <c r="Z410">
        <v>1206.25</v>
      </c>
      <c r="AA410" t="str">
        <f t="shared" si="110"/>
        <v>06/08/2016</v>
      </c>
    </row>
    <row r="411" spans="1:27" x14ac:dyDescent="0.3">
      <c r="A411" t="str">
        <f t="shared" si="104"/>
        <v>048314</v>
      </c>
      <c r="B411" t="str">
        <f t="shared" si="107"/>
        <v>004697</v>
      </c>
      <c r="C411" t="s">
        <v>3631</v>
      </c>
      <c r="D411" t="s">
        <v>3839</v>
      </c>
      <c r="E411" t="s">
        <v>3840</v>
      </c>
      <c r="F411" t="s">
        <v>3841</v>
      </c>
      <c r="G411" t="s">
        <v>3842</v>
      </c>
      <c r="H411" t="str">
        <f>"048397"</f>
        <v>048397</v>
      </c>
      <c r="I411" t="s">
        <v>833</v>
      </c>
      <c r="J411" t="str">
        <f>"2015-07-01 00:00:00.0"</f>
        <v>2015-07-01 00:00:00.0</v>
      </c>
      <c r="K411" t="s">
        <v>834</v>
      </c>
      <c r="L411" t="s">
        <v>1</v>
      </c>
      <c r="M411" t="str">
        <f t="shared" si="103"/>
        <v>048314</v>
      </c>
      <c r="N411">
        <v>1</v>
      </c>
      <c r="O411">
        <v>1</v>
      </c>
      <c r="P411" t="str">
        <f>"02"</f>
        <v>02</v>
      </c>
      <c r="Q411" t="s">
        <v>835</v>
      </c>
      <c r="S411" t="s">
        <v>836</v>
      </c>
      <c r="T411" t="s">
        <v>836</v>
      </c>
      <c r="U411" t="str">
        <f t="shared" si="109"/>
        <v>2500-12-31 00:00:00.0</v>
      </c>
      <c r="V411" t="s">
        <v>837</v>
      </c>
      <c r="W411" t="str">
        <f>"048397-010298-**-**"</f>
        <v>048397-010298-**-**</v>
      </c>
      <c r="X411" t="s">
        <v>838</v>
      </c>
      <c r="Y411">
        <v>1113.0999999999999</v>
      </c>
      <c r="Z411">
        <v>1113.0999999999999</v>
      </c>
      <c r="AA411" t="str">
        <f t="shared" si="110"/>
        <v>06/08/2016</v>
      </c>
    </row>
    <row r="412" spans="1:27" x14ac:dyDescent="0.3">
      <c r="A412" t="str">
        <f t="shared" si="104"/>
        <v>048314</v>
      </c>
      <c r="B412" t="str">
        <f t="shared" si="107"/>
        <v>004697</v>
      </c>
      <c r="C412" t="s">
        <v>2545</v>
      </c>
      <c r="D412" t="s">
        <v>3839</v>
      </c>
      <c r="E412" t="s">
        <v>3840</v>
      </c>
      <c r="F412" t="s">
        <v>3841</v>
      </c>
      <c r="G412" t="s">
        <v>3842</v>
      </c>
      <c r="H412" t="str">
        <f t="shared" ref="H412:H439" si="111">"048314"</f>
        <v>048314</v>
      </c>
      <c r="I412" t="s">
        <v>833</v>
      </c>
      <c r="J412" t="str">
        <f>"2015-07-01 00:00:00.0"</f>
        <v>2015-07-01 00:00:00.0</v>
      </c>
      <c r="K412" t="s">
        <v>834</v>
      </c>
      <c r="L412" t="s">
        <v>0</v>
      </c>
      <c r="M412" t="str">
        <f t="shared" si="103"/>
        <v>048314</v>
      </c>
      <c r="N412">
        <v>1</v>
      </c>
      <c r="O412">
        <v>1</v>
      </c>
      <c r="P412" t="str">
        <f>"05"</f>
        <v>05</v>
      </c>
      <c r="Q412" t="str">
        <f>"12"</f>
        <v>12</v>
      </c>
      <c r="R412" t="str">
        <f>"6"</f>
        <v>6</v>
      </c>
      <c r="S412" t="s">
        <v>836</v>
      </c>
      <c r="T412" t="s">
        <v>836</v>
      </c>
      <c r="U412" t="str">
        <f t="shared" si="109"/>
        <v>2500-12-31 00:00:00.0</v>
      </c>
      <c r="V412" t="s">
        <v>837</v>
      </c>
      <c r="W412" t="str">
        <f>"048314-070417-**-**"</f>
        <v>048314-070417-**-**</v>
      </c>
      <c r="X412" t="s">
        <v>838</v>
      </c>
      <c r="Y412">
        <v>1125</v>
      </c>
      <c r="Z412">
        <v>1125</v>
      </c>
      <c r="AA412" t="str">
        <f t="shared" si="110"/>
        <v>06/08/2016</v>
      </c>
    </row>
    <row r="413" spans="1:27" x14ac:dyDescent="0.3">
      <c r="A413" t="str">
        <f t="shared" si="104"/>
        <v>048314</v>
      </c>
      <c r="B413" t="str">
        <f t="shared" si="107"/>
        <v>004697</v>
      </c>
      <c r="C413" t="s">
        <v>2473</v>
      </c>
      <c r="D413" t="s">
        <v>3839</v>
      </c>
      <c r="E413" t="s">
        <v>3840</v>
      </c>
      <c r="F413" t="s">
        <v>3841</v>
      </c>
      <c r="G413" t="s">
        <v>3842</v>
      </c>
      <c r="H413" t="str">
        <f t="shared" si="111"/>
        <v>048314</v>
      </c>
      <c r="I413" t="s">
        <v>833</v>
      </c>
      <c r="J413" t="str">
        <f>"2015-07-01 00:00:00.0"</f>
        <v>2015-07-01 00:00:00.0</v>
      </c>
      <c r="K413" t="s">
        <v>834</v>
      </c>
      <c r="L413" t="s">
        <v>0</v>
      </c>
      <c r="M413" t="str">
        <f t="shared" si="103"/>
        <v>048314</v>
      </c>
      <c r="N413">
        <v>1</v>
      </c>
      <c r="O413">
        <v>1</v>
      </c>
      <c r="P413" t="str">
        <f>"01"</f>
        <v>01</v>
      </c>
      <c r="Q413" t="s">
        <v>835</v>
      </c>
      <c r="S413" t="s">
        <v>836</v>
      </c>
      <c r="T413" t="s">
        <v>836</v>
      </c>
      <c r="U413" t="str">
        <f t="shared" si="109"/>
        <v>2500-12-31 00:00:00.0</v>
      </c>
      <c r="V413" t="s">
        <v>837</v>
      </c>
      <c r="W413" t="str">
        <f t="shared" ref="W413:W419" si="112">"048314-004697-**-**"</f>
        <v>048314-004697-**-**</v>
      </c>
      <c r="X413" t="s">
        <v>838</v>
      </c>
      <c r="Y413">
        <v>1206.25</v>
      </c>
      <c r="Z413">
        <v>1206.25</v>
      </c>
      <c r="AA413" t="str">
        <f t="shared" si="110"/>
        <v>06/08/2016</v>
      </c>
    </row>
    <row r="414" spans="1:27" x14ac:dyDescent="0.3">
      <c r="A414" t="str">
        <f t="shared" si="104"/>
        <v>048314</v>
      </c>
      <c r="B414" t="str">
        <f t="shared" si="107"/>
        <v>004697</v>
      </c>
      <c r="C414" t="s">
        <v>3587</v>
      </c>
      <c r="D414" t="s">
        <v>3839</v>
      </c>
      <c r="E414" t="s">
        <v>3840</v>
      </c>
      <c r="F414" t="s">
        <v>3841</v>
      </c>
      <c r="G414" t="s">
        <v>3842</v>
      </c>
      <c r="H414" t="str">
        <f t="shared" si="111"/>
        <v>048314</v>
      </c>
      <c r="I414" t="s">
        <v>833</v>
      </c>
      <c r="J414" t="str">
        <f>"2015-07-01 00:00:00.0"</f>
        <v>2015-07-01 00:00:00.0</v>
      </c>
      <c r="K414" t="s">
        <v>834</v>
      </c>
      <c r="L414" t="s">
        <v>0</v>
      </c>
      <c r="M414" t="str">
        <f t="shared" si="103"/>
        <v>048314</v>
      </c>
      <c r="N414">
        <v>1</v>
      </c>
      <c r="O414">
        <v>1</v>
      </c>
      <c r="P414" t="str">
        <f>"04"</f>
        <v>04</v>
      </c>
      <c r="Q414" t="s">
        <v>835</v>
      </c>
      <c r="S414" t="s">
        <v>836</v>
      </c>
      <c r="T414" t="s">
        <v>836</v>
      </c>
      <c r="U414" t="str">
        <f t="shared" si="109"/>
        <v>2500-12-31 00:00:00.0</v>
      </c>
      <c r="V414" t="s">
        <v>837</v>
      </c>
      <c r="W414" t="str">
        <f t="shared" si="112"/>
        <v>048314-004697-**-**</v>
      </c>
      <c r="X414" t="s">
        <v>838</v>
      </c>
      <c r="Y414">
        <v>1206.25</v>
      </c>
      <c r="Z414">
        <v>1206.25</v>
      </c>
      <c r="AA414" t="str">
        <f t="shared" si="110"/>
        <v>06/08/2016</v>
      </c>
    </row>
    <row r="415" spans="1:27" x14ac:dyDescent="0.3">
      <c r="A415" t="str">
        <f t="shared" si="104"/>
        <v>048314</v>
      </c>
      <c r="B415" t="str">
        <f t="shared" si="107"/>
        <v>004697</v>
      </c>
      <c r="C415" t="s">
        <v>3010</v>
      </c>
      <c r="D415" t="s">
        <v>3839</v>
      </c>
      <c r="E415" t="s">
        <v>3840</v>
      </c>
      <c r="F415" t="s">
        <v>3841</v>
      </c>
      <c r="G415" t="s">
        <v>3842</v>
      </c>
      <c r="H415" t="str">
        <f t="shared" si="111"/>
        <v>048314</v>
      </c>
      <c r="I415" t="s">
        <v>833</v>
      </c>
      <c r="J415" t="str">
        <f>"2015-07-01 00:00:00.0"</f>
        <v>2015-07-01 00:00:00.0</v>
      </c>
      <c r="K415" t="s">
        <v>834</v>
      </c>
      <c r="L415" t="s">
        <v>0</v>
      </c>
      <c r="M415" t="str">
        <f t="shared" si="103"/>
        <v>048314</v>
      </c>
      <c r="N415">
        <v>1</v>
      </c>
      <c r="O415">
        <v>1</v>
      </c>
      <c r="P415" t="str">
        <f>"01"</f>
        <v>01</v>
      </c>
      <c r="Q415" t="s">
        <v>835</v>
      </c>
      <c r="S415" t="s">
        <v>836</v>
      </c>
      <c r="T415" t="s">
        <v>836</v>
      </c>
      <c r="U415" t="str">
        <f t="shared" si="109"/>
        <v>2500-12-31 00:00:00.0</v>
      </c>
      <c r="V415" t="s">
        <v>837</v>
      </c>
      <c r="W415" t="str">
        <f t="shared" si="112"/>
        <v>048314-004697-**-**</v>
      </c>
      <c r="X415" t="s">
        <v>838</v>
      </c>
      <c r="Y415">
        <v>1206.25</v>
      </c>
      <c r="Z415">
        <v>1206.25</v>
      </c>
      <c r="AA415" t="str">
        <f t="shared" si="110"/>
        <v>06/08/2016</v>
      </c>
    </row>
    <row r="416" spans="1:27" x14ac:dyDescent="0.3">
      <c r="A416" t="str">
        <f t="shared" si="104"/>
        <v>048314</v>
      </c>
      <c r="B416" t="str">
        <f t="shared" si="107"/>
        <v>004697</v>
      </c>
      <c r="C416" t="s">
        <v>1537</v>
      </c>
      <c r="D416" t="s">
        <v>3839</v>
      </c>
      <c r="E416" t="s">
        <v>3840</v>
      </c>
      <c r="F416" t="s">
        <v>3841</v>
      </c>
      <c r="G416" t="s">
        <v>3842</v>
      </c>
      <c r="H416" t="str">
        <f t="shared" si="111"/>
        <v>048314</v>
      </c>
      <c r="I416" t="s">
        <v>833</v>
      </c>
      <c r="J416" t="str">
        <f>"2015-08-01 00:00:00.0"</f>
        <v>2015-08-01 00:00:00.0</v>
      </c>
      <c r="K416" t="s">
        <v>834</v>
      </c>
      <c r="L416" t="s">
        <v>0</v>
      </c>
      <c r="M416" t="str">
        <f t="shared" si="103"/>
        <v>048314</v>
      </c>
      <c r="N416">
        <v>1</v>
      </c>
      <c r="O416">
        <v>1</v>
      </c>
      <c r="P416" t="s">
        <v>764</v>
      </c>
      <c r="Q416" t="s">
        <v>835</v>
      </c>
      <c r="S416" t="s">
        <v>836</v>
      </c>
      <c r="T416" t="s">
        <v>836</v>
      </c>
      <c r="U416" t="str">
        <f t="shared" si="109"/>
        <v>2500-12-31 00:00:00.0</v>
      </c>
      <c r="V416" t="s">
        <v>837</v>
      </c>
      <c r="W416" t="str">
        <f t="shared" si="112"/>
        <v>048314-004697-**-**</v>
      </c>
      <c r="X416" t="s">
        <v>838</v>
      </c>
      <c r="Y416">
        <v>1206.25</v>
      </c>
      <c r="Z416">
        <v>1206.25</v>
      </c>
      <c r="AA416" t="str">
        <f t="shared" si="110"/>
        <v>06/08/2016</v>
      </c>
    </row>
    <row r="417" spans="1:27" x14ac:dyDescent="0.3">
      <c r="A417" t="str">
        <f t="shared" si="104"/>
        <v>048314</v>
      </c>
      <c r="B417" t="str">
        <f t="shared" si="107"/>
        <v>004697</v>
      </c>
      <c r="C417" t="s">
        <v>3250</v>
      </c>
      <c r="D417" t="s">
        <v>3839</v>
      </c>
      <c r="E417" t="s">
        <v>3840</v>
      </c>
      <c r="F417" t="s">
        <v>3841</v>
      </c>
      <c r="G417" t="s">
        <v>3842</v>
      </c>
      <c r="H417" t="str">
        <f t="shared" si="111"/>
        <v>048314</v>
      </c>
      <c r="I417" t="s">
        <v>833</v>
      </c>
      <c r="J417" t="str">
        <f>"2015-08-01 00:00:00.0"</f>
        <v>2015-08-01 00:00:00.0</v>
      </c>
      <c r="K417" t="s">
        <v>834</v>
      </c>
      <c r="L417" t="s">
        <v>0</v>
      </c>
      <c r="M417" t="str">
        <f t="shared" si="103"/>
        <v>048314</v>
      </c>
      <c r="N417">
        <v>1</v>
      </c>
      <c r="O417">
        <v>1</v>
      </c>
      <c r="P417" t="s">
        <v>764</v>
      </c>
      <c r="Q417" t="s">
        <v>835</v>
      </c>
      <c r="S417" t="s">
        <v>836</v>
      </c>
      <c r="T417" t="s">
        <v>836</v>
      </c>
      <c r="U417" t="str">
        <f t="shared" si="109"/>
        <v>2500-12-31 00:00:00.0</v>
      </c>
      <c r="V417" t="s">
        <v>837</v>
      </c>
      <c r="W417" t="str">
        <f t="shared" si="112"/>
        <v>048314-004697-**-**</v>
      </c>
      <c r="X417" t="s">
        <v>838</v>
      </c>
      <c r="Y417">
        <v>1206.25</v>
      </c>
      <c r="Z417">
        <v>1206.25</v>
      </c>
      <c r="AA417" t="str">
        <f t="shared" si="110"/>
        <v>06/08/2016</v>
      </c>
    </row>
    <row r="418" spans="1:27" x14ac:dyDescent="0.3">
      <c r="A418" t="str">
        <f t="shared" si="104"/>
        <v>048314</v>
      </c>
      <c r="B418" t="str">
        <f t="shared" si="107"/>
        <v>004697</v>
      </c>
      <c r="C418" t="s">
        <v>3341</v>
      </c>
      <c r="D418" t="s">
        <v>3839</v>
      </c>
      <c r="E418" t="s">
        <v>3840</v>
      </c>
      <c r="F418" t="s">
        <v>3841</v>
      </c>
      <c r="G418" t="s">
        <v>3842</v>
      </c>
      <c r="H418" t="str">
        <f t="shared" si="111"/>
        <v>048314</v>
      </c>
      <c r="I418" t="s">
        <v>833</v>
      </c>
      <c r="J418" t="str">
        <f>"2015-07-01 00:00:00.0"</f>
        <v>2015-07-01 00:00:00.0</v>
      </c>
      <c r="K418" t="s">
        <v>834</v>
      </c>
      <c r="L418" t="s">
        <v>0</v>
      </c>
      <c r="M418" t="str">
        <f t="shared" si="103"/>
        <v>048314</v>
      </c>
      <c r="N418">
        <v>1</v>
      </c>
      <c r="O418">
        <v>1</v>
      </c>
      <c r="P418" t="str">
        <f>"04"</f>
        <v>04</v>
      </c>
      <c r="Q418" t="s">
        <v>835</v>
      </c>
      <c r="S418" t="s">
        <v>836</v>
      </c>
      <c r="T418" t="s">
        <v>836</v>
      </c>
      <c r="U418" t="str">
        <f t="shared" si="109"/>
        <v>2500-12-31 00:00:00.0</v>
      </c>
      <c r="V418" t="s">
        <v>837</v>
      </c>
      <c r="W418" t="str">
        <f t="shared" si="112"/>
        <v>048314-004697-**-**</v>
      </c>
      <c r="X418" t="s">
        <v>838</v>
      </c>
      <c r="Y418">
        <v>1206.25</v>
      </c>
      <c r="Z418">
        <v>1206.25</v>
      </c>
      <c r="AA418" t="str">
        <f t="shared" si="110"/>
        <v>06/08/2016</v>
      </c>
    </row>
    <row r="419" spans="1:27" x14ac:dyDescent="0.3">
      <c r="A419" t="str">
        <f t="shared" si="104"/>
        <v>048314</v>
      </c>
      <c r="B419" t="str">
        <f t="shared" si="107"/>
        <v>004697</v>
      </c>
      <c r="C419" t="s">
        <v>3056</v>
      </c>
      <c r="D419" t="s">
        <v>3839</v>
      </c>
      <c r="E419" t="s">
        <v>3840</v>
      </c>
      <c r="F419" t="s">
        <v>3841</v>
      </c>
      <c r="G419" t="s">
        <v>3842</v>
      </c>
      <c r="H419" t="str">
        <f t="shared" si="111"/>
        <v>048314</v>
      </c>
      <c r="I419" t="s">
        <v>833</v>
      </c>
      <c r="J419" t="str">
        <f>"2015-08-01 00:00:00.0"</f>
        <v>2015-08-01 00:00:00.0</v>
      </c>
      <c r="K419" t="s">
        <v>834</v>
      </c>
      <c r="L419" t="s">
        <v>0</v>
      </c>
      <c r="M419" t="str">
        <f t="shared" si="103"/>
        <v>048314</v>
      </c>
      <c r="N419">
        <v>1</v>
      </c>
      <c r="O419">
        <v>1</v>
      </c>
      <c r="P419" t="s">
        <v>764</v>
      </c>
      <c r="Q419" t="s">
        <v>835</v>
      </c>
      <c r="S419" t="s">
        <v>836</v>
      </c>
      <c r="T419" t="s">
        <v>836</v>
      </c>
      <c r="U419" t="str">
        <f t="shared" si="109"/>
        <v>2500-12-31 00:00:00.0</v>
      </c>
      <c r="V419" t="s">
        <v>837</v>
      </c>
      <c r="W419" t="str">
        <f t="shared" si="112"/>
        <v>048314-004697-**-**</v>
      </c>
      <c r="X419" t="s">
        <v>838</v>
      </c>
      <c r="Y419">
        <v>1206.25</v>
      </c>
      <c r="Z419">
        <v>1206.25</v>
      </c>
      <c r="AA419" t="str">
        <f t="shared" si="110"/>
        <v>06/08/2016</v>
      </c>
    </row>
    <row r="420" spans="1:27" x14ac:dyDescent="0.3">
      <c r="A420" t="str">
        <f t="shared" si="104"/>
        <v>048314</v>
      </c>
      <c r="B420" t="str">
        <f t="shared" si="107"/>
        <v>004697</v>
      </c>
      <c r="C420" t="s">
        <v>3284</v>
      </c>
      <c r="D420" t="s">
        <v>3839</v>
      </c>
      <c r="E420" t="s">
        <v>3840</v>
      </c>
      <c r="F420" t="s">
        <v>3841</v>
      </c>
      <c r="G420" t="s">
        <v>3842</v>
      </c>
      <c r="H420" t="str">
        <f t="shared" si="111"/>
        <v>048314</v>
      </c>
      <c r="I420" t="s">
        <v>833</v>
      </c>
      <c r="J420" t="str">
        <f>"2015-07-01 00:00:00.0"</f>
        <v>2015-07-01 00:00:00.0</v>
      </c>
      <c r="K420" t="s">
        <v>834</v>
      </c>
      <c r="L420" t="s">
        <v>0</v>
      </c>
      <c r="M420" t="str">
        <f t="shared" si="103"/>
        <v>048314</v>
      </c>
      <c r="N420">
        <v>1</v>
      </c>
      <c r="O420">
        <v>1</v>
      </c>
      <c r="P420" t="str">
        <f>"05"</f>
        <v>05</v>
      </c>
      <c r="Q420" t="s">
        <v>835</v>
      </c>
      <c r="S420" t="s">
        <v>836</v>
      </c>
      <c r="T420" t="s">
        <v>836</v>
      </c>
      <c r="U420" t="str">
        <f t="shared" si="109"/>
        <v>2500-12-31 00:00:00.0</v>
      </c>
      <c r="V420" t="s">
        <v>837</v>
      </c>
      <c r="W420" t="str">
        <f>"048314-070417-**-**"</f>
        <v>048314-070417-**-**</v>
      </c>
      <c r="X420" t="s">
        <v>838</v>
      </c>
      <c r="Y420">
        <v>1125</v>
      </c>
      <c r="Z420">
        <v>1125</v>
      </c>
      <c r="AA420" t="str">
        <f t="shared" si="110"/>
        <v>06/08/2016</v>
      </c>
    </row>
    <row r="421" spans="1:27" x14ac:dyDescent="0.3">
      <c r="A421" t="str">
        <f t="shared" si="104"/>
        <v>048314</v>
      </c>
      <c r="B421" t="str">
        <f t="shared" si="107"/>
        <v>004697</v>
      </c>
      <c r="C421" t="s">
        <v>1052</v>
      </c>
      <c r="D421" t="s">
        <v>3839</v>
      </c>
      <c r="E421" t="s">
        <v>3840</v>
      </c>
      <c r="F421" t="s">
        <v>3841</v>
      </c>
      <c r="G421" t="s">
        <v>3842</v>
      </c>
      <c r="H421" t="str">
        <f t="shared" si="111"/>
        <v>048314</v>
      </c>
      <c r="I421" t="s">
        <v>833</v>
      </c>
      <c r="J421" t="str">
        <f>"2015-08-01 00:00:00.0"</f>
        <v>2015-08-01 00:00:00.0</v>
      </c>
      <c r="K421" t="s">
        <v>834</v>
      </c>
      <c r="L421" t="s">
        <v>0</v>
      </c>
      <c r="M421" t="str">
        <f t="shared" si="103"/>
        <v>048314</v>
      </c>
      <c r="N421">
        <v>1</v>
      </c>
      <c r="O421">
        <v>1</v>
      </c>
      <c r="P421" t="s">
        <v>764</v>
      </c>
      <c r="Q421" t="s">
        <v>835</v>
      </c>
      <c r="S421" t="s">
        <v>836</v>
      </c>
      <c r="T421" t="s">
        <v>836</v>
      </c>
      <c r="U421" t="str">
        <f t="shared" si="109"/>
        <v>2500-12-31 00:00:00.0</v>
      </c>
      <c r="V421" t="s">
        <v>837</v>
      </c>
      <c r="W421" t="str">
        <f>"048314-004697-**-**"</f>
        <v>048314-004697-**-**</v>
      </c>
      <c r="X421" t="s">
        <v>838</v>
      </c>
      <c r="Y421">
        <v>1206.25</v>
      </c>
      <c r="Z421">
        <v>1206.25</v>
      </c>
      <c r="AA421" t="str">
        <f t="shared" si="110"/>
        <v>06/08/2016</v>
      </c>
    </row>
    <row r="422" spans="1:27" x14ac:dyDescent="0.3">
      <c r="A422" t="str">
        <f t="shared" si="104"/>
        <v>048314</v>
      </c>
      <c r="B422" t="str">
        <f t="shared" si="107"/>
        <v>004697</v>
      </c>
      <c r="C422" t="s">
        <v>3573</v>
      </c>
      <c r="D422" t="s">
        <v>3839</v>
      </c>
      <c r="E422" t="s">
        <v>3840</v>
      </c>
      <c r="F422" t="s">
        <v>3841</v>
      </c>
      <c r="G422" t="s">
        <v>3842</v>
      </c>
      <c r="H422" t="str">
        <f t="shared" si="111"/>
        <v>048314</v>
      </c>
      <c r="I422" t="s">
        <v>833</v>
      </c>
      <c r="J422" t="str">
        <f>"2015-07-01 00:00:00.0"</f>
        <v>2015-07-01 00:00:00.0</v>
      </c>
      <c r="K422" t="s">
        <v>834</v>
      </c>
      <c r="L422" t="s">
        <v>0</v>
      </c>
      <c r="M422" t="str">
        <f t="shared" si="103"/>
        <v>048314</v>
      </c>
      <c r="N422">
        <v>1</v>
      </c>
      <c r="O422">
        <v>1</v>
      </c>
      <c r="P422" t="str">
        <f>"04"</f>
        <v>04</v>
      </c>
      <c r="Q422" t="s">
        <v>835</v>
      </c>
      <c r="S422" t="s">
        <v>836</v>
      </c>
      <c r="T422" t="s">
        <v>836</v>
      </c>
      <c r="U422" t="str">
        <f t="shared" si="109"/>
        <v>2500-12-31 00:00:00.0</v>
      </c>
      <c r="V422" t="s">
        <v>837</v>
      </c>
      <c r="W422" t="str">
        <f>"048314-004697-**-**"</f>
        <v>048314-004697-**-**</v>
      </c>
      <c r="X422" t="s">
        <v>838</v>
      </c>
      <c r="Y422">
        <v>1206.25</v>
      </c>
      <c r="Z422">
        <v>1206.25</v>
      </c>
      <c r="AA422" t="str">
        <f t="shared" si="110"/>
        <v>06/08/2016</v>
      </c>
    </row>
    <row r="423" spans="1:27" x14ac:dyDescent="0.3">
      <c r="A423" t="str">
        <f t="shared" si="104"/>
        <v>048314</v>
      </c>
      <c r="B423" t="str">
        <f t="shared" si="107"/>
        <v>004697</v>
      </c>
      <c r="C423" t="s">
        <v>3675</v>
      </c>
      <c r="D423" t="s">
        <v>3839</v>
      </c>
      <c r="E423" t="s">
        <v>3840</v>
      </c>
      <c r="F423" t="s">
        <v>3841</v>
      </c>
      <c r="G423" t="s">
        <v>3842</v>
      </c>
      <c r="H423" t="str">
        <f t="shared" si="111"/>
        <v>048314</v>
      </c>
      <c r="I423" t="s">
        <v>833</v>
      </c>
      <c r="J423" t="str">
        <f>"2015-07-01 00:00:00.0"</f>
        <v>2015-07-01 00:00:00.0</v>
      </c>
      <c r="K423" t="s">
        <v>834</v>
      </c>
      <c r="L423" t="s">
        <v>0</v>
      </c>
      <c r="M423" t="str">
        <f t="shared" si="103"/>
        <v>048314</v>
      </c>
      <c r="N423">
        <v>1</v>
      </c>
      <c r="O423">
        <v>1</v>
      </c>
      <c r="P423" t="str">
        <f>"05"</f>
        <v>05</v>
      </c>
      <c r="Q423" t="s">
        <v>835</v>
      </c>
      <c r="S423" t="s">
        <v>860</v>
      </c>
      <c r="T423" t="s">
        <v>836</v>
      </c>
      <c r="U423" t="str">
        <f t="shared" si="109"/>
        <v>2500-12-31 00:00:00.0</v>
      </c>
      <c r="V423" t="s">
        <v>837</v>
      </c>
      <c r="W423" t="str">
        <f>"048314-070417-**-**"</f>
        <v>048314-070417-**-**</v>
      </c>
      <c r="X423" t="s">
        <v>838</v>
      </c>
      <c r="Y423">
        <v>1125</v>
      </c>
      <c r="Z423">
        <v>1125</v>
      </c>
      <c r="AA423" t="str">
        <f t="shared" si="110"/>
        <v>06/08/2016</v>
      </c>
    </row>
    <row r="424" spans="1:27" x14ac:dyDescent="0.3">
      <c r="A424" t="str">
        <f t="shared" si="104"/>
        <v>048314</v>
      </c>
      <c r="B424" t="str">
        <f t="shared" si="107"/>
        <v>004697</v>
      </c>
      <c r="C424" t="s">
        <v>3595</v>
      </c>
      <c r="D424" t="s">
        <v>3839</v>
      </c>
      <c r="E424" t="s">
        <v>3840</v>
      </c>
      <c r="F424" t="s">
        <v>3841</v>
      </c>
      <c r="G424" t="s">
        <v>3842</v>
      </c>
      <c r="H424" t="str">
        <f t="shared" si="111"/>
        <v>048314</v>
      </c>
      <c r="I424" t="s">
        <v>833</v>
      </c>
      <c r="J424" t="str">
        <f>"2015-07-01 00:00:00.0"</f>
        <v>2015-07-01 00:00:00.0</v>
      </c>
      <c r="K424" t="s">
        <v>834</v>
      </c>
      <c r="L424" t="s">
        <v>0</v>
      </c>
      <c r="M424" t="str">
        <f t="shared" si="103"/>
        <v>048314</v>
      </c>
      <c r="N424">
        <v>0.89119199999999998</v>
      </c>
      <c r="O424">
        <v>0.89119199999999998</v>
      </c>
      <c r="P424" t="str">
        <f>"04"</f>
        <v>04</v>
      </c>
      <c r="Q424" t="str">
        <f>"05"</f>
        <v>05</v>
      </c>
      <c r="R424" t="str">
        <f>"1"</f>
        <v>1</v>
      </c>
      <c r="S424" t="s">
        <v>836</v>
      </c>
      <c r="T424" t="s">
        <v>836</v>
      </c>
      <c r="U424" t="str">
        <f>"2016-05-09 00:00:00.0"</f>
        <v>2016-05-09 00:00:00.0</v>
      </c>
      <c r="V424" t="s">
        <v>837</v>
      </c>
      <c r="W424" t="str">
        <f t="shared" ref="W424:W433" si="113">"048314-004697-**-**"</f>
        <v>048314-004697-**-**</v>
      </c>
      <c r="X424" t="s">
        <v>838</v>
      </c>
      <c r="Y424">
        <v>1075</v>
      </c>
      <c r="Z424">
        <v>1206.25</v>
      </c>
      <c r="AA424" t="str">
        <f t="shared" si="110"/>
        <v>06/08/2016</v>
      </c>
    </row>
    <row r="425" spans="1:27" x14ac:dyDescent="0.3">
      <c r="A425" t="str">
        <f t="shared" si="104"/>
        <v>048314</v>
      </c>
      <c r="B425" t="str">
        <f t="shared" si="107"/>
        <v>004697</v>
      </c>
      <c r="C425" t="s">
        <v>3595</v>
      </c>
      <c r="D425" t="s">
        <v>3839</v>
      </c>
      <c r="E425" t="s">
        <v>3840</v>
      </c>
      <c r="F425" t="s">
        <v>3841</v>
      </c>
      <c r="G425" t="s">
        <v>3842</v>
      </c>
      <c r="H425" t="str">
        <f t="shared" si="111"/>
        <v>048314</v>
      </c>
      <c r="I425" t="s">
        <v>833</v>
      </c>
      <c r="J425" t="str">
        <f>"2016-05-10 00:00:00.0"</f>
        <v>2016-05-10 00:00:00.0</v>
      </c>
      <c r="K425" t="s">
        <v>834</v>
      </c>
      <c r="L425" t="s">
        <v>0</v>
      </c>
      <c r="M425" t="str">
        <f t="shared" si="103"/>
        <v>048314</v>
      </c>
      <c r="N425">
        <v>5.1812999999999998E-2</v>
      </c>
      <c r="O425">
        <v>5.1812999999999998E-2</v>
      </c>
      <c r="P425" t="str">
        <f>"04"</f>
        <v>04</v>
      </c>
      <c r="Q425" t="s">
        <v>835</v>
      </c>
      <c r="S425" t="s">
        <v>836</v>
      </c>
      <c r="T425" t="s">
        <v>836</v>
      </c>
      <c r="U425" t="str">
        <f>"2016-05-23 00:00:00.0"</f>
        <v>2016-05-23 00:00:00.0</v>
      </c>
      <c r="V425" t="s">
        <v>837</v>
      </c>
      <c r="W425" t="str">
        <f t="shared" si="113"/>
        <v>048314-004697-**-**</v>
      </c>
      <c r="X425" t="s">
        <v>838</v>
      </c>
      <c r="Y425">
        <v>62.5</v>
      </c>
      <c r="Z425">
        <v>1206.25</v>
      </c>
      <c r="AA425" t="str">
        <f t="shared" si="110"/>
        <v>06/08/2016</v>
      </c>
    </row>
    <row r="426" spans="1:27" x14ac:dyDescent="0.3">
      <c r="A426" t="str">
        <f t="shared" si="104"/>
        <v>048314</v>
      </c>
      <c r="B426" t="str">
        <f t="shared" si="107"/>
        <v>004697</v>
      </c>
      <c r="C426" t="s">
        <v>3595</v>
      </c>
      <c r="D426" t="s">
        <v>3839</v>
      </c>
      <c r="E426" t="s">
        <v>3840</v>
      </c>
      <c r="F426" t="s">
        <v>3841</v>
      </c>
      <c r="G426" t="s">
        <v>3842</v>
      </c>
      <c r="H426" t="str">
        <f t="shared" si="111"/>
        <v>048314</v>
      </c>
      <c r="I426" t="s">
        <v>833</v>
      </c>
      <c r="J426" t="str">
        <f>"2016-05-24 00:00:00.0"</f>
        <v>2016-05-24 00:00:00.0</v>
      </c>
      <c r="K426" t="s">
        <v>834</v>
      </c>
      <c r="L426" t="s">
        <v>0</v>
      </c>
      <c r="M426" t="str">
        <f t="shared" si="103"/>
        <v>048314</v>
      </c>
      <c r="N426">
        <v>5.6994999999999997E-2</v>
      </c>
      <c r="O426">
        <v>5.6994999999999997E-2</v>
      </c>
      <c r="P426" t="str">
        <f>"04"</f>
        <v>04</v>
      </c>
      <c r="Q426" t="s">
        <v>835</v>
      </c>
      <c r="S426" t="s">
        <v>836</v>
      </c>
      <c r="T426" t="s">
        <v>836</v>
      </c>
      <c r="U426" t="str">
        <f t="shared" ref="U426:U453" si="114">"2500-12-31 00:00:00.0"</f>
        <v>2500-12-31 00:00:00.0</v>
      </c>
      <c r="V426" t="s">
        <v>837</v>
      </c>
      <c r="W426" t="str">
        <f t="shared" si="113"/>
        <v>048314-004697-**-**</v>
      </c>
      <c r="X426" t="s">
        <v>838</v>
      </c>
      <c r="Y426">
        <v>68.75</v>
      </c>
      <c r="Z426">
        <v>1206.25</v>
      </c>
      <c r="AA426" t="str">
        <f t="shared" si="110"/>
        <v>06/08/2016</v>
      </c>
    </row>
    <row r="427" spans="1:27" x14ac:dyDescent="0.3">
      <c r="A427" t="str">
        <f t="shared" si="104"/>
        <v>048314</v>
      </c>
      <c r="B427" t="str">
        <f t="shared" si="107"/>
        <v>004697</v>
      </c>
      <c r="C427" t="s">
        <v>3041</v>
      </c>
      <c r="D427" t="s">
        <v>3839</v>
      </c>
      <c r="E427" t="s">
        <v>3840</v>
      </c>
      <c r="F427" t="s">
        <v>3841</v>
      </c>
      <c r="G427" t="s">
        <v>3842</v>
      </c>
      <c r="H427" t="str">
        <f t="shared" si="111"/>
        <v>048314</v>
      </c>
      <c r="I427" t="s">
        <v>833</v>
      </c>
      <c r="J427" t="str">
        <f t="shared" ref="J427:J437" si="115">"2015-07-01 00:00:00.0"</f>
        <v>2015-07-01 00:00:00.0</v>
      </c>
      <c r="K427" t="s">
        <v>834</v>
      </c>
      <c r="L427" t="s">
        <v>0</v>
      </c>
      <c r="M427" t="str">
        <f t="shared" si="103"/>
        <v>048314</v>
      </c>
      <c r="N427">
        <v>1</v>
      </c>
      <c r="O427">
        <v>1</v>
      </c>
      <c r="P427" t="str">
        <f>"01"</f>
        <v>01</v>
      </c>
      <c r="Q427" t="s">
        <v>835</v>
      </c>
      <c r="S427" t="s">
        <v>836</v>
      </c>
      <c r="T427" t="s">
        <v>836</v>
      </c>
      <c r="U427" t="str">
        <f t="shared" si="114"/>
        <v>2500-12-31 00:00:00.0</v>
      </c>
      <c r="V427" t="s">
        <v>837</v>
      </c>
      <c r="W427" t="str">
        <f t="shared" si="113"/>
        <v>048314-004697-**-**</v>
      </c>
      <c r="X427" t="s">
        <v>838</v>
      </c>
      <c r="Y427">
        <v>1206.25</v>
      </c>
      <c r="Z427">
        <v>1206.25</v>
      </c>
      <c r="AA427" t="str">
        <f t="shared" si="110"/>
        <v>06/08/2016</v>
      </c>
    </row>
    <row r="428" spans="1:27" x14ac:dyDescent="0.3">
      <c r="A428" t="str">
        <f t="shared" si="104"/>
        <v>048314</v>
      </c>
      <c r="B428" t="str">
        <f t="shared" si="107"/>
        <v>004697</v>
      </c>
      <c r="C428" t="s">
        <v>995</v>
      </c>
      <c r="D428" t="s">
        <v>3839</v>
      </c>
      <c r="E428" t="s">
        <v>3840</v>
      </c>
      <c r="F428" t="s">
        <v>3841</v>
      </c>
      <c r="G428" t="s">
        <v>3842</v>
      </c>
      <c r="H428" t="str">
        <f t="shared" si="111"/>
        <v>048314</v>
      </c>
      <c r="I428" t="s">
        <v>833</v>
      </c>
      <c r="J428" t="str">
        <f t="shared" si="115"/>
        <v>2015-07-01 00:00:00.0</v>
      </c>
      <c r="K428" t="s">
        <v>834</v>
      </c>
      <c r="L428" t="s">
        <v>0</v>
      </c>
      <c r="M428" t="str">
        <f t="shared" si="103"/>
        <v>048314</v>
      </c>
      <c r="N428">
        <v>1</v>
      </c>
      <c r="O428">
        <v>1</v>
      </c>
      <c r="P428" t="str">
        <f>"01"</f>
        <v>01</v>
      </c>
      <c r="Q428" t="str">
        <f>"05"</f>
        <v>05</v>
      </c>
      <c r="R428" t="str">
        <f>"1"</f>
        <v>1</v>
      </c>
      <c r="S428" t="s">
        <v>836</v>
      </c>
      <c r="T428" t="s">
        <v>836</v>
      </c>
      <c r="U428" t="str">
        <f t="shared" si="114"/>
        <v>2500-12-31 00:00:00.0</v>
      </c>
      <c r="V428" t="s">
        <v>837</v>
      </c>
      <c r="W428" t="str">
        <f t="shared" si="113"/>
        <v>048314-004697-**-**</v>
      </c>
      <c r="X428" t="s">
        <v>838</v>
      </c>
      <c r="Y428">
        <v>1206.25</v>
      </c>
      <c r="Z428">
        <v>1206.25</v>
      </c>
      <c r="AA428" t="str">
        <f t="shared" si="110"/>
        <v>06/08/2016</v>
      </c>
    </row>
    <row r="429" spans="1:27" x14ac:dyDescent="0.3">
      <c r="A429" t="str">
        <f t="shared" si="104"/>
        <v>048314</v>
      </c>
      <c r="B429" t="str">
        <f t="shared" si="107"/>
        <v>004697</v>
      </c>
      <c r="C429" t="s">
        <v>3606</v>
      </c>
      <c r="D429" t="s">
        <v>3839</v>
      </c>
      <c r="E429" t="s">
        <v>3840</v>
      </c>
      <c r="F429" t="s">
        <v>3841</v>
      </c>
      <c r="G429" t="s">
        <v>3842</v>
      </c>
      <c r="H429" t="str">
        <f t="shared" si="111"/>
        <v>048314</v>
      </c>
      <c r="I429" t="s">
        <v>833</v>
      </c>
      <c r="J429" t="str">
        <f t="shared" si="115"/>
        <v>2015-07-01 00:00:00.0</v>
      </c>
      <c r="K429" t="s">
        <v>834</v>
      </c>
      <c r="L429" t="s">
        <v>0</v>
      </c>
      <c r="M429" t="str">
        <f t="shared" si="103"/>
        <v>048314</v>
      </c>
      <c r="N429">
        <v>1</v>
      </c>
      <c r="O429">
        <v>1</v>
      </c>
      <c r="P429" t="str">
        <f>"04"</f>
        <v>04</v>
      </c>
      <c r="Q429" t="s">
        <v>835</v>
      </c>
      <c r="S429" t="s">
        <v>836</v>
      </c>
      <c r="T429" t="s">
        <v>836</v>
      </c>
      <c r="U429" t="str">
        <f t="shared" si="114"/>
        <v>2500-12-31 00:00:00.0</v>
      </c>
      <c r="V429" t="s">
        <v>837</v>
      </c>
      <c r="W429" t="str">
        <f t="shared" si="113"/>
        <v>048314-004697-**-**</v>
      </c>
      <c r="X429" t="s">
        <v>838</v>
      </c>
      <c r="Y429">
        <v>1206.25</v>
      </c>
      <c r="Z429">
        <v>1206.25</v>
      </c>
      <c r="AA429" t="str">
        <f t="shared" si="110"/>
        <v>06/08/2016</v>
      </c>
    </row>
    <row r="430" spans="1:27" x14ac:dyDescent="0.3">
      <c r="A430" t="str">
        <f t="shared" si="104"/>
        <v>048314</v>
      </c>
      <c r="B430" t="str">
        <f t="shared" si="107"/>
        <v>004697</v>
      </c>
      <c r="C430" t="s">
        <v>3597</v>
      </c>
      <c r="D430" t="s">
        <v>3839</v>
      </c>
      <c r="E430" t="s">
        <v>3840</v>
      </c>
      <c r="F430" t="s">
        <v>3841</v>
      </c>
      <c r="G430" t="s">
        <v>3842</v>
      </c>
      <c r="H430" t="str">
        <f t="shared" si="111"/>
        <v>048314</v>
      </c>
      <c r="I430" t="s">
        <v>833</v>
      </c>
      <c r="J430" t="str">
        <f t="shared" si="115"/>
        <v>2015-07-01 00:00:00.0</v>
      </c>
      <c r="K430" t="s">
        <v>834</v>
      </c>
      <c r="L430" t="s">
        <v>0</v>
      </c>
      <c r="M430" t="str">
        <f t="shared" si="103"/>
        <v>048314</v>
      </c>
      <c r="N430">
        <v>1</v>
      </c>
      <c r="O430">
        <v>1</v>
      </c>
      <c r="P430" t="str">
        <f>"03"</f>
        <v>03</v>
      </c>
      <c r="Q430" t="s">
        <v>835</v>
      </c>
      <c r="S430" t="s">
        <v>836</v>
      </c>
      <c r="T430" t="s">
        <v>836</v>
      </c>
      <c r="U430" t="str">
        <f t="shared" si="114"/>
        <v>2500-12-31 00:00:00.0</v>
      </c>
      <c r="V430" t="s">
        <v>837</v>
      </c>
      <c r="W430" t="str">
        <f t="shared" si="113"/>
        <v>048314-004697-**-**</v>
      </c>
      <c r="X430" t="s">
        <v>838</v>
      </c>
      <c r="Y430">
        <v>1206.25</v>
      </c>
      <c r="Z430">
        <v>1206.25</v>
      </c>
      <c r="AA430" t="str">
        <f t="shared" si="110"/>
        <v>06/08/2016</v>
      </c>
    </row>
    <row r="431" spans="1:27" x14ac:dyDescent="0.3">
      <c r="A431" t="str">
        <f t="shared" si="104"/>
        <v>048314</v>
      </c>
      <c r="B431" t="str">
        <f t="shared" si="107"/>
        <v>004697</v>
      </c>
      <c r="C431" t="s">
        <v>2233</v>
      </c>
      <c r="D431" t="s">
        <v>3839</v>
      </c>
      <c r="E431" t="s">
        <v>3840</v>
      </c>
      <c r="F431" t="s">
        <v>3841</v>
      </c>
      <c r="G431" t="s">
        <v>3842</v>
      </c>
      <c r="H431" t="str">
        <f t="shared" si="111"/>
        <v>048314</v>
      </c>
      <c r="I431" t="s">
        <v>833</v>
      </c>
      <c r="J431" t="str">
        <f t="shared" si="115"/>
        <v>2015-07-01 00:00:00.0</v>
      </c>
      <c r="K431" t="s">
        <v>834</v>
      </c>
      <c r="L431" t="s">
        <v>0</v>
      </c>
      <c r="M431" t="str">
        <f t="shared" si="103"/>
        <v>048314</v>
      </c>
      <c r="N431">
        <v>1</v>
      </c>
      <c r="O431">
        <v>1</v>
      </c>
      <c r="P431" t="s">
        <v>764</v>
      </c>
      <c r="Q431" t="s">
        <v>835</v>
      </c>
      <c r="S431" t="s">
        <v>836</v>
      </c>
      <c r="T431" t="s">
        <v>836</v>
      </c>
      <c r="U431" t="str">
        <f t="shared" si="114"/>
        <v>2500-12-31 00:00:00.0</v>
      </c>
      <c r="V431" t="s">
        <v>837</v>
      </c>
      <c r="W431" t="str">
        <f t="shared" si="113"/>
        <v>048314-004697-**-**</v>
      </c>
      <c r="X431" t="s">
        <v>838</v>
      </c>
      <c r="Y431">
        <v>1206.25</v>
      </c>
      <c r="Z431">
        <v>1206.25</v>
      </c>
      <c r="AA431" t="str">
        <f t="shared" si="110"/>
        <v>06/08/2016</v>
      </c>
    </row>
    <row r="432" spans="1:27" x14ac:dyDescent="0.3">
      <c r="A432" t="str">
        <f t="shared" si="104"/>
        <v>048314</v>
      </c>
      <c r="B432" t="str">
        <f t="shared" si="107"/>
        <v>004697</v>
      </c>
      <c r="C432" t="s">
        <v>2236</v>
      </c>
      <c r="D432" t="s">
        <v>3839</v>
      </c>
      <c r="E432" t="s">
        <v>3840</v>
      </c>
      <c r="F432" t="s">
        <v>3841</v>
      </c>
      <c r="G432" t="s">
        <v>3842</v>
      </c>
      <c r="H432" t="str">
        <f t="shared" si="111"/>
        <v>048314</v>
      </c>
      <c r="I432" t="s">
        <v>833</v>
      </c>
      <c r="J432" t="str">
        <f t="shared" si="115"/>
        <v>2015-07-01 00:00:00.0</v>
      </c>
      <c r="K432" t="s">
        <v>834</v>
      </c>
      <c r="L432" t="s">
        <v>0</v>
      </c>
      <c r="M432" t="str">
        <f t="shared" si="103"/>
        <v>048314</v>
      </c>
      <c r="N432">
        <v>1</v>
      </c>
      <c r="O432">
        <v>1</v>
      </c>
      <c r="P432" t="str">
        <f>"02"</f>
        <v>02</v>
      </c>
      <c r="Q432" t="s">
        <v>835</v>
      </c>
      <c r="S432" t="s">
        <v>836</v>
      </c>
      <c r="T432" t="s">
        <v>836</v>
      </c>
      <c r="U432" t="str">
        <f t="shared" si="114"/>
        <v>2500-12-31 00:00:00.0</v>
      </c>
      <c r="V432" t="s">
        <v>837</v>
      </c>
      <c r="W432" t="str">
        <f t="shared" si="113"/>
        <v>048314-004697-**-**</v>
      </c>
      <c r="X432" t="s">
        <v>838</v>
      </c>
      <c r="Y432">
        <v>1206.25</v>
      </c>
      <c r="Z432">
        <v>1206.25</v>
      </c>
      <c r="AA432" t="str">
        <f t="shared" si="110"/>
        <v>06/08/2016</v>
      </c>
    </row>
    <row r="433" spans="1:27" x14ac:dyDescent="0.3">
      <c r="A433" t="str">
        <f t="shared" si="104"/>
        <v>048314</v>
      </c>
      <c r="B433" t="str">
        <f t="shared" si="107"/>
        <v>004697</v>
      </c>
      <c r="C433" t="s">
        <v>2767</v>
      </c>
      <c r="D433" t="s">
        <v>3839</v>
      </c>
      <c r="E433" t="s">
        <v>3840</v>
      </c>
      <c r="F433" t="s">
        <v>3841</v>
      </c>
      <c r="G433" t="s">
        <v>3842</v>
      </c>
      <c r="H433" t="str">
        <f t="shared" si="111"/>
        <v>048314</v>
      </c>
      <c r="I433" t="s">
        <v>833</v>
      </c>
      <c r="J433" t="str">
        <f t="shared" si="115"/>
        <v>2015-07-01 00:00:00.0</v>
      </c>
      <c r="K433" t="s">
        <v>834</v>
      </c>
      <c r="L433" t="s">
        <v>0</v>
      </c>
      <c r="M433" t="str">
        <f t="shared" si="103"/>
        <v>048314</v>
      </c>
      <c r="N433">
        <v>1</v>
      </c>
      <c r="O433">
        <v>1</v>
      </c>
      <c r="P433" t="str">
        <f>"04"</f>
        <v>04</v>
      </c>
      <c r="Q433" t="s">
        <v>835</v>
      </c>
      <c r="S433" t="s">
        <v>836</v>
      </c>
      <c r="T433" t="s">
        <v>836</v>
      </c>
      <c r="U433" t="str">
        <f t="shared" si="114"/>
        <v>2500-12-31 00:00:00.0</v>
      </c>
      <c r="V433" t="s">
        <v>837</v>
      </c>
      <c r="W433" t="str">
        <f t="shared" si="113"/>
        <v>048314-004697-**-**</v>
      </c>
      <c r="X433" t="s">
        <v>838</v>
      </c>
      <c r="Y433">
        <v>1206.25</v>
      </c>
      <c r="Z433">
        <v>1206.25</v>
      </c>
      <c r="AA433" t="str">
        <f t="shared" si="110"/>
        <v>06/08/2016</v>
      </c>
    </row>
    <row r="434" spans="1:27" x14ac:dyDescent="0.3">
      <c r="A434" t="str">
        <f t="shared" si="104"/>
        <v>048314</v>
      </c>
      <c r="B434" t="str">
        <f t="shared" si="107"/>
        <v>004697</v>
      </c>
      <c r="C434" t="s">
        <v>3292</v>
      </c>
      <c r="D434" t="s">
        <v>3839</v>
      </c>
      <c r="E434" t="s">
        <v>3840</v>
      </c>
      <c r="F434" t="s">
        <v>3841</v>
      </c>
      <c r="G434" t="s">
        <v>3842</v>
      </c>
      <c r="H434" t="str">
        <f t="shared" si="111"/>
        <v>048314</v>
      </c>
      <c r="I434" t="s">
        <v>833</v>
      </c>
      <c r="J434" t="str">
        <f t="shared" si="115"/>
        <v>2015-07-01 00:00:00.0</v>
      </c>
      <c r="K434" t="s">
        <v>834</v>
      </c>
      <c r="L434" t="s">
        <v>0</v>
      </c>
      <c r="M434" t="str">
        <f t="shared" si="103"/>
        <v>048314</v>
      </c>
      <c r="N434">
        <v>1</v>
      </c>
      <c r="O434">
        <v>1</v>
      </c>
      <c r="P434" t="str">
        <f>"05"</f>
        <v>05</v>
      </c>
      <c r="Q434" t="s">
        <v>835</v>
      </c>
      <c r="S434" t="s">
        <v>836</v>
      </c>
      <c r="T434" t="s">
        <v>836</v>
      </c>
      <c r="U434" t="str">
        <f t="shared" si="114"/>
        <v>2500-12-31 00:00:00.0</v>
      </c>
      <c r="V434" t="s">
        <v>837</v>
      </c>
      <c r="W434" t="str">
        <f>"048314-070417-**-**"</f>
        <v>048314-070417-**-**</v>
      </c>
      <c r="X434" t="s">
        <v>838</v>
      </c>
      <c r="Y434">
        <v>1125</v>
      </c>
      <c r="Z434">
        <v>1125</v>
      </c>
      <c r="AA434" t="str">
        <f t="shared" si="110"/>
        <v>06/08/2016</v>
      </c>
    </row>
    <row r="435" spans="1:27" x14ac:dyDescent="0.3">
      <c r="A435" t="str">
        <f t="shared" si="104"/>
        <v>048314</v>
      </c>
      <c r="B435" t="str">
        <f t="shared" si="107"/>
        <v>004697</v>
      </c>
      <c r="C435" t="s">
        <v>3214</v>
      </c>
      <c r="D435" t="s">
        <v>3839</v>
      </c>
      <c r="E435" t="s">
        <v>3840</v>
      </c>
      <c r="F435" t="s">
        <v>3841</v>
      </c>
      <c r="G435" t="s">
        <v>3842</v>
      </c>
      <c r="H435" t="str">
        <f t="shared" si="111"/>
        <v>048314</v>
      </c>
      <c r="I435" t="s">
        <v>833</v>
      </c>
      <c r="J435" t="str">
        <f t="shared" si="115"/>
        <v>2015-07-01 00:00:00.0</v>
      </c>
      <c r="K435" t="s">
        <v>834</v>
      </c>
      <c r="L435" t="s">
        <v>0</v>
      </c>
      <c r="M435" t="str">
        <f t="shared" si="103"/>
        <v>048314</v>
      </c>
      <c r="N435">
        <v>1</v>
      </c>
      <c r="O435">
        <v>1</v>
      </c>
      <c r="P435" t="str">
        <f>"03"</f>
        <v>03</v>
      </c>
      <c r="Q435" t="s">
        <v>835</v>
      </c>
      <c r="S435" t="s">
        <v>836</v>
      </c>
      <c r="T435" t="s">
        <v>836</v>
      </c>
      <c r="U435" t="str">
        <f t="shared" si="114"/>
        <v>2500-12-31 00:00:00.0</v>
      </c>
      <c r="V435" t="s">
        <v>837</v>
      </c>
      <c r="W435" t="str">
        <f>"048314-004697-**-**"</f>
        <v>048314-004697-**-**</v>
      </c>
      <c r="X435" t="s">
        <v>838</v>
      </c>
      <c r="Y435">
        <v>1206.25</v>
      </c>
      <c r="Z435">
        <v>1206.25</v>
      </c>
      <c r="AA435" t="str">
        <f t="shared" si="110"/>
        <v>06/08/2016</v>
      </c>
    </row>
    <row r="436" spans="1:27" x14ac:dyDescent="0.3">
      <c r="A436" t="str">
        <f t="shared" si="104"/>
        <v>048314</v>
      </c>
      <c r="B436" t="str">
        <f t="shared" si="107"/>
        <v>004697</v>
      </c>
      <c r="C436" t="s">
        <v>2902</v>
      </c>
      <c r="D436" t="s">
        <v>3839</v>
      </c>
      <c r="E436" t="s">
        <v>3840</v>
      </c>
      <c r="F436" t="s">
        <v>3841</v>
      </c>
      <c r="G436" t="s">
        <v>3842</v>
      </c>
      <c r="H436" t="str">
        <f t="shared" si="111"/>
        <v>048314</v>
      </c>
      <c r="I436" t="s">
        <v>833</v>
      </c>
      <c r="J436" t="str">
        <f t="shared" si="115"/>
        <v>2015-07-01 00:00:00.0</v>
      </c>
      <c r="K436" t="s">
        <v>834</v>
      </c>
      <c r="L436" t="s">
        <v>0</v>
      </c>
      <c r="M436" t="str">
        <f t="shared" si="103"/>
        <v>048314</v>
      </c>
      <c r="N436">
        <v>1</v>
      </c>
      <c r="O436">
        <v>1</v>
      </c>
      <c r="P436" t="str">
        <f>"05"</f>
        <v>05</v>
      </c>
      <c r="Q436" t="s">
        <v>835</v>
      </c>
      <c r="S436" t="s">
        <v>836</v>
      </c>
      <c r="T436" t="s">
        <v>836</v>
      </c>
      <c r="U436" t="str">
        <f t="shared" si="114"/>
        <v>2500-12-31 00:00:00.0</v>
      </c>
      <c r="V436" t="s">
        <v>837</v>
      </c>
      <c r="W436" t="str">
        <f>"048314-070417-**-**"</f>
        <v>048314-070417-**-**</v>
      </c>
      <c r="X436" t="s">
        <v>838</v>
      </c>
      <c r="Y436">
        <v>1125</v>
      </c>
      <c r="Z436">
        <v>1125</v>
      </c>
      <c r="AA436" t="str">
        <f t="shared" si="110"/>
        <v>06/08/2016</v>
      </c>
    </row>
    <row r="437" spans="1:27" x14ac:dyDescent="0.3">
      <c r="A437" t="str">
        <f t="shared" si="104"/>
        <v>048314</v>
      </c>
      <c r="B437" t="str">
        <f t="shared" si="107"/>
        <v>004697</v>
      </c>
      <c r="C437" t="s">
        <v>1291</v>
      </c>
      <c r="D437" t="s">
        <v>3839</v>
      </c>
      <c r="E437" t="s">
        <v>3840</v>
      </c>
      <c r="F437" t="s">
        <v>3841</v>
      </c>
      <c r="G437" t="s">
        <v>3842</v>
      </c>
      <c r="H437" t="str">
        <f t="shared" si="111"/>
        <v>048314</v>
      </c>
      <c r="I437" t="s">
        <v>833</v>
      </c>
      <c r="J437" t="str">
        <f t="shared" si="115"/>
        <v>2015-07-01 00:00:00.0</v>
      </c>
      <c r="K437" t="s">
        <v>834</v>
      </c>
      <c r="L437" t="s">
        <v>0</v>
      </c>
      <c r="M437" t="str">
        <f t="shared" si="103"/>
        <v>048314</v>
      </c>
      <c r="N437">
        <v>1</v>
      </c>
      <c r="O437">
        <v>1</v>
      </c>
      <c r="P437" t="str">
        <f>"01"</f>
        <v>01</v>
      </c>
      <c r="Q437" t="s">
        <v>835</v>
      </c>
      <c r="S437" t="s">
        <v>836</v>
      </c>
      <c r="T437" t="s">
        <v>836</v>
      </c>
      <c r="U437" t="str">
        <f t="shared" si="114"/>
        <v>2500-12-31 00:00:00.0</v>
      </c>
      <c r="V437" t="s">
        <v>837</v>
      </c>
      <c r="W437" t="str">
        <f>"048314-004697-**-**"</f>
        <v>048314-004697-**-**</v>
      </c>
      <c r="X437" t="s">
        <v>838</v>
      </c>
      <c r="Y437">
        <v>1206.25</v>
      </c>
      <c r="Z437">
        <v>1206.25</v>
      </c>
      <c r="AA437" t="str">
        <f t="shared" si="110"/>
        <v>06/08/2016</v>
      </c>
    </row>
    <row r="438" spans="1:27" x14ac:dyDescent="0.3">
      <c r="A438" t="str">
        <f t="shared" si="104"/>
        <v>048314</v>
      </c>
      <c r="B438" t="str">
        <f t="shared" si="107"/>
        <v>004697</v>
      </c>
      <c r="C438" t="s">
        <v>3744</v>
      </c>
      <c r="D438" t="s">
        <v>3839</v>
      </c>
      <c r="E438" t="s">
        <v>3840</v>
      </c>
      <c r="F438" t="s">
        <v>3841</v>
      </c>
      <c r="G438" t="s">
        <v>3842</v>
      </c>
      <c r="H438" t="str">
        <f t="shared" si="111"/>
        <v>048314</v>
      </c>
      <c r="I438" t="s">
        <v>833</v>
      </c>
      <c r="J438" t="str">
        <f>"2015-08-01 00:00:00.0"</f>
        <v>2015-08-01 00:00:00.0</v>
      </c>
      <c r="K438" t="s">
        <v>834</v>
      </c>
      <c r="L438" t="s">
        <v>0</v>
      </c>
      <c r="M438" t="str">
        <f t="shared" si="103"/>
        <v>048314</v>
      </c>
      <c r="N438">
        <v>1</v>
      </c>
      <c r="O438">
        <v>1</v>
      </c>
      <c r="P438" t="s">
        <v>764</v>
      </c>
      <c r="Q438" t="s">
        <v>835</v>
      </c>
      <c r="S438" t="s">
        <v>836</v>
      </c>
      <c r="T438" t="s">
        <v>836</v>
      </c>
      <c r="U438" t="str">
        <f t="shared" si="114"/>
        <v>2500-12-31 00:00:00.0</v>
      </c>
      <c r="V438" t="s">
        <v>837</v>
      </c>
      <c r="W438" t="str">
        <f>"048314-004697-**-**"</f>
        <v>048314-004697-**-**</v>
      </c>
      <c r="X438" t="s">
        <v>838</v>
      </c>
      <c r="Y438">
        <v>1206.25</v>
      </c>
      <c r="Z438">
        <v>1206.25</v>
      </c>
      <c r="AA438" t="str">
        <f t="shared" si="110"/>
        <v>06/08/2016</v>
      </c>
    </row>
    <row r="439" spans="1:27" x14ac:dyDescent="0.3">
      <c r="A439" t="str">
        <f t="shared" si="104"/>
        <v>048314</v>
      </c>
      <c r="B439" t="str">
        <f t="shared" si="107"/>
        <v>004697</v>
      </c>
      <c r="C439" t="s">
        <v>3615</v>
      </c>
      <c r="D439" t="s">
        <v>3839</v>
      </c>
      <c r="E439" t="s">
        <v>3840</v>
      </c>
      <c r="F439" t="s">
        <v>3841</v>
      </c>
      <c r="G439" t="s">
        <v>3842</v>
      </c>
      <c r="H439" t="str">
        <f t="shared" si="111"/>
        <v>048314</v>
      </c>
      <c r="I439" t="s">
        <v>833</v>
      </c>
      <c r="J439" t="str">
        <f t="shared" ref="J439:J444" si="116">"2015-07-01 00:00:00.0"</f>
        <v>2015-07-01 00:00:00.0</v>
      </c>
      <c r="K439" t="s">
        <v>834</v>
      </c>
      <c r="L439" t="s">
        <v>0</v>
      </c>
      <c r="M439" t="str">
        <f t="shared" si="103"/>
        <v>048314</v>
      </c>
      <c r="N439">
        <v>1</v>
      </c>
      <c r="O439">
        <v>1</v>
      </c>
      <c r="P439" t="str">
        <f>"04"</f>
        <v>04</v>
      </c>
      <c r="Q439" t="s">
        <v>835</v>
      </c>
      <c r="S439" t="s">
        <v>836</v>
      </c>
      <c r="T439" t="s">
        <v>836</v>
      </c>
      <c r="U439" t="str">
        <f t="shared" si="114"/>
        <v>2500-12-31 00:00:00.0</v>
      </c>
      <c r="V439" t="s">
        <v>837</v>
      </c>
      <c r="W439" t="str">
        <f>"048314-004697-**-**"</f>
        <v>048314-004697-**-**</v>
      </c>
      <c r="X439" t="s">
        <v>838</v>
      </c>
      <c r="Y439">
        <v>1206.25</v>
      </c>
      <c r="Z439">
        <v>1206.25</v>
      </c>
      <c r="AA439" t="str">
        <f t="shared" si="110"/>
        <v>06/08/2016</v>
      </c>
    </row>
    <row r="440" spans="1:27" x14ac:dyDescent="0.3">
      <c r="A440" t="str">
        <f t="shared" si="104"/>
        <v>048314</v>
      </c>
      <c r="B440" t="str">
        <f t="shared" si="107"/>
        <v>004697</v>
      </c>
      <c r="C440" t="s">
        <v>3027</v>
      </c>
      <c r="D440" t="s">
        <v>3839</v>
      </c>
      <c r="E440" t="s">
        <v>3840</v>
      </c>
      <c r="F440" t="s">
        <v>3841</v>
      </c>
      <c r="G440" t="s">
        <v>3842</v>
      </c>
      <c r="H440" t="str">
        <f>"048363"</f>
        <v>048363</v>
      </c>
      <c r="I440" t="s">
        <v>833</v>
      </c>
      <c r="J440" t="str">
        <f t="shared" si="116"/>
        <v>2015-07-01 00:00:00.0</v>
      </c>
      <c r="K440" t="s">
        <v>834</v>
      </c>
      <c r="L440" t="s">
        <v>1</v>
      </c>
      <c r="M440" t="str">
        <f t="shared" si="103"/>
        <v>048314</v>
      </c>
      <c r="N440">
        <v>1</v>
      </c>
      <c r="O440">
        <v>1</v>
      </c>
      <c r="P440" t="str">
        <f>"01"</f>
        <v>01</v>
      </c>
      <c r="Q440" t="s">
        <v>835</v>
      </c>
      <c r="S440" t="s">
        <v>836</v>
      </c>
      <c r="T440" t="s">
        <v>836</v>
      </c>
      <c r="U440" t="str">
        <f t="shared" si="114"/>
        <v>2500-12-31 00:00:00.0</v>
      </c>
      <c r="V440" t="s">
        <v>837</v>
      </c>
      <c r="W440" t="str">
        <f>"048363-026211-**-**"</f>
        <v>048363-026211-**-**</v>
      </c>
      <c r="X440" t="s">
        <v>838</v>
      </c>
      <c r="Y440">
        <v>1127</v>
      </c>
      <c r="Z440">
        <v>1127</v>
      </c>
      <c r="AA440" t="str">
        <f>"06/15/2016"</f>
        <v>06/15/2016</v>
      </c>
    </row>
    <row r="441" spans="1:27" x14ac:dyDescent="0.3">
      <c r="A441" t="str">
        <f t="shared" si="104"/>
        <v>048314</v>
      </c>
      <c r="B441" t="str">
        <f t="shared" si="107"/>
        <v>004697</v>
      </c>
      <c r="C441" t="s">
        <v>3488</v>
      </c>
      <c r="D441" t="s">
        <v>3839</v>
      </c>
      <c r="E441" t="s">
        <v>3840</v>
      </c>
      <c r="F441" t="s">
        <v>3841</v>
      </c>
      <c r="G441" t="s">
        <v>3842</v>
      </c>
      <c r="H441" t="str">
        <f>"048363"</f>
        <v>048363</v>
      </c>
      <c r="I441" t="s">
        <v>833</v>
      </c>
      <c r="J441" t="str">
        <f t="shared" si="116"/>
        <v>2015-07-01 00:00:00.0</v>
      </c>
      <c r="K441" t="s">
        <v>834</v>
      </c>
      <c r="L441" t="s">
        <v>1</v>
      </c>
      <c r="M441" t="str">
        <f t="shared" si="103"/>
        <v>048314</v>
      </c>
      <c r="N441">
        <v>1</v>
      </c>
      <c r="O441">
        <v>1</v>
      </c>
      <c r="P441" t="str">
        <f>"03"</f>
        <v>03</v>
      </c>
      <c r="Q441" t="s">
        <v>835</v>
      </c>
      <c r="S441" t="s">
        <v>836</v>
      </c>
      <c r="T441" t="s">
        <v>836</v>
      </c>
      <c r="U441" t="str">
        <f t="shared" si="114"/>
        <v>2500-12-31 00:00:00.0</v>
      </c>
      <c r="V441" t="s">
        <v>837</v>
      </c>
      <c r="W441" t="str">
        <f>"048363-026211-**-**"</f>
        <v>048363-026211-**-**</v>
      </c>
      <c r="X441" t="s">
        <v>838</v>
      </c>
      <c r="Y441">
        <v>1127</v>
      </c>
      <c r="Z441">
        <v>1127</v>
      </c>
      <c r="AA441" t="str">
        <f>"06/15/2016"</f>
        <v>06/15/2016</v>
      </c>
    </row>
    <row r="442" spans="1:27" x14ac:dyDescent="0.3">
      <c r="A442" t="str">
        <f t="shared" si="104"/>
        <v>048314</v>
      </c>
      <c r="B442" t="str">
        <f t="shared" si="107"/>
        <v>004697</v>
      </c>
      <c r="C442" t="s">
        <v>3566</v>
      </c>
      <c r="D442" t="s">
        <v>3839</v>
      </c>
      <c r="E442" t="s">
        <v>3840</v>
      </c>
      <c r="F442" t="s">
        <v>3841</v>
      </c>
      <c r="G442" t="s">
        <v>3842</v>
      </c>
      <c r="H442" t="str">
        <f t="shared" ref="H442:H460" si="117">"048314"</f>
        <v>048314</v>
      </c>
      <c r="I442" t="s">
        <v>833</v>
      </c>
      <c r="J442" t="str">
        <f t="shared" si="116"/>
        <v>2015-07-01 00:00:00.0</v>
      </c>
      <c r="K442" t="s">
        <v>834</v>
      </c>
      <c r="L442" t="s">
        <v>0</v>
      </c>
      <c r="M442" t="str">
        <f t="shared" si="103"/>
        <v>048314</v>
      </c>
      <c r="N442">
        <v>1</v>
      </c>
      <c r="O442">
        <v>1</v>
      </c>
      <c r="P442" t="str">
        <f>"03"</f>
        <v>03</v>
      </c>
      <c r="Q442" t="s">
        <v>835</v>
      </c>
      <c r="S442" t="s">
        <v>836</v>
      </c>
      <c r="T442" t="s">
        <v>836</v>
      </c>
      <c r="U442" t="str">
        <f t="shared" si="114"/>
        <v>2500-12-31 00:00:00.0</v>
      </c>
      <c r="V442" t="s">
        <v>837</v>
      </c>
      <c r="W442" t="str">
        <f t="shared" ref="W442:W460" si="118">"048314-004697-**-**"</f>
        <v>048314-004697-**-**</v>
      </c>
      <c r="X442" t="s">
        <v>838</v>
      </c>
      <c r="Y442">
        <v>1206.25</v>
      </c>
      <c r="Z442">
        <v>1206.25</v>
      </c>
      <c r="AA442" t="str">
        <f t="shared" ref="AA442:AA460" si="119">"06/08/2016"</f>
        <v>06/08/2016</v>
      </c>
    </row>
    <row r="443" spans="1:27" x14ac:dyDescent="0.3">
      <c r="A443" t="str">
        <f t="shared" si="104"/>
        <v>048314</v>
      </c>
      <c r="B443" t="str">
        <f t="shared" si="107"/>
        <v>004697</v>
      </c>
      <c r="C443" t="s">
        <v>3590</v>
      </c>
      <c r="D443" t="s">
        <v>3839</v>
      </c>
      <c r="E443" t="s">
        <v>3840</v>
      </c>
      <c r="F443" t="s">
        <v>3841</v>
      </c>
      <c r="G443" t="s">
        <v>3842</v>
      </c>
      <c r="H443" t="str">
        <f t="shared" si="117"/>
        <v>048314</v>
      </c>
      <c r="I443" t="s">
        <v>833</v>
      </c>
      <c r="J443" t="str">
        <f t="shared" si="116"/>
        <v>2015-07-01 00:00:00.0</v>
      </c>
      <c r="K443" t="s">
        <v>834</v>
      </c>
      <c r="L443" t="s">
        <v>0</v>
      </c>
      <c r="M443" t="str">
        <f t="shared" si="103"/>
        <v>048314</v>
      </c>
      <c r="N443">
        <v>1</v>
      </c>
      <c r="O443">
        <v>1</v>
      </c>
      <c r="P443" t="str">
        <f>"03"</f>
        <v>03</v>
      </c>
      <c r="Q443" t="s">
        <v>835</v>
      </c>
      <c r="S443" t="s">
        <v>860</v>
      </c>
      <c r="T443" t="s">
        <v>836</v>
      </c>
      <c r="U443" t="str">
        <f t="shared" si="114"/>
        <v>2500-12-31 00:00:00.0</v>
      </c>
      <c r="V443" t="s">
        <v>837</v>
      </c>
      <c r="W443" t="str">
        <f t="shared" si="118"/>
        <v>048314-004697-**-**</v>
      </c>
      <c r="X443" t="s">
        <v>838</v>
      </c>
      <c r="Y443">
        <v>1206.25</v>
      </c>
      <c r="Z443">
        <v>1206.25</v>
      </c>
      <c r="AA443" t="str">
        <f t="shared" si="119"/>
        <v>06/08/2016</v>
      </c>
    </row>
    <row r="444" spans="1:27" x14ac:dyDescent="0.3">
      <c r="A444" t="str">
        <f t="shared" si="104"/>
        <v>048314</v>
      </c>
      <c r="B444" t="str">
        <f t="shared" si="107"/>
        <v>004697</v>
      </c>
      <c r="C444" t="s">
        <v>3727</v>
      </c>
      <c r="D444" t="s">
        <v>3839</v>
      </c>
      <c r="E444" t="s">
        <v>3840</v>
      </c>
      <c r="F444" t="s">
        <v>3841</v>
      </c>
      <c r="G444" t="s">
        <v>3842</v>
      </c>
      <c r="H444" t="str">
        <f t="shared" si="117"/>
        <v>048314</v>
      </c>
      <c r="I444" t="s">
        <v>833</v>
      </c>
      <c r="J444" t="str">
        <f t="shared" si="116"/>
        <v>2015-07-01 00:00:00.0</v>
      </c>
      <c r="K444" t="s">
        <v>834</v>
      </c>
      <c r="L444" t="s">
        <v>0</v>
      </c>
      <c r="M444" t="str">
        <f t="shared" si="103"/>
        <v>048314</v>
      </c>
      <c r="N444">
        <v>1</v>
      </c>
      <c r="O444">
        <v>1</v>
      </c>
      <c r="P444" t="str">
        <f>"02"</f>
        <v>02</v>
      </c>
      <c r="Q444" t="s">
        <v>835</v>
      </c>
      <c r="S444" t="s">
        <v>860</v>
      </c>
      <c r="T444" t="s">
        <v>836</v>
      </c>
      <c r="U444" t="str">
        <f t="shared" si="114"/>
        <v>2500-12-31 00:00:00.0</v>
      </c>
      <c r="V444" t="s">
        <v>837</v>
      </c>
      <c r="W444" t="str">
        <f t="shared" si="118"/>
        <v>048314-004697-**-**</v>
      </c>
      <c r="X444" t="s">
        <v>838</v>
      </c>
      <c r="Y444">
        <v>1206.25</v>
      </c>
      <c r="Z444">
        <v>1206.25</v>
      </c>
      <c r="AA444" t="str">
        <f t="shared" si="119"/>
        <v>06/08/2016</v>
      </c>
    </row>
    <row r="445" spans="1:27" x14ac:dyDescent="0.3">
      <c r="A445" t="str">
        <f t="shared" si="104"/>
        <v>048314</v>
      </c>
      <c r="B445" t="str">
        <f t="shared" si="107"/>
        <v>004697</v>
      </c>
      <c r="C445" t="s">
        <v>3690</v>
      </c>
      <c r="D445" t="s">
        <v>3839</v>
      </c>
      <c r="E445" t="s">
        <v>3840</v>
      </c>
      <c r="F445" t="s">
        <v>3841</v>
      </c>
      <c r="G445" t="s">
        <v>3842</v>
      </c>
      <c r="H445" t="str">
        <f t="shared" si="117"/>
        <v>048314</v>
      </c>
      <c r="I445" t="s">
        <v>833</v>
      </c>
      <c r="J445" t="str">
        <f>"2015-08-19 00:00:00.0"</f>
        <v>2015-08-19 00:00:00.0</v>
      </c>
      <c r="K445" t="s">
        <v>834</v>
      </c>
      <c r="L445" t="s">
        <v>0</v>
      </c>
      <c r="M445" t="str">
        <f t="shared" si="103"/>
        <v>048314</v>
      </c>
      <c r="N445">
        <v>1</v>
      </c>
      <c r="O445">
        <v>1</v>
      </c>
      <c r="P445" t="s">
        <v>764</v>
      </c>
      <c r="Q445" t="s">
        <v>835</v>
      </c>
      <c r="S445" t="s">
        <v>836</v>
      </c>
      <c r="T445" t="s">
        <v>836</v>
      </c>
      <c r="U445" t="str">
        <f t="shared" si="114"/>
        <v>2500-12-31 00:00:00.0</v>
      </c>
      <c r="V445" t="s">
        <v>837</v>
      </c>
      <c r="W445" t="str">
        <f t="shared" si="118"/>
        <v>048314-004697-**-**</v>
      </c>
      <c r="X445" t="s">
        <v>838</v>
      </c>
      <c r="Y445">
        <v>1206.25</v>
      </c>
      <c r="Z445">
        <v>1206.25</v>
      </c>
      <c r="AA445" t="str">
        <f t="shared" si="119"/>
        <v>06/08/2016</v>
      </c>
    </row>
    <row r="446" spans="1:27" x14ac:dyDescent="0.3">
      <c r="A446" t="str">
        <f t="shared" si="104"/>
        <v>048314</v>
      </c>
      <c r="B446" t="str">
        <f t="shared" si="107"/>
        <v>004697</v>
      </c>
      <c r="C446" t="s">
        <v>3070</v>
      </c>
      <c r="D446" t="s">
        <v>3839</v>
      </c>
      <c r="E446" t="s">
        <v>3840</v>
      </c>
      <c r="F446" t="s">
        <v>3841</v>
      </c>
      <c r="G446" t="s">
        <v>3842</v>
      </c>
      <c r="H446" t="str">
        <f t="shared" si="117"/>
        <v>048314</v>
      </c>
      <c r="I446" t="s">
        <v>833</v>
      </c>
      <c r="J446" t="str">
        <f>"2015-07-01 00:00:00.0"</f>
        <v>2015-07-01 00:00:00.0</v>
      </c>
      <c r="K446" t="s">
        <v>834</v>
      </c>
      <c r="L446" t="s">
        <v>0</v>
      </c>
      <c r="M446" t="str">
        <f t="shared" ref="M446:M509" si="120">"048314"</f>
        <v>048314</v>
      </c>
      <c r="N446">
        <v>1</v>
      </c>
      <c r="O446">
        <v>1</v>
      </c>
      <c r="P446" t="str">
        <f>"01"</f>
        <v>01</v>
      </c>
      <c r="Q446" t="s">
        <v>835</v>
      </c>
      <c r="S446" t="s">
        <v>836</v>
      </c>
      <c r="T446" t="s">
        <v>836</v>
      </c>
      <c r="U446" t="str">
        <f t="shared" si="114"/>
        <v>2500-12-31 00:00:00.0</v>
      </c>
      <c r="V446" t="s">
        <v>837</v>
      </c>
      <c r="W446" t="str">
        <f t="shared" si="118"/>
        <v>048314-004697-**-**</v>
      </c>
      <c r="X446" t="s">
        <v>838</v>
      </c>
      <c r="Y446">
        <v>1206.25</v>
      </c>
      <c r="Z446">
        <v>1206.25</v>
      </c>
      <c r="AA446" t="str">
        <f t="shared" si="119"/>
        <v>06/08/2016</v>
      </c>
    </row>
    <row r="447" spans="1:27" x14ac:dyDescent="0.3">
      <c r="A447" t="str">
        <f t="shared" si="104"/>
        <v>048314</v>
      </c>
      <c r="B447" t="str">
        <f t="shared" si="107"/>
        <v>004697</v>
      </c>
      <c r="C447" t="s">
        <v>3342</v>
      </c>
      <c r="D447" t="s">
        <v>3839</v>
      </c>
      <c r="E447" t="s">
        <v>3840</v>
      </c>
      <c r="F447" t="s">
        <v>3841</v>
      </c>
      <c r="G447" t="s">
        <v>3842</v>
      </c>
      <c r="H447" t="str">
        <f t="shared" si="117"/>
        <v>048314</v>
      </c>
      <c r="I447" t="s">
        <v>833</v>
      </c>
      <c r="J447" t="str">
        <f>"2015-07-01 00:00:00.0"</f>
        <v>2015-07-01 00:00:00.0</v>
      </c>
      <c r="K447" t="s">
        <v>834</v>
      </c>
      <c r="L447" t="s">
        <v>0</v>
      </c>
      <c r="M447" t="str">
        <f t="shared" si="120"/>
        <v>048314</v>
      </c>
      <c r="N447">
        <v>1</v>
      </c>
      <c r="O447">
        <v>1</v>
      </c>
      <c r="P447" t="str">
        <f>"04"</f>
        <v>04</v>
      </c>
      <c r="Q447" t="s">
        <v>835</v>
      </c>
      <c r="S447" t="s">
        <v>836</v>
      </c>
      <c r="T447" t="s">
        <v>836</v>
      </c>
      <c r="U447" t="str">
        <f t="shared" si="114"/>
        <v>2500-12-31 00:00:00.0</v>
      </c>
      <c r="V447" t="s">
        <v>837</v>
      </c>
      <c r="W447" t="str">
        <f t="shared" si="118"/>
        <v>048314-004697-**-**</v>
      </c>
      <c r="X447" t="s">
        <v>838</v>
      </c>
      <c r="Y447">
        <v>1206.25</v>
      </c>
      <c r="Z447">
        <v>1206.25</v>
      </c>
      <c r="AA447" t="str">
        <f t="shared" si="119"/>
        <v>06/08/2016</v>
      </c>
    </row>
    <row r="448" spans="1:27" x14ac:dyDescent="0.3">
      <c r="A448" t="str">
        <f t="shared" si="104"/>
        <v>048314</v>
      </c>
      <c r="B448" t="str">
        <f t="shared" si="107"/>
        <v>004697</v>
      </c>
      <c r="C448" t="s">
        <v>1548</v>
      </c>
      <c r="D448" t="s">
        <v>3839</v>
      </c>
      <c r="E448" t="s">
        <v>3840</v>
      </c>
      <c r="F448" t="s">
        <v>3841</v>
      </c>
      <c r="G448" t="s">
        <v>3842</v>
      </c>
      <c r="H448" t="str">
        <f t="shared" si="117"/>
        <v>048314</v>
      </c>
      <c r="I448" t="s">
        <v>833</v>
      </c>
      <c r="J448" t="str">
        <f>"2015-08-01 00:00:00.0"</f>
        <v>2015-08-01 00:00:00.0</v>
      </c>
      <c r="K448" t="s">
        <v>834</v>
      </c>
      <c r="L448" t="s">
        <v>0</v>
      </c>
      <c r="M448" t="str">
        <f t="shared" si="120"/>
        <v>048314</v>
      </c>
      <c r="N448">
        <v>1</v>
      </c>
      <c r="O448">
        <v>1</v>
      </c>
      <c r="P448" t="str">
        <f>"01"</f>
        <v>01</v>
      </c>
      <c r="Q448" t="s">
        <v>835</v>
      </c>
      <c r="S448" t="s">
        <v>836</v>
      </c>
      <c r="T448" t="s">
        <v>836</v>
      </c>
      <c r="U448" t="str">
        <f t="shared" si="114"/>
        <v>2500-12-31 00:00:00.0</v>
      </c>
      <c r="V448" t="s">
        <v>837</v>
      </c>
      <c r="W448" t="str">
        <f t="shared" si="118"/>
        <v>048314-004697-**-**</v>
      </c>
      <c r="X448" t="s">
        <v>838</v>
      </c>
      <c r="Y448">
        <v>1206.25</v>
      </c>
      <c r="Z448">
        <v>1206.25</v>
      </c>
      <c r="AA448" t="str">
        <f t="shared" si="119"/>
        <v>06/08/2016</v>
      </c>
    </row>
    <row r="449" spans="1:27" x14ac:dyDescent="0.3">
      <c r="A449" t="str">
        <f t="shared" si="104"/>
        <v>048314</v>
      </c>
      <c r="B449" t="str">
        <f t="shared" si="107"/>
        <v>004697</v>
      </c>
      <c r="C449" t="s">
        <v>1777</v>
      </c>
      <c r="D449" t="s">
        <v>3839</v>
      </c>
      <c r="E449" t="s">
        <v>3840</v>
      </c>
      <c r="F449" t="s">
        <v>3841</v>
      </c>
      <c r="G449" t="s">
        <v>3842</v>
      </c>
      <c r="H449" t="str">
        <f t="shared" si="117"/>
        <v>048314</v>
      </c>
      <c r="I449" t="s">
        <v>833</v>
      </c>
      <c r="J449" t="str">
        <f>"2015-08-01 00:00:00.0"</f>
        <v>2015-08-01 00:00:00.0</v>
      </c>
      <c r="K449" t="s">
        <v>834</v>
      </c>
      <c r="L449" t="s">
        <v>0</v>
      </c>
      <c r="M449" t="str">
        <f t="shared" si="120"/>
        <v>048314</v>
      </c>
      <c r="N449">
        <v>1</v>
      </c>
      <c r="O449">
        <v>1</v>
      </c>
      <c r="P449" t="s">
        <v>764</v>
      </c>
      <c r="Q449" t="s">
        <v>835</v>
      </c>
      <c r="S449" t="s">
        <v>836</v>
      </c>
      <c r="T449" t="s">
        <v>836</v>
      </c>
      <c r="U449" t="str">
        <f t="shared" si="114"/>
        <v>2500-12-31 00:00:00.0</v>
      </c>
      <c r="V449" t="s">
        <v>837</v>
      </c>
      <c r="W449" t="str">
        <f t="shared" si="118"/>
        <v>048314-004697-**-**</v>
      </c>
      <c r="X449" t="s">
        <v>838</v>
      </c>
      <c r="Y449">
        <v>1206.25</v>
      </c>
      <c r="Z449">
        <v>1206.25</v>
      </c>
      <c r="AA449" t="str">
        <f t="shared" si="119"/>
        <v>06/08/2016</v>
      </c>
    </row>
    <row r="450" spans="1:27" x14ac:dyDescent="0.3">
      <c r="A450" t="str">
        <f t="shared" ref="A450:A513" si="121">"048314"</f>
        <v>048314</v>
      </c>
      <c r="B450" t="str">
        <f t="shared" si="107"/>
        <v>004697</v>
      </c>
      <c r="C450" t="s">
        <v>3373</v>
      </c>
      <c r="D450" t="s">
        <v>3839</v>
      </c>
      <c r="E450" t="s">
        <v>3840</v>
      </c>
      <c r="F450" t="s">
        <v>3841</v>
      </c>
      <c r="G450" t="s">
        <v>3842</v>
      </c>
      <c r="H450" t="str">
        <f t="shared" si="117"/>
        <v>048314</v>
      </c>
      <c r="I450" t="s">
        <v>833</v>
      </c>
      <c r="J450" t="str">
        <f>"2015-07-01 00:00:00.0"</f>
        <v>2015-07-01 00:00:00.0</v>
      </c>
      <c r="K450" t="s">
        <v>834</v>
      </c>
      <c r="L450" t="s">
        <v>0</v>
      </c>
      <c r="M450" t="str">
        <f t="shared" si="120"/>
        <v>048314</v>
      </c>
      <c r="N450">
        <v>1</v>
      </c>
      <c r="O450">
        <v>1</v>
      </c>
      <c r="P450" t="str">
        <f>"04"</f>
        <v>04</v>
      </c>
      <c r="Q450" t="s">
        <v>835</v>
      </c>
      <c r="S450" t="s">
        <v>836</v>
      </c>
      <c r="T450" t="s">
        <v>836</v>
      </c>
      <c r="U450" t="str">
        <f t="shared" si="114"/>
        <v>2500-12-31 00:00:00.0</v>
      </c>
      <c r="V450" t="s">
        <v>837</v>
      </c>
      <c r="W450" t="str">
        <f t="shared" si="118"/>
        <v>048314-004697-**-**</v>
      </c>
      <c r="X450" t="s">
        <v>838</v>
      </c>
      <c r="Y450">
        <v>1206.25</v>
      </c>
      <c r="Z450">
        <v>1206.25</v>
      </c>
      <c r="AA450" t="str">
        <f t="shared" si="119"/>
        <v>06/08/2016</v>
      </c>
    </row>
    <row r="451" spans="1:27" x14ac:dyDescent="0.3">
      <c r="A451" t="str">
        <f t="shared" si="121"/>
        <v>048314</v>
      </c>
      <c r="B451" t="str">
        <f t="shared" si="107"/>
        <v>004697</v>
      </c>
      <c r="C451" t="s">
        <v>2812</v>
      </c>
      <c r="D451" t="s">
        <v>3839</v>
      </c>
      <c r="E451" t="s">
        <v>3840</v>
      </c>
      <c r="F451" t="s">
        <v>3841</v>
      </c>
      <c r="G451" t="s">
        <v>3842</v>
      </c>
      <c r="H451" t="str">
        <f t="shared" si="117"/>
        <v>048314</v>
      </c>
      <c r="I451" t="s">
        <v>833</v>
      </c>
      <c r="J451" t="str">
        <f>"2015-07-01 00:00:00.0"</f>
        <v>2015-07-01 00:00:00.0</v>
      </c>
      <c r="K451" t="s">
        <v>834</v>
      </c>
      <c r="L451" t="s">
        <v>0</v>
      </c>
      <c r="M451" t="str">
        <f t="shared" si="120"/>
        <v>048314</v>
      </c>
      <c r="N451">
        <v>1</v>
      </c>
      <c r="O451">
        <v>1</v>
      </c>
      <c r="P451" t="str">
        <f>"01"</f>
        <v>01</v>
      </c>
      <c r="Q451" t="s">
        <v>835</v>
      </c>
      <c r="S451" t="s">
        <v>836</v>
      </c>
      <c r="T451" t="s">
        <v>836</v>
      </c>
      <c r="U451" t="str">
        <f t="shared" si="114"/>
        <v>2500-12-31 00:00:00.0</v>
      </c>
      <c r="V451" t="s">
        <v>837</v>
      </c>
      <c r="W451" t="str">
        <f t="shared" si="118"/>
        <v>048314-004697-**-**</v>
      </c>
      <c r="X451" t="s">
        <v>838</v>
      </c>
      <c r="Y451">
        <v>1206.25</v>
      </c>
      <c r="Z451">
        <v>1206.25</v>
      </c>
      <c r="AA451" t="str">
        <f t="shared" si="119"/>
        <v>06/08/2016</v>
      </c>
    </row>
    <row r="452" spans="1:27" x14ac:dyDescent="0.3">
      <c r="A452" t="str">
        <f t="shared" si="121"/>
        <v>048314</v>
      </c>
      <c r="B452" t="str">
        <f t="shared" si="107"/>
        <v>004697</v>
      </c>
      <c r="C452" t="s">
        <v>3248</v>
      </c>
      <c r="D452" t="s">
        <v>3839</v>
      </c>
      <c r="E452" t="s">
        <v>3840</v>
      </c>
      <c r="F452" t="s">
        <v>3841</v>
      </c>
      <c r="G452" t="s">
        <v>3842</v>
      </c>
      <c r="H452" t="str">
        <f t="shared" si="117"/>
        <v>048314</v>
      </c>
      <c r="I452" t="s">
        <v>833</v>
      </c>
      <c r="J452" t="str">
        <f>"2015-07-01 00:00:00.0"</f>
        <v>2015-07-01 00:00:00.0</v>
      </c>
      <c r="K452" t="s">
        <v>834</v>
      </c>
      <c r="L452" t="s">
        <v>0</v>
      </c>
      <c r="M452" t="str">
        <f t="shared" si="120"/>
        <v>048314</v>
      </c>
      <c r="N452">
        <v>1</v>
      </c>
      <c r="O452">
        <v>1</v>
      </c>
      <c r="P452" t="str">
        <f>"04"</f>
        <v>04</v>
      </c>
      <c r="Q452" t="s">
        <v>835</v>
      </c>
      <c r="S452" t="s">
        <v>836</v>
      </c>
      <c r="T452" t="s">
        <v>836</v>
      </c>
      <c r="U452" t="str">
        <f t="shared" si="114"/>
        <v>2500-12-31 00:00:00.0</v>
      </c>
      <c r="V452" t="s">
        <v>837</v>
      </c>
      <c r="W452" t="str">
        <f t="shared" si="118"/>
        <v>048314-004697-**-**</v>
      </c>
      <c r="X452" t="s">
        <v>838</v>
      </c>
      <c r="Y452">
        <v>1206.25</v>
      </c>
      <c r="Z452">
        <v>1206.25</v>
      </c>
      <c r="AA452" t="str">
        <f t="shared" si="119"/>
        <v>06/08/2016</v>
      </c>
    </row>
    <row r="453" spans="1:27" x14ac:dyDescent="0.3">
      <c r="A453" t="str">
        <f t="shared" si="121"/>
        <v>048314</v>
      </c>
      <c r="B453" t="str">
        <f t="shared" si="107"/>
        <v>004697</v>
      </c>
      <c r="C453" t="s">
        <v>3413</v>
      </c>
      <c r="D453" t="s">
        <v>3839</v>
      </c>
      <c r="E453" t="s">
        <v>3840</v>
      </c>
      <c r="F453" t="s">
        <v>3841</v>
      </c>
      <c r="G453" t="s">
        <v>3842</v>
      </c>
      <c r="H453" t="str">
        <f t="shared" si="117"/>
        <v>048314</v>
      </c>
      <c r="I453" t="s">
        <v>833</v>
      </c>
      <c r="J453" t="str">
        <f>"2015-07-01 00:00:00.0"</f>
        <v>2015-07-01 00:00:00.0</v>
      </c>
      <c r="K453" t="s">
        <v>834</v>
      </c>
      <c r="L453" t="s">
        <v>0</v>
      </c>
      <c r="M453" t="str">
        <f t="shared" si="120"/>
        <v>048314</v>
      </c>
      <c r="N453">
        <v>1</v>
      </c>
      <c r="O453">
        <v>1</v>
      </c>
      <c r="P453" t="str">
        <f>"01"</f>
        <v>01</v>
      </c>
      <c r="Q453" t="s">
        <v>835</v>
      </c>
      <c r="S453" t="s">
        <v>836</v>
      </c>
      <c r="T453" t="s">
        <v>836</v>
      </c>
      <c r="U453" t="str">
        <f t="shared" si="114"/>
        <v>2500-12-31 00:00:00.0</v>
      </c>
      <c r="V453" t="s">
        <v>837</v>
      </c>
      <c r="W453" t="str">
        <f t="shared" si="118"/>
        <v>048314-004697-**-**</v>
      </c>
      <c r="X453" t="s">
        <v>838</v>
      </c>
      <c r="Y453">
        <v>1206.25</v>
      </c>
      <c r="Z453">
        <v>1206.25</v>
      </c>
      <c r="AA453" t="str">
        <f t="shared" si="119"/>
        <v>06/08/2016</v>
      </c>
    </row>
    <row r="454" spans="1:27" x14ac:dyDescent="0.3">
      <c r="A454" t="str">
        <f t="shared" si="121"/>
        <v>048314</v>
      </c>
      <c r="B454" t="str">
        <f t="shared" si="107"/>
        <v>004697</v>
      </c>
      <c r="C454" t="s">
        <v>1032</v>
      </c>
      <c r="D454" t="s">
        <v>3839</v>
      </c>
      <c r="E454" t="s">
        <v>3840</v>
      </c>
      <c r="F454" t="s">
        <v>3841</v>
      </c>
      <c r="G454" t="s">
        <v>3842</v>
      </c>
      <c r="H454" t="str">
        <f t="shared" si="117"/>
        <v>048314</v>
      </c>
      <c r="I454" t="s">
        <v>833</v>
      </c>
      <c r="J454" t="str">
        <f>"2015-08-01 00:00:00.0"</f>
        <v>2015-08-01 00:00:00.0</v>
      </c>
      <c r="K454" t="s">
        <v>834</v>
      </c>
      <c r="L454" t="s">
        <v>0</v>
      </c>
      <c r="M454" t="str">
        <f t="shared" si="120"/>
        <v>048314</v>
      </c>
      <c r="N454">
        <v>0.507772</v>
      </c>
      <c r="O454">
        <v>0.507772</v>
      </c>
      <c r="P454" t="s">
        <v>764</v>
      </c>
      <c r="Q454" t="s">
        <v>835</v>
      </c>
      <c r="S454" t="s">
        <v>836</v>
      </c>
      <c r="T454" t="s">
        <v>836</v>
      </c>
      <c r="U454" t="str">
        <f>"2016-01-21 00:00:00.0"</f>
        <v>2016-01-21 00:00:00.0</v>
      </c>
      <c r="V454" t="s">
        <v>837</v>
      </c>
      <c r="W454" t="str">
        <f t="shared" si="118"/>
        <v>048314-004697-**-**</v>
      </c>
      <c r="X454" t="s">
        <v>838</v>
      </c>
      <c r="Y454">
        <v>612.5</v>
      </c>
      <c r="Z454">
        <v>1206.25</v>
      </c>
      <c r="AA454" t="str">
        <f t="shared" si="119"/>
        <v>06/08/2016</v>
      </c>
    </row>
    <row r="455" spans="1:27" x14ac:dyDescent="0.3">
      <c r="A455" t="str">
        <f t="shared" si="121"/>
        <v>048314</v>
      </c>
      <c r="B455" t="str">
        <f t="shared" si="107"/>
        <v>004697</v>
      </c>
      <c r="C455" t="s">
        <v>1032</v>
      </c>
      <c r="D455" t="s">
        <v>3839</v>
      </c>
      <c r="E455" t="s">
        <v>3840</v>
      </c>
      <c r="F455" t="s">
        <v>3841</v>
      </c>
      <c r="G455" t="s">
        <v>3842</v>
      </c>
      <c r="H455" t="str">
        <f t="shared" si="117"/>
        <v>048314</v>
      </c>
      <c r="I455" t="s">
        <v>833</v>
      </c>
      <c r="J455" t="str">
        <f>"2016-01-22 00:00:00.0"</f>
        <v>2016-01-22 00:00:00.0</v>
      </c>
      <c r="K455" t="s">
        <v>834</v>
      </c>
      <c r="L455" t="s">
        <v>0</v>
      </c>
      <c r="M455" t="str">
        <f t="shared" si="120"/>
        <v>048314</v>
      </c>
      <c r="N455">
        <v>0.492228</v>
      </c>
      <c r="O455">
        <v>0.492228</v>
      </c>
      <c r="P455" t="s">
        <v>764</v>
      </c>
      <c r="Q455" t="str">
        <f>"05"</f>
        <v>05</v>
      </c>
      <c r="R455" t="str">
        <f>"1"</f>
        <v>1</v>
      </c>
      <c r="S455" t="s">
        <v>836</v>
      </c>
      <c r="T455" t="s">
        <v>836</v>
      </c>
      <c r="U455" t="str">
        <f>"2500-12-31 00:00:00.0"</f>
        <v>2500-12-31 00:00:00.0</v>
      </c>
      <c r="V455" t="s">
        <v>837</v>
      </c>
      <c r="W455" t="str">
        <f t="shared" si="118"/>
        <v>048314-004697-**-**</v>
      </c>
      <c r="X455" t="s">
        <v>838</v>
      </c>
      <c r="Y455">
        <v>593.75</v>
      </c>
      <c r="Z455">
        <v>1206.25</v>
      </c>
      <c r="AA455" t="str">
        <f t="shared" si="119"/>
        <v>06/08/2016</v>
      </c>
    </row>
    <row r="456" spans="1:27" x14ac:dyDescent="0.3">
      <c r="A456" t="str">
        <f t="shared" si="121"/>
        <v>048314</v>
      </c>
      <c r="B456" t="str">
        <f t="shared" si="107"/>
        <v>004697</v>
      </c>
      <c r="C456" t="s">
        <v>3119</v>
      </c>
      <c r="D456" t="s">
        <v>3839</v>
      </c>
      <c r="E456" t="s">
        <v>3840</v>
      </c>
      <c r="F456" t="s">
        <v>3841</v>
      </c>
      <c r="G456" t="s">
        <v>3842</v>
      </c>
      <c r="H456" t="str">
        <f t="shared" si="117"/>
        <v>048314</v>
      </c>
      <c r="I456" t="s">
        <v>833</v>
      </c>
      <c r="J456" t="str">
        <f>"2015-07-01 00:00:00.0"</f>
        <v>2015-07-01 00:00:00.0</v>
      </c>
      <c r="K456" t="s">
        <v>834</v>
      </c>
      <c r="L456" t="s">
        <v>0</v>
      </c>
      <c r="M456" t="str">
        <f t="shared" si="120"/>
        <v>048314</v>
      </c>
      <c r="N456">
        <v>0.59585500000000002</v>
      </c>
      <c r="O456">
        <v>0.59585500000000002</v>
      </c>
      <c r="P456" t="str">
        <f>"02"</f>
        <v>02</v>
      </c>
      <c r="Q456" t="s">
        <v>835</v>
      </c>
      <c r="S456" t="s">
        <v>836</v>
      </c>
      <c r="T456" t="s">
        <v>836</v>
      </c>
      <c r="U456" t="str">
        <f>"2016-02-17 00:00:00.0"</f>
        <v>2016-02-17 00:00:00.0</v>
      </c>
      <c r="V456" t="s">
        <v>837</v>
      </c>
      <c r="W456" t="str">
        <f t="shared" si="118"/>
        <v>048314-004697-**-**</v>
      </c>
      <c r="X456" t="s">
        <v>838</v>
      </c>
      <c r="Y456">
        <v>718.75</v>
      </c>
      <c r="Z456">
        <v>1206.25</v>
      </c>
      <c r="AA456" t="str">
        <f t="shared" si="119"/>
        <v>06/08/2016</v>
      </c>
    </row>
    <row r="457" spans="1:27" x14ac:dyDescent="0.3">
      <c r="A457" t="str">
        <f t="shared" si="121"/>
        <v>048314</v>
      </c>
      <c r="B457" t="str">
        <f t="shared" si="107"/>
        <v>004697</v>
      </c>
      <c r="C457" t="s">
        <v>3119</v>
      </c>
      <c r="D457" t="s">
        <v>3839</v>
      </c>
      <c r="E457" t="s">
        <v>3840</v>
      </c>
      <c r="F457" t="s">
        <v>3841</v>
      </c>
      <c r="G457" t="s">
        <v>3842</v>
      </c>
      <c r="H457" t="str">
        <f t="shared" si="117"/>
        <v>048314</v>
      </c>
      <c r="I457" t="s">
        <v>833</v>
      </c>
      <c r="J457" t="str">
        <f>"2016-02-18 00:00:00.0"</f>
        <v>2016-02-18 00:00:00.0</v>
      </c>
      <c r="K457" t="s">
        <v>834</v>
      </c>
      <c r="L457" t="s">
        <v>0</v>
      </c>
      <c r="M457" t="str">
        <f t="shared" si="120"/>
        <v>048314</v>
      </c>
      <c r="N457">
        <v>0.40414499999999998</v>
      </c>
      <c r="O457">
        <v>0.40414499999999998</v>
      </c>
      <c r="P457" t="str">
        <f>"02"</f>
        <v>02</v>
      </c>
      <c r="Q457" t="str">
        <f>"10"</f>
        <v>10</v>
      </c>
      <c r="R457" t="str">
        <f>"2"</f>
        <v>2</v>
      </c>
      <c r="S457" t="s">
        <v>836</v>
      </c>
      <c r="T457" t="s">
        <v>836</v>
      </c>
      <c r="U457" t="str">
        <f>"2500-12-31 00:00:00.0"</f>
        <v>2500-12-31 00:00:00.0</v>
      </c>
      <c r="V457" t="s">
        <v>837</v>
      </c>
      <c r="W457" t="str">
        <f t="shared" si="118"/>
        <v>048314-004697-**-**</v>
      </c>
      <c r="X457" t="s">
        <v>838</v>
      </c>
      <c r="Y457">
        <v>487.5</v>
      </c>
      <c r="Z457">
        <v>1206.25</v>
      </c>
      <c r="AA457" t="str">
        <f t="shared" si="119"/>
        <v>06/08/2016</v>
      </c>
    </row>
    <row r="458" spans="1:27" x14ac:dyDescent="0.3">
      <c r="A458" t="str">
        <f t="shared" si="121"/>
        <v>048314</v>
      </c>
      <c r="B458" t="str">
        <f t="shared" si="107"/>
        <v>004697</v>
      </c>
      <c r="C458" t="s">
        <v>3186</v>
      </c>
      <c r="D458" t="s">
        <v>3839</v>
      </c>
      <c r="E458" t="s">
        <v>3840</v>
      </c>
      <c r="F458" t="s">
        <v>3841</v>
      </c>
      <c r="G458" t="s">
        <v>3842</v>
      </c>
      <c r="H458" t="str">
        <f t="shared" si="117"/>
        <v>048314</v>
      </c>
      <c r="I458" t="s">
        <v>833</v>
      </c>
      <c r="J458" t="str">
        <f>"2015-07-01 00:00:00.0"</f>
        <v>2015-07-01 00:00:00.0</v>
      </c>
      <c r="K458" t="s">
        <v>834</v>
      </c>
      <c r="L458" t="s">
        <v>0</v>
      </c>
      <c r="M458" t="str">
        <f t="shared" si="120"/>
        <v>048314</v>
      </c>
      <c r="N458">
        <v>0.68393800000000005</v>
      </c>
      <c r="O458">
        <v>0.68393800000000005</v>
      </c>
      <c r="P458" t="str">
        <f>"03"</f>
        <v>03</v>
      </c>
      <c r="Q458" t="str">
        <f>"06"</f>
        <v>06</v>
      </c>
      <c r="R458" t="str">
        <f>"5"</f>
        <v>5</v>
      </c>
      <c r="S458" t="s">
        <v>836</v>
      </c>
      <c r="T458" t="s">
        <v>836</v>
      </c>
      <c r="U458" t="str">
        <f>"2016-03-13 00:00:00.0"</f>
        <v>2016-03-13 00:00:00.0</v>
      </c>
      <c r="V458" t="s">
        <v>837</v>
      </c>
      <c r="W458" t="str">
        <f t="shared" si="118"/>
        <v>048314-004697-**-**</v>
      </c>
      <c r="X458" t="s">
        <v>838</v>
      </c>
      <c r="Y458">
        <v>825</v>
      </c>
      <c r="Z458">
        <v>1206.25</v>
      </c>
      <c r="AA458" t="str">
        <f t="shared" si="119"/>
        <v>06/08/2016</v>
      </c>
    </row>
    <row r="459" spans="1:27" x14ac:dyDescent="0.3">
      <c r="A459" t="str">
        <f t="shared" si="121"/>
        <v>048314</v>
      </c>
      <c r="B459" t="str">
        <f t="shared" si="107"/>
        <v>004697</v>
      </c>
      <c r="C459" t="s">
        <v>3186</v>
      </c>
      <c r="D459" t="s">
        <v>3839</v>
      </c>
      <c r="E459" t="s">
        <v>3840</v>
      </c>
      <c r="F459" t="s">
        <v>3841</v>
      </c>
      <c r="G459" t="s">
        <v>3842</v>
      </c>
      <c r="H459" t="str">
        <f t="shared" si="117"/>
        <v>048314</v>
      </c>
      <c r="I459" t="s">
        <v>833</v>
      </c>
      <c r="J459" t="str">
        <f>"2016-03-14 00:00:00.0"</f>
        <v>2016-03-14 00:00:00.0</v>
      </c>
      <c r="K459" t="s">
        <v>834</v>
      </c>
      <c r="L459" t="s">
        <v>0</v>
      </c>
      <c r="M459" t="str">
        <f t="shared" si="120"/>
        <v>048314</v>
      </c>
      <c r="N459">
        <v>0.31606200000000001</v>
      </c>
      <c r="O459">
        <v>0.31606200000000001</v>
      </c>
      <c r="P459" t="str">
        <f>"03"</f>
        <v>03</v>
      </c>
      <c r="Q459" t="s">
        <v>835</v>
      </c>
      <c r="S459" t="s">
        <v>836</v>
      </c>
      <c r="T459" t="s">
        <v>836</v>
      </c>
      <c r="U459" t="str">
        <f t="shared" ref="U459:U471" si="122">"2500-12-31 00:00:00.0"</f>
        <v>2500-12-31 00:00:00.0</v>
      </c>
      <c r="V459" t="s">
        <v>837</v>
      </c>
      <c r="W459" t="str">
        <f t="shared" si="118"/>
        <v>048314-004697-**-**</v>
      </c>
      <c r="X459" t="s">
        <v>838</v>
      </c>
      <c r="Y459">
        <v>381.25</v>
      </c>
      <c r="Z459">
        <v>1206.25</v>
      </c>
      <c r="AA459" t="str">
        <f t="shared" si="119"/>
        <v>06/08/2016</v>
      </c>
    </row>
    <row r="460" spans="1:27" x14ac:dyDescent="0.3">
      <c r="A460" t="str">
        <f t="shared" si="121"/>
        <v>048314</v>
      </c>
      <c r="B460" t="str">
        <f t="shared" si="107"/>
        <v>004697</v>
      </c>
      <c r="C460" t="s">
        <v>2969</v>
      </c>
      <c r="D460" t="s">
        <v>3839</v>
      </c>
      <c r="E460" t="s">
        <v>3840</v>
      </c>
      <c r="F460" t="s">
        <v>3841</v>
      </c>
      <c r="G460" t="s">
        <v>3842</v>
      </c>
      <c r="H460" t="str">
        <f t="shared" si="117"/>
        <v>048314</v>
      </c>
      <c r="I460" t="s">
        <v>833</v>
      </c>
      <c r="J460" t="str">
        <f>"2015-07-01 00:00:00.0"</f>
        <v>2015-07-01 00:00:00.0</v>
      </c>
      <c r="K460" t="s">
        <v>834</v>
      </c>
      <c r="L460" t="s">
        <v>0</v>
      </c>
      <c r="M460" t="str">
        <f t="shared" si="120"/>
        <v>048314</v>
      </c>
      <c r="N460">
        <v>1</v>
      </c>
      <c r="O460">
        <v>1</v>
      </c>
      <c r="P460" t="str">
        <f>"02"</f>
        <v>02</v>
      </c>
      <c r="Q460" t="s">
        <v>835</v>
      </c>
      <c r="S460" t="s">
        <v>836</v>
      </c>
      <c r="T460" t="s">
        <v>836</v>
      </c>
      <c r="U460" t="str">
        <f t="shared" si="122"/>
        <v>2500-12-31 00:00:00.0</v>
      </c>
      <c r="V460" t="s">
        <v>837</v>
      </c>
      <c r="W460" t="str">
        <f t="shared" si="118"/>
        <v>048314-004697-**-**</v>
      </c>
      <c r="X460" t="s">
        <v>838</v>
      </c>
      <c r="Y460">
        <v>1206.25</v>
      </c>
      <c r="Z460">
        <v>1206.25</v>
      </c>
      <c r="AA460" t="str">
        <f t="shared" si="119"/>
        <v>06/08/2016</v>
      </c>
    </row>
    <row r="461" spans="1:27" x14ac:dyDescent="0.3">
      <c r="A461" t="str">
        <f t="shared" si="121"/>
        <v>048314</v>
      </c>
      <c r="B461" t="str">
        <f t="shared" si="107"/>
        <v>004697</v>
      </c>
      <c r="C461" t="s">
        <v>3740</v>
      </c>
      <c r="D461" t="s">
        <v>3839</v>
      </c>
      <c r="E461" t="s">
        <v>3840</v>
      </c>
      <c r="F461" t="s">
        <v>3841</v>
      </c>
      <c r="G461" t="s">
        <v>3842</v>
      </c>
      <c r="H461" t="str">
        <f>"048280"</f>
        <v>048280</v>
      </c>
      <c r="I461" t="s">
        <v>833</v>
      </c>
      <c r="J461" t="str">
        <f>"2016-04-12 00:00:00.0"</f>
        <v>2016-04-12 00:00:00.0</v>
      </c>
      <c r="K461" t="s">
        <v>834</v>
      </c>
      <c r="L461" t="s">
        <v>142</v>
      </c>
      <c r="M461" t="str">
        <f t="shared" si="120"/>
        <v>048314</v>
      </c>
      <c r="N461">
        <v>0.231293</v>
      </c>
      <c r="O461">
        <v>0.22916700000000001</v>
      </c>
      <c r="P461" t="s">
        <v>841</v>
      </c>
      <c r="Q461" t="str">
        <f>"16"</f>
        <v>16</v>
      </c>
      <c r="R461" t="str">
        <f>"2"</f>
        <v>2</v>
      </c>
      <c r="S461" t="s">
        <v>836</v>
      </c>
      <c r="T461" t="s">
        <v>836</v>
      </c>
      <c r="U461" t="str">
        <f t="shared" si="122"/>
        <v>2500-12-31 00:00:00.0</v>
      </c>
      <c r="V461" t="s">
        <v>837</v>
      </c>
      <c r="W461" t="str">
        <f>"048280-048280-PS-FP"</f>
        <v>048280-048280-PS-FP</v>
      </c>
      <c r="X461" t="s">
        <v>838</v>
      </c>
      <c r="Y461">
        <v>34</v>
      </c>
      <c r="Z461">
        <v>147</v>
      </c>
      <c r="AA461" t="str">
        <f>"06/15/2016"</f>
        <v>06/15/2016</v>
      </c>
    </row>
    <row r="462" spans="1:27" x14ac:dyDescent="0.3">
      <c r="A462" t="str">
        <f t="shared" si="121"/>
        <v>048314</v>
      </c>
      <c r="B462" t="str">
        <f t="shared" si="107"/>
        <v>004697</v>
      </c>
      <c r="C462" t="s">
        <v>938</v>
      </c>
      <c r="D462" t="s">
        <v>3839</v>
      </c>
      <c r="E462" t="s">
        <v>3840</v>
      </c>
      <c r="F462" t="s">
        <v>3841</v>
      </c>
      <c r="G462" t="s">
        <v>3842</v>
      </c>
      <c r="H462" t="str">
        <f t="shared" ref="H462:H509" si="123">"048314"</f>
        <v>048314</v>
      </c>
      <c r="I462" t="s">
        <v>833</v>
      </c>
      <c r="J462" t="str">
        <f>"2016-04-13 00:00:00.0"</f>
        <v>2016-04-13 00:00:00.0</v>
      </c>
      <c r="K462" t="s">
        <v>834</v>
      </c>
      <c r="L462" t="s">
        <v>0</v>
      </c>
      <c r="M462" t="str">
        <f t="shared" si="120"/>
        <v>048314</v>
      </c>
      <c r="N462">
        <v>0.20725399999999999</v>
      </c>
      <c r="O462">
        <v>0.20725399999999999</v>
      </c>
      <c r="P462" t="str">
        <f>"04"</f>
        <v>04</v>
      </c>
      <c r="Q462" t="s">
        <v>835</v>
      </c>
      <c r="S462" t="s">
        <v>836</v>
      </c>
      <c r="T462" t="s">
        <v>836</v>
      </c>
      <c r="U462" t="str">
        <f t="shared" si="122"/>
        <v>2500-12-31 00:00:00.0</v>
      </c>
      <c r="V462" t="s">
        <v>837</v>
      </c>
      <c r="W462" t="str">
        <f>"048314-004697-**-**"</f>
        <v>048314-004697-**-**</v>
      </c>
      <c r="X462" t="s">
        <v>838</v>
      </c>
      <c r="Y462">
        <v>250</v>
      </c>
      <c r="Z462">
        <v>1206.25</v>
      </c>
      <c r="AA462" t="str">
        <f t="shared" ref="AA462:AA509" si="124">"06/08/2016"</f>
        <v>06/08/2016</v>
      </c>
    </row>
    <row r="463" spans="1:27" x14ac:dyDescent="0.3">
      <c r="A463" t="str">
        <f t="shared" si="121"/>
        <v>048314</v>
      </c>
      <c r="B463" t="str">
        <f t="shared" si="107"/>
        <v>004697</v>
      </c>
      <c r="C463" t="s">
        <v>969</v>
      </c>
      <c r="D463" t="s">
        <v>3839</v>
      </c>
      <c r="E463" t="s">
        <v>3840</v>
      </c>
      <c r="F463" t="s">
        <v>3841</v>
      </c>
      <c r="G463" t="s">
        <v>3842</v>
      </c>
      <c r="H463" t="str">
        <f t="shared" si="123"/>
        <v>048314</v>
      </c>
      <c r="I463" t="s">
        <v>833</v>
      </c>
      <c r="J463" t="str">
        <f>"2015-07-01 00:00:00.0"</f>
        <v>2015-07-01 00:00:00.0</v>
      </c>
      <c r="K463" t="s">
        <v>834</v>
      </c>
      <c r="L463" t="s">
        <v>0</v>
      </c>
      <c r="M463" t="str">
        <f t="shared" si="120"/>
        <v>048314</v>
      </c>
      <c r="N463">
        <v>1</v>
      </c>
      <c r="O463">
        <v>1</v>
      </c>
      <c r="P463" t="str">
        <f>"02"</f>
        <v>02</v>
      </c>
      <c r="Q463" t="s">
        <v>835</v>
      </c>
      <c r="S463" t="s">
        <v>836</v>
      </c>
      <c r="T463" t="s">
        <v>836</v>
      </c>
      <c r="U463" t="str">
        <f t="shared" si="122"/>
        <v>2500-12-31 00:00:00.0</v>
      </c>
      <c r="V463" t="s">
        <v>837</v>
      </c>
      <c r="W463" t="str">
        <f>"048314-004697-**-**"</f>
        <v>048314-004697-**-**</v>
      </c>
      <c r="X463" t="s">
        <v>838</v>
      </c>
      <c r="Y463">
        <v>1206.25</v>
      </c>
      <c r="Z463">
        <v>1206.25</v>
      </c>
      <c r="AA463" t="str">
        <f t="shared" si="124"/>
        <v>06/08/2016</v>
      </c>
    </row>
    <row r="464" spans="1:27" x14ac:dyDescent="0.3">
      <c r="A464" t="str">
        <f t="shared" si="121"/>
        <v>048314</v>
      </c>
      <c r="B464" t="str">
        <f t="shared" si="107"/>
        <v>004697</v>
      </c>
      <c r="C464" t="s">
        <v>2905</v>
      </c>
      <c r="D464" t="s">
        <v>3839</v>
      </c>
      <c r="E464" t="s">
        <v>3840</v>
      </c>
      <c r="F464" t="s">
        <v>3841</v>
      </c>
      <c r="G464" t="s">
        <v>3842</v>
      </c>
      <c r="H464" t="str">
        <f t="shared" si="123"/>
        <v>048314</v>
      </c>
      <c r="I464" t="s">
        <v>833</v>
      </c>
      <c r="J464" t="str">
        <f>"2015-07-01 00:00:00.0"</f>
        <v>2015-07-01 00:00:00.0</v>
      </c>
      <c r="K464" t="s">
        <v>834</v>
      </c>
      <c r="L464" t="s">
        <v>0</v>
      </c>
      <c r="M464" t="str">
        <f t="shared" si="120"/>
        <v>048314</v>
      </c>
      <c r="N464">
        <v>1</v>
      </c>
      <c r="O464">
        <v>1</v>
      </c>
      <c r="P464" t="str">
        <f>"05"</f>
        <v>05</v>
      </c>
      <c r="Q464" t="s">
        <v>835</v>
      </c>
      <c r="S464" t="s">
        <v>836</v>
      </c>
      <c r="T464" t="s">
        <v>836</v>
      </c>
      <c r="U464" t="str">
        <f t="shared" si="122"/>
        <v>2500-12-31 00:00:00.0</v>
      </c>
      <c r="V464" t="s">
        <v>837</v>
      </c>
      <c r="W464" t="str">
        <f>"048314-070417-**-**"</f>
        <v>048314-070417-**-**</v>
      </c>
      <c r="X464" t="s">
        <v>838</v>
      </c>
      <c r="Y464">
        <v>1125</v>
      </c>
      <c r="Z464">
        <v>1125</v>
      </c>
      <c r="AA464" t="str">
        <f t="shared" si="124"/>
        <v>06/08/2016</v>
      </c>
    </row>
    <row r="465" spans="1:27" x14ac:dyDescent="0.3">
      <c r="A465" t="str">
        <f t="shared" si="121"/>
        <v>048314</v>
      </c>
      <c r="B465" t="str">
        <f t="shared" si="107"/>
        <v>004697</v>
      </c>
      <c r="C465" t="s">
        <v>947</v>
      </c>
      <c r="D465" t="s">
        <v>3839</v>
      </c>
      <c r="E465" t="s">
        <v>3840</v>
      </c>
      <c r="F465" t="s">
        <v>3841</v>
      </c>
      <c r="G465" t="s">
        <v>3842</v>
      </c>
      <c r="H465" t="str">
        <f t="shared" si="123"/>
        <v>048314</v>
      </c>
      <c r="I465" t="s">
        <v>833</v>
      </c>
      <c r="J465" t="str">
        <f>"2015-07-01 00:00:00.0"</f>
        <v>2015-07-01 00:00:00.0</v>
      </c>
      <c r="K465" t="s">
        <v>834</v>
      </c>
      <c r="L465" t="s">
        <v>0</v>
      </c>
      <c r="M465" t="str">
        <f t="shared" si="120"/>
        <v>048314</v>
      </c>
      <c r="N465">
        <v>1</v>
      </c>
      <c r="O465">
        <v>1</v>
      </c>
      <c r="P465" t="str">
        <f>"03"</f>
        <v>03</v>
      </c>
      <c r="Q465" t="s">
        <v>835</v>
      </c>
      <c r="S465" t="s">
        <v>836</v>
      </c>
      <c r="T465" t="s">
        <v>836</v>
      </c>
      <c r="U465" t="str">
        <f t="shared" si="122"/>
        <v>2500-12-31 00:00:00.0</v>
      </c>
      <c r="V465" t="s">
        <v>837</v>
      </c>
      <c r="W465" t="str">
        <f>"048314-004697-**-**"</f>
        <v>048314-004697-**-**</v>
      </c>
      <c r="X465" t="s">
        <v>838</v>
      </c>
      <c r="Y465">
        <v>1206.25</v>
      </c>
      <c r="Z465">
        <v>1206.25</v>
      </c>
      <c r="AA465" t="str">
        <f t="shared" si="124"/>
        <v>06/08/2016</v>
      </c>
    </row>
    <row r="466" spans="1:27" x14ac:dyDescent="0.3">
      <c r="A466" t="str">
        <f t="shared" si="121"/>
        <v>048314</v>
      </c>
      <c r="B466" t="str">
        <f t="shared" si="107"/>
        <v>004697</v>
      </c>
      <c r="C466" t="s">
        <v>3203</v>
      </c>
      <c r="D466" t="s">
        <v>3839</v>
      </c>
      <c r="E466" t="s">
        <v>3840</v>
      </c>
      <c r="F466" t="s">
        <v>3841</v>
      </c>
      <c r="G466" t="s">
        <v>3842</v>
      </c>
      <c r="H466" t="str">
        <f t="shared" si="123"/>
        <v>048314</v>
      </c>
      <c r="I466" t="s">
        <v>833</v>
      </c>
      <c r="J466" t="str">
        <f>"2015-07-01 00:00:00.0"</f>
        <v>2015-07-01 00:00:00.0</v>
      </c>
      <c r="K466" t="s">
        <v>834</v>
      </c>
      <c r="L466" t="s">
        <v>0</v>
      </c>
      <c r="M466" t="str">
        <f t="shared" si="120"/>
        <v>048314</v>
      </c>
      <c r="N466">
        <v>1</v>
      </c>
      <c r="O466">
        <v>1</v>
      </c>
      <c r="P466" t="str">
        <f>"03"</f>
        <v>03</v>
      </c>
      <c r="Q466" t="s">
        <v>835</v>
      </c>
      <c r="S466" t="s">
        <v>836</v>
      </c>
      <c r="T466" t="s">
        <v>836</v>
      </c>
      <c r="U466" t="str">
        <f t="shared" si="122"/>
        <v>2500-12-31 00:00:00.0</v>
      </c>
      <c r="V466" t="s">
        <v>837</v>
      </c>
      <c r="W466" t="str">
        <f>"048314-004697-**-**"</f>
        <v>048314-004697-**-**</v>
      </c>
      <c r="X466" t="s">
        <v>838</v>
      </c>
      <c r="Y466">
        <v>1206.25</v>
      </c>
      <c r="Z466">
        <v>1206.25</v>
      </c>
      <c r="AA466" t="str">
        <f t="shared" si="124"/>
        <v>06/08/2016</v>
      </c>
    </row>
    <row r="467" spans="1:27" x14ac:dyDescent="0.3">
      <c r="A467" t="str">
        <f t="shared" si="121"/>
        <v>048314</v>
      </c>
      <c r="B467" t="str">
        <f t="shared" si="107"/>
        <v>004697</v>
      </c>
      <c r="C467" t="s">
        <v>3689</v>
      </c>
      <c r="D467" t="s">
        <v>3839</v>
      </c>
      <c r="E467" t="s">
        <v>3840</v>
      </c>
      <c r="F467" t="s">
        <v>3841</v>
      </c>
      <c r="G467" t="s">
        <v>3842</v>
      </c>
      <c r="H467" t="str">
        <f t="shared" si="123"/>
        <v>048314</v>
      </c>
      <c r="I467" t="s">
        <v>833</v>
      </c>
      <c r="J467" t="str">
        <f>"2015-08-01 00:00:00.0"</f>
        <v>2015-08-01 00:00:00.0</v>
      </c>
      <c r="K467" t="s">
        <v>834</v>
      </c>
      <c r="L467" t="s">
        <v>0</v>
      </c>
      <c r="M467" t="str">
        <f t="shared" si="120"/>
        <v>048314</v>
      </c>
      <c r="N467">
        <v>1</v>
      </c>
      <c r="O467">
        <v>1</v>
      </c>
      <c r="P467" t="s">
        <v>764</v>
      </c>
      <c r="Q467" t="s">
        <v>835</v>
      </c>
      <c r="S467" t="s">
        <v>836</v>
      </c>
      <c r="T467" t="s">
        <v>836</v>
      </c>
      <c r="U467" t="str">
        <f t="shared" si="122"/>
        <v>2500-12-31 00:00:00.0</v>
      </c>
      <c r="V467" t="s">
        <v>837</v>
      </c>
      <c r="W467" t="str">
        <f>"048314-004697-**-**"</f>
        <v>048314-004697-**-**</v>
      </c>
      <c r="X467" t="s">
        <v>838</v>
      </c>
      <c r="Y467">
        <v>1206.25</v>
      </c>
      <c r="Z467">
        <v>1206.25</v>
      </c>
      <c r="AA467" t="str">
        <f t="shared" si="124"/>
        <v>06/08/2016</v>
      </c>
    </row>
    <row r="468" spans="1:27" x14ac:dyDescent="0.3">
      <c r="A468" t="str">
        <f t="shared" si="121"/>
        <v>048314</v>
      </c>
      <c r="B468" t="str">
        <f t="shared" ref="B468:B531" si="125">"004697"</f>
        <v>004697</v>
      </c>
      <c r="C468" t="s">
        <v>1727</v>
      </c>
      <c r="D468" t="s">
        <v>3839</v>
      </c>
      <c r="E468" t="s">
        <v>3840</v>
      </c>
      <c r="F468" t="s">
        <v>3841</v>
      </c>
      <c r="G468" t="s">
        <v>3842</v>
      </c>
      <c r="H468" t="str">
        <f t="shared" si="123"/>
        <v>048314</v>
      </c>
      <c r="I468" t="s">
        <v>833</v>
      </c>
      <c r="J468" t="str">
        <f>"2015-07-01 00:00:00.0"</f>
        <v>2015-07-01 00:00:00.0</v>
      </c>
      <c r="K468" t="s">
        <v>834</v>
      </c>
      <c r="L468" t="s">
        <v>0</v>
      </c>
      <c r="M468" t="str">
        <f t="shared" si="120"/>
        <v>048314</v>
      </c>
      <c r="N468">
        <v>1</v>
      </c>
      <c r="O468">
        <v>1</v>
      </c>
      <c r="P468" t="str">
        <f>"02"</f>
        <v>02</v>
      </c>
      <c r="Q468" t="s">
        <v>835</v>
      </c>
      <c r="S468" t="s">
        <v>836</v>
      </c>
      <c r="T468" t="s">
        <v>836</v>
      </c>
      <c r="U468" t="str">
        <f t="shared" si="122"/>
        <v>2500-12-31 00:00:00.0</v>
      </c>
      <c r="V468" t="s">
        <v>837</v>
      </c>
      <c r="W468" t="str">
        <f>"048314-004697-**-**"</f>
        <v>048314-004697-**-**</v>
      </c>
      <c r="X468" t="s">
        <v>838</v>
      </c>
      <c r="Y468">
        <v>1206.25</v>
      </c>
      <c r="Z468">
        <v>1206.25</v>
      </c>
      <c r="AA468" t="str">
        <f t="shared" si="124"/>
        <v>06/08/2016</v>
      </c>
    </row>
    <row r="469" spans="1:27" x14ac:dyDescent="0.3">
      <c r="A469" t="str">
        <f t="shared" si="121"/>
        <v>048314</v>
      </c>
      <c r="B469" t="str">
        <f t="shared" si="125"/>
        <v>004697</v>
      </c>
      <c r="C469" t="s">
        <v>2906</v>
      </c>
      <c r="D469" t="s">
        <v>3839</v>
      </c>
      <c r="E469" t="s">
        <v>3840</v>
      </c>
      <c r="F469" t="s">
        <v>3841</v>
      </c>
      <c r="G469" t="s">
        <v>3842</v>
      </c>
      <c r="H469" t="str">
        <f t="shared" si="123"/>
        <v>048314</v>
      </c>
      <c r="I469" t="s">
        <v>833</v>
      </c>
      <c r="J469" t="str">
        <f>"2015-07-01 00:00:00.0"</f>
        <v>2015-07-01 00:00:00.0</v>
      </c>
      <c r="K469" t="s">
        <v>834</v>
      </c>
      <c r="L469" t="s">
        <v>0</v>
      </c>
      <c r="M469" t="str">
        <f t="shared" si="120"/>
        <v>048314</v>
      </c>
      <c r="N469">
        <v>1</v>
      </c>
      <c r="O469">
        <v>1</v>
      </c>
      <c r="P469" t="str">
        <f>"05"</f>
        <v>05</v>
      </c>
      <c r="Q469" t="s">
        <v>835</v>
      </c>
      <c r="S469" t="s">
        <v>836</v>
      </c>
      <c r="T469" t="s">
        <v>836</v>
      </c>
      <c r="U469" t="str">
        <f t="shared" si="122"/>
        <v>2500-12-31 00:00:00.0</v>
      </c>
      <c r="V469" t="s">
        <v>837</v>
      </c>
      <c r="W469" t="str">
        <f>"048314-070417-**-**"</f>
        <v>048314-070417-**-**</v>
      </c>
      <c r="X469" t="s">
        <v>838</v>
      </c>
      <c r="Y469">
        <v>1125</v>
      </c>
      <c r="Z469">
        <v>1125</v>
      </c>
      <c r="AA469" t="str">
        <f t="shared" si="124"/>
        <v>06/08/2016</v>
      </c>
    </row>
    <row r="470" spans="1:27" x14ac:dyDescent="0.3">
      <c r="A470" t="str">
        <f t="shared" si="121"/>
        <v>048314</v>
      </c>
      <c r="B470" t="str">
        <f t="shared" si="125"/>
        <v>004697</v>
      </c>
      <c r="C470" t="s">
        <v>3242</v>
      </c>
      <c r="D470" t="s">
        <v>3839</v>
      </c>
      <c r="E470" t="s">
        <v>3840</v>
      </c>
      <c r="F470" t="s">
        <v>3841</v>
      </c>
      <c r="G470" t="s">
        <v>3842</v>
      </c>
      <c r="H470" t="str">
        <f t="shared" si="123"/>
        <v>048314</v>
      </c>
      <c r="I470" t="s">
        <v>833</v>
      </c>
      <c r="J470" t="str">
        <f>"2015-07-01 00:00:00.0"</f>
        <v>2015-07-01 00:00:00.0</v>
      </c>
      <c r="K470" t="s">
        <v>834</v>
      </c>
      <c r="L470" t="s">
        <v>0</v>
      </c>
      <c r="M470" t="str">
        <f t="shared" si="120"/>
        <v>048314</v>
      </c>
      <c r="N470">
        <v>1</v>
      </c>
      <c r="O470">
        <v>1</v>
      </c>
      <c r="P470" t="str">
        <f>"04"</f>
        <v>04</v>
      </c>
      <c r="Q470" t="s">
        <v>835</v>
      </c>
      <c r="S470" t="s">
        <v>836</v>
      </c>
      <c r="T470" t="s">
        <v>836</v>
      </c>
      <c r="U470" t="str">
        <f t="shared" si="122"/>
        <v>2500-12-31 00:00:00.0</v>
      </c>
      <c r="V470" t="s">
        <v>837</v>
      </c>
      <c r="W470" t="str">
        <f>"048314-004697-**-**"</f>
        <v>048314-004697-**-**</v>
      </c>
      <c r="X470" t="s">
        <v>838</v>
      </c>
      <c r="Y470">
        <v>1206.25</v>
      </c>
      <c r="Z470">
        <v>1206.25</v>
      </c>
      <c r="AA470" t="str">
        <f t="shared" si="124"/>
        <v>06/08/2016</v>
      </c>
    </row>
    <row r="471" spans="1:27" x14ac:dyDescent="0.3">
      <c r="A471" t="str">
        <f t="shared" si="121"/>
        <v>048314</v>
      </c>
      <c r="B471" t="str">
        <f t="shared" si="125"/>
        <v>004697</v>
      </c>
      <c r="C471" t="s">
        <v>2595</v>
      </c>
      <c r="D471" t="s">
        <v>3839</v>
      </c>
      <c r="E471" t="s">
        <v>3840</v>
      </c>
      <c r="F471" t="s">
        <v>3841</v>
      </c>
      <c r="G471" t="s">
        <v>3842</v>
      </c>
      <c r="H471" t="str">
        <f t="shared" si="123"/>
        <v>048314</v>
      </c>
      <c r="I471" t="s">
        <v>833</v>
      </c>
      <c r="J471" t="str">
        <f>"2015-08-04 00:00:00.0"</f>
        <v>2015-08-04 00:00:00.0</v>
      </c>
      <c r="K471" t="s">
        <v>834</v>
      </c>
      <c r="L471" t="s">
        <v>0</v>
      </c>
      <c r="M471" t="str">
        <f t="shared" si="120"/>
        <v>048314</v>
      </c>
      <c r="N471">
        <v>1</v>
      </c>
      <c r="O471">
        <v>1</v>
      </c>
      <c r="P471" t="str">
        <f>"02"</f>
        <v>02</v>
      </c>
      <c r="Q471" t="s">
        <v>835</v>
      </c>
      <c r="S471" t="s">
        <v>836</v>
      </c>
      <c r="T471" t="s">
        <v>836</v>
      </c>
      <c r="U471" t="str">
        <f t="shared" si="122"/>
        <v>2500-12-31 00:00:00.0</v>
      </c>
      <c r="V471" t="s">
        <v>837</v>
      </c>
      <c r="W471" t="str">
        <f>"048314-004697-**-**"</f>
        <v>048314-004697-**-**</v>
      </c>
      <c r="X471" t="s">
        <v>838</v>
      </c>
      <c r="Y471">
        <v>1206.25</v>
      </c>
      <c r="Z471">
        <v>1206.25</v>
      </c>
      <c r="AA471" t="str">
        <f t="shared" si="124"/>
        <v>06/08/2016</v>
      </c>
    </row>
    <row r="472" spans="1:27" x14ac:dyDescent="0.3">
      <c r="A472" t="str">
        <f t="shared" si="121"/>
        <v>048314</v>
      </c>
      <c r="B472" t="str">
        <f t="shared" si="125"/>
        <v>004697</v>
      </c>
      <c r="C472" t="s">
        <v>3154</v>
      </c>
      <c r="D472" t="s">
        <v>3839</v>
      </c>
      <c r="E472" t="s">
        <v>3840</v>
      </c>
      <c r="F472" t="s">
        <v>3841</v>
      </c>
      <c r="G472" t="s">
        <v>3842</v>
      </c>
      <c r="H472" t="str">
        <f t="shared" si="123"/>
        <v>048314</v>
      </c>
      <c r="I472" t="s">
        <v>833</v>
      </c>
      <c r="J472" t="str">
        <f>"2015-07-01 00:00:00.0"</f>
        <v>2015-07-01 00:00:00.0</v>
      </c>
      <c r="K472" t="s">
        <v>834</v>
      </c>
      <c r="L472" t="s">
        <v>0</v>
      </c>
      <c r="M472" t="str">
        <f t="shared" si="120"/>
        <v>048314</v>
      </c>
      <c r="N472">
        <v>0.39896399999999999</v>
      </c>
      <c r="O472">
        <v>0.39896399999999999</v>
      </c>
      <c r="P472" t="str">
        <f>"03"</f>
        <v>03</v>
      </c>
      <c r="Q472" t="s">
        <v>835</v>
      </c>
      <c r="S472" t="s">
        <v>836</v>
      </c>
      <c r="T472" t="s">
        <v>836</v>
      </c>
      <c r="U472" t="str">
        <f>"2015-12-20 00:00:00.0"</f>
        <v>2015-12-20 00:00:00.0</v>
      </c>
      <c r="V472" t="s">
        <v>837</v>
      </c>
      <c r="W472" t="str">
        <f>"048314-004697-**-**"</f>
        <v>048314-004697-**-**</v>
      </c>
      <c r="X472" t="s">
        <v>838</v>
      </c>
      <c r="Y472">
        <v>481.25</v>
      </c>
      <c r="Z472">
        <v>1206.25</v>
      </c>
      <c r="AA472" t="str">
        <f t="shared" si="124"/>
        <v>06/08/2016</v>
      </c>
    </row>
    <row r="473" spans="1:27" x14ac:dyDescent="0.3">
      <c r="A473" t="str">
        <f t="shared" si="121"/>
        <v>048314</v>
      </c>
      <c r="B473" t="str">
        <f t="shared" si="125"/>
        <v>004697</v>
      </c>
      <c r="C473" t="s">
        <v>3154</v>
      </c>
      <c r="D473" t="s">
        <v>3839</v>
      </c>
      <c r="E473" t="s">
        <v>3840</v>
      </c>
      <c r="F473" t="s">
        <v>3841</v>
      </c>
      <c r="G473" t="s">
        <v>3842</v>
      </c>
      <c r="H473" t="str">
        <f t="shared" si="123"/>
        <v>048314</v>
      </c>
      <c r="I473" t="s">
        <v>833</v>
      </c>
      <c r="J473" t="str">
        <f>"2015-12-21 00:00:00.0"</f>
        <v>2015-12-21 00:00:00.0</v>
      </c>
      <c r="K473" t="s">
        <v>834</v>
      </c>
      <c r="L473" t="s">
        <v>0</v>
      </c>
      <c r="M473" t="str">
        <f t="shared" si="120"/>
        <v>048314</v>
      </c>
      <c r="N473">
        <v>0.60103600000000001</v>
      </c>
      <c r="O473">
        <v>0.60103600000000001</v>
      </c>
      <c r="P473" t="str">
        <f>"03"</f>
        <v>03</v>
      </c>
      <c r="Q473" t="str">
        <f>"10"</f>
        <v>10</v>
      </c>
      <c r="R473" t="str">
        <f>"2"</f>
        <v>2</v>
      </c>
      <c r="S473" t="s">
        <v>836</v>
      </c>
      <c r="T473" t="s">
        <v>836</v>
      </c>
      <c r="U473" t="str">
        <f t="shared" ref="U473:U489" si="126">"2500-12-31 00:00:00.0"</f>
        <v>2500-12-31 00:00:00.0</v>
      </c>
      <c r="V473" t="s">
        <v>837</v>
      </c>
      <c r="W473" t="str">
        <f>"048314-004697-**-**"</f>
        <v>048314-004697-**-**</v>
      </c>
      <c r="X473" t="s">
        <v>838</v>
      </c>
      <c r="Y473">
        <v>725</v>
      </c>
      <c r="Z473">
        <v>1206.25</v>
      </c>
      <c r="AA473" t="str">
        <f t="shared" si="124"/>
        <v>06/08/2016</v>
      </c>
    </row>
    <row r="474" spans="1:27" x14ac:dyDescent="0.3">
      <c r="A474" t="str">
        <f t="shared" si="121"/>
        <v>048314</v>
      </c>
      <c r="B474" t="str">
        <f t="shared" si="125"/>
        <v>004697</v>
      </c>
      <c r="C474" t="s">
        <v>2525</v>
      </c>
      <c r="D474" t="s">
        <v>3839</v>
      </c>
      <c r="E474" t="s">
        <v>3840</v>
      </c>
      <c r="F474" t="s">
        <v>3841</v>
      </c>
      <c r="G474" t="s">
        <v>3842</v>
      </c>
      <c r="H474" t="str">
        <f t="shared" si="123"/>
        <v>048314</v>
      </c>
      <c r="I474" t="s">
        <v>833</v>
      </c>
      <c r="J474" t="str">
        <f>"2015-07-01 00:00:00.0"</f>
        <v>2015-07-01 00:00:00.0</v>
      </c>
      <c r="K474" t="s">
        <v>834</v>
      </c>
      <c r="L474" t="s">
        <v>0</v>
      </c>
      <c r="M474" t="str">
        <f t="shared" si="120"/>
        <v>048314</v>
      </c>
      <c r="N474">
        <v>1</v>
      </c>
      <c r="O474">
        <v>1</v>
      </c>
      <c r="P474" t="str">
        <f>"01"</f>
        <v>01</v>
      </c>
      <c r="Q474" t="s">
        <v>835</v>
      </c>
      <c r="S474" t="s">
        <v>836</v>
      </c>
      <c r="T474" t="s">
        <v>836</v>
      </c>
      <c r="U474" t="str">
        <f t="shared" si="126"/>
        <v>2500-12-31 00:00:00.0</v>
      </c>
      <c r="V474" t="s">
        <v>837</v>
      </c>
      <c r="W474" t="str">
        <f>"048314-004697-**-**"</f>
        <v>048314-004697-**-**</v>
      </c>
      <c r="X474" t="s">
        <v>838</v>
      </c>
      <c r="Y474">
        <v>1206.25</v>
      </c>
      <c r="Z474">
        <v>1206.25</v>
      </c>
      <c r="AA474" t="str">
        <f t="shared" si="124"/>
        <v>06/08/2016</v>
      </c>
    </row>
    <row r="475" spans="1:27" x14ac:dyDescent="0.3">
      <c r="A475" t="str">
        <f t="shared" si="121"/>
        <v>048314</v>
      </c>
      <c r="B475" t="str">
        <f t="shared" si="125"/>
        <v>004697</v>
      </c>
      <c r="C475" t="s">
        <v>3286</v>
      </c>
      <c r="D475" t="s">
        <v>3839</v>
      </c>
      <c r="E475" t="s">
        <v>3840</v>
      </c>
      <c r="F475" t="s">
        <v>3841</v>
      </c>
      <c r="G475" t="s">
        <v>3842</v>
      </c>
      <c r="H475" t="str">
        <f t="shared" si="123"/>
        <v>048314</v>
      </c>
      <c r="I475" t="s">
        <v>833</v>
      </c>
      <c r="J475" t="str">
        <f>"2015-07-01 00:00:00.0"</f>
        <v>2015-07-01 00:00:00.0</v>
      </c>
      <c r="K475" t="s">
        <v>834</v>
      </c>
      <c r="L475" t="s">
        <v>0</v>
      </c>
      <c r="M475" t="str">
        <f t="shared" si="120"/>
        <v>048314</v>
      </c>
      <c r="N475">
        <v>1</v>
      </c>
      <c r="O475">
        <v>1</v>
      </c>
      <c r="P475" t="str">
        <f>"05"</f>
        <v>05</v>
      </c>
      <c r="Q475" t="s">
        <v>835</v>
      </c>
      <c r="S475" t="s">
        <v>836</v>
      </c>
      <c r="T475" t="s">
        <v>836</v>
      </c>
      <c r="U475" t="str">
        <f t="shared" si="126"/>
        <v>2500-12-31 00:00:00.0</v>
      </c>
      <c r="V475" t="s">
        <v>837</v>
      </c>
      <c r="W475" t="str">
        <f>"048314-070417-**-**"</f>
        <v>048314-070417-**-**</v>
      </c>
      <c r="X475" t="s">
        <v>838</v>
      </c>
      <c r="Y475">
        <v>1125</v>
      </c>
      <c r="Z475">
        <v>1125</v>
      </c>
      <c r="AA475" t="str">
        <f t="shared" si="124"/>
        <v>06/08/2016</v>
      </c>
    </row>
    <row r="476" spans="1:27" x14ac:dyDescent="0.3">
      <c r="A476" t="str">
        <f t="shared" si="121"/>
        <v>048314</v>
      </c>
      <c r="B476" t="str">
        <f t="shared" si="125"/>
        <v>004697</v>
      </c>
      <c r="C476" t="s">
        <v>1823</v>
      </c>
      <c r="D476" t="s">
        <v>3839</v>
      </c>
      <c r="E476" t="s">
        <v>3840</v>
      </c>
      <c r="F476" t="s">
        <v>3841</v>
      </c>
      <c r="G476" t="s">
        <v>3842</v>
      </c>
      <c r="H476" t="str">
        <f t="shared" si="123"/>
        <v>048314</v>
      </c>
      <c r="I476" t="s">
        <v>833</v>
      </c>
      <c r="J476" t="str">
        <f>"2015-08-01 00:00:00.0"</f>
        <v>2015-08-01 00:00:00.0</v>
      </c>
      <c r="K476" t="s">
        <v>834</v>
      </c>
      <c r="L476" t="s">
        <v>0</v>
      </c>
      <c r="M476" t="str">
        <f t="shared" si="120"/>
        <v>048314</v>
      </c>
      <c r="N476">
        <v>1</v>
      </c>
      <c r="O476">
        <v>1</v>
      </c>
      <c r="P476" t="s">
        <v>764</v>
      </c>
      <c r="Q476" t="s">
        <v>835</v>
      </c>
      <c r="S476" t="s">
        <v>836</v>
      </c>
      <c r="T476" t="s">
        <v>836</v>
      </c>
      <c r="U476" t="str">
        <f t="shared" si="126"/>
        <v>2500-12-31 00:00:00.0</v>
      </c>
      <c r="V476" t="s">
        <v>837</v>
      </c>
      <c r="W476" t="str">
        <f t="shared" ref="W476:W482" si="127">"048314-004697-**-**"</f>
        <v>048314-004697-**-**</v>
      </c>
      <c r="X476" t="s">
        <v>838</v>
      </c>
      <c r="Y476">
        <v>1206.25</v>
      </c>
      <c r="Z476">
        <v>1206.25</v>
      </c>
      <c r="AA476" t="str">
        <f t="shared" si="124"/>
        <v>06/08/2016</v>
      </c>
    </row>
    <row r="477" spans="1:27" x14ac:dyDescent="0.3">
      <c r="A477" t="str">
        <f t="shared" si="121"/>
        <v>048314</v>
      </c>
      <c r="B477" t="str">
        <f t="shared" si="125"/>
        <v>004697</v>
      </c>
      <c r="C477" t="s">
        <v>1461</v>
      </c>
      <c r="D477" t="s">
        <v>3839</v>
      </c>
      <c r="E477" t="s">
        <v>3840</v>
      </c>
      <c r="F477" t="s">
        <v>3841</v>
      </c>
      <c r="G477" t="s">
        <v>3842</v>
      </c>
      <c r="H477" t="str">
        <f t="shared" si="123"/>
        <v>048314</v>
      </c>
      <c r="I477" t="s">
        <v>833</v>
      </c>
      <c r="J477" t="str">
        <f>"2015-07-01 00:00:00.0"</f>
        <v>2015-07-01 00:00:00.0</v>
      </c>
      <c r="K477" t="s">
        <v>834</v>
      </c>
      <c r="L477" t="s">
        <v>0</v>
      </c>
      <c r="M477" t="str">
        <f t="shared" si="120"/>
        <v>048314</v>
      </c>
      <c r="N477">
        <v>1</v>
      </c>
      <c r="O477">
        <v>1</v>
      </c>
      <c r="P477" t="str">
        <f>"01"</f>
        <v>01</v>
      </c>
      <c r="Q477" t="s">
        <v>835</v>
      </c>
      <c r="S477" t="s">
        <v>836</v>
      </c>
      <c r="T477" t="s">
        <v>836</v>
      </c>
      <c r="U477" t="str">
        <f t="shared" si="126"/>
        <v>2500-12-31 00:00:00.0</v>
      </c>
      <c r="V477" t="s">
        <v>837</v>
      </c>
      <c r="W477" t="str">
        <f t="shared" si="127"/>
        <v>048314-004697-**-**</v>
      </c>
      <c r="X477" t="s">
        <v>838</v>
      </c>
      <c r="Y477">
        <v>1206.25</v>
      </c>
      <c r="Z477">
        <v>1206.25</v>
      </c>
      <c r="AA477" t="str">
        <f t="shared" si="124"/>
        <v>06/08/2016</v>
      </c>
    </row>
    <row r="478" spans="1:27" x14ac:dyDescent="0.3">
      <c r="A478" t="str">
        <f t="shared" si="121"/>
        <v>048314</v>
      </c>
      <c r="B478" t="str">
        <f t="shared" si="125"/>
        <v>004697</v>
      </c>
      <c r="C478" t="s">
        <v>3574</v>
      </c>
      <c r="D478" t="s">
        <v>3839</v>
      </c>
      <c r="E478" t="s">
        <v>3840</v>
      </c>
      <c r="F478" t="s">
        <v>3841</v>
      </c>
      <c r="G478" t="s">
        <v>3842</v>
      </c>
      <c r="H478" t="str">
        <f t="shared" si="123"/>
        <v>048314</v>
      </c>
      <c r="I478" t="s">
        <v>833</v>
      </c>
      <c r="J478" t="str">
        <f>"2015-07-01 00:00:00.0"</f>
        <v>2015-07-01 00:00:00.0</v>
      </c>
      <c r="K478" t="s">
        <v>834</v>
      </c>
      <c r="L478" t="s">
        <v>0</v>
      </c>
      <c r="M478" t="str">
        <f t="shared" si="120"/>
        <v>048314</v>
      </c>
      <c r="N478">
        <v>1</v>
      </c>
      <c r="O478">
        <v>1</v>
      </c>
      <c r="P478" t="str">
        <f>"03"</f>
        <v>03</v>
      </c>
      <c r="Q478" t="s">
        <v>835</v>
      </c>
      <c r="S478" t="s">
        <v>860</v>
      </c>
      <c r="T478" t="s">
        <v>836</v>
      </c>
      <c r="U478" t="str">
        <f t="shared" si="126"/>
        <v>2500-12-31 00:00:00.0</v>
      </c>
      <c r="V478" t="s">
        <v>837</v>
      </c>
      <c r="W478" t="str">
        <f t="shared" si="127"/>
        <v>048314-004697-**-**</v>
      </c>
      <c r="X478" t="s">
        <v>838</v>
      </c>
      <c r="Y478">
        <v>1206.25</v>
      </c>
      <c r="Z478">
        <v>1206.25</v>
      </c>
      <c r="AA478" t="str">
        <f t="shared" si="124"/>
        <v>06/08/2016</v>
      </c>
    </row>
    <row r="479" spans="1:27" x14ac:dyDescent="0.3">
      <c r="A479" t="str">
        <f t="shared" si="121"/>
        <v>048314</v>
      </c>
      <c r="B479" t="str">
        <f t="shared" si="125"/>
        <v>004697</v>
      </c>
      <c r="C479" t="s">
        <v>1020</v>
      </c>
      <c r="D479" t="s">
        <v>3839</v>
      </c>
      <c r="E479" t="s">
        <v>3840</v>
      </c>
      <c r="F479" t="s">
        <v>3841</v>
      </c>
      <c r="G479" t="s">
        <v>3842</v>
      </c>
      <c r="H479" t="str">
        <f t="shared" si="123"/>
        <v>048314</v>
      </c>
      <c r="I479" t="s">
        <v>833</v>
      </c>
      <c r="J479" t="str">
        <f>"2015-07-01 00:00:00.0"</f>
        <v>2015-07-01 00:00:00.0</v>
      </c>
      <c r="K479" t="s">
        <v>834</v>
      </c>
      <c r="L479" t="s">
        <v>0</v>
      </c>
      <c r="M479" t="str">
        <f t="shared" si="120"/>
        <v>048314</v>
      </c>
      <c r="N479">
        <v>1</v>
      </c>
      <c r="O479">
        <v>1</v>
      </c>
      <c r="P479" t="str">
        <f>"01"</f>
        <v>01</v>
      </c>
      <c r="Q479" t="s">
        <v>835</v>
      </c>
      <c r="S479" t="s">
        <v>860</v>
      </c>
      <c r="T479" t="s">
        <v>836</v>
      </c>
      <c r="U479" t="str">
        <f t="shared" si="126"/>
        <v>2500-12-31 00:00:00.0</v>
      </c>
      <c r="V479" t="s">
        <v>837</v>
      </c>
      <c r="W479" t="str">
        <f t="shared" si="127"/>
        <v>048314-004697-**-**</v>
      </c>
      <c r="X479" t="s">
        <v>838</v>
      </c>
      <c r="Y479">
        <v>1206.25</v>
      </c>
      <c r="Z479">
        <v>1206.25</v>
      </c>
      <c r="AA479" t="str">
        <f t="shared" si="124"/>
        <v>06/08/2016</v>
      </c>
    </row>
    <row r="480" spans="1:27" x14ac:dyDescent="0.3">
      <c r="A480" t="str">
        <f t="shared" si="121"/>
        <v>048314</v>
      </c>
      <c r="B480" t="str">
        <f t="shared" si="125"/>
        <v>004697</v>
      </c>
      <c r="C480" t="s">
        <v>2582</v>
      </c>
      <c r="D480" t="s">
        <v>3839</v>
      </c>
      <c r="E480" t="s">
        <v>3840</v>
      </c>
      <c r="F480" t="s">
        <v>3841</v>
      </c>
      <c r="G480" t="s">
        <v>3842</v>
      </c>
      <c r="H480" t="str">
        <f t="shared" si="123"/>
        <v>048314</v>
      </c>
      <c r="I480" t="s">
        <v>833</v>
      </c>
      <c r="J480" t="str">
        <f>"2015-07-01 00:00:00.0"</f>
        <v>2015-07-01 00:00:00.0</v>
      </c>
      <c r="K480" t="s">
        <v>834</v>
      </c>
      <c r="L480" t="s">
        <v>0</v>
      </c>
      <c r="M480" t="str">
        <f t="shared" si="120"/>
        <v>048314</v>
      </c>
      <c r="N480">
        <v>1</v>
      </c>
      <c r="O480">
        <v>1</v>
      </c>
      <c r="P480" t="str">
        <f>"01"</f>
        <v>01</v>
      </c>
      <c r="Q480" t="s">
        <v>835</v>
      </c>
      <c r="S480" t="s">
        <v>836</v>
      </c>
      <c r="T480" t="s">
        <v>836</v>
      </c>
      <c r="U480" t="str">
        <f t="shared" si="126"/>
        <v>2500-12-31 00:00:00.0</v>
      </c>
      <c r="V480" t="s">
        <v>837</v>
      </c>
      <c r="W480" t="str">
        <f t="shared" si="127"/>
        <v>048314-004697-**-**</v>
      </c>
      <c r="X480" t="s">
        <v>838</v>
      </c>
      <c r="Y480">
        <v>1206.25</v>
      </c>
      <c r="Z480">
        <v>1206.25</v>
      </c>
      <c r="AA480" t="str">
        <f t="shared" si="124"/>
        <v>06/08/2016</v>
      </c>
    </row>
    <row r="481" spans="1:27" x14ac:dyDescent="0.3">
      <c r="A481" t="str">
        <f t="shared" si="121"/>
        <v>048314</v>
      </c>
      <c r="B481" t="str">
        <f t="shared" si="125"/>
        <v>004697</v>
      </c>
      <c r="C481" t="s">
        <v>3428</v>
      </c>
      <c r="D481" t="s">
        <v>3839</v>
      </c>
      <c r="E481" t="s">
        <v>3840</v>
      </c>
      <c r="F481" t="s">
        <v>3841</v>
      </c>
      <c r="G481" t="s">
        <v>3842</v>
      </c>
      <c r="H481" t="str">
        <f t="shared" si="123"/>
        <v>048314</v>
      </c>
      <c r="I481" t="s">
        <v>833</v>
      </c>
      <c r="J481" t="str">
        <f>"2015-07-01 00:00:00.0"</f>
        <v>2015-07-01 00:00:00.0</v>
      </c>
      <c r="K481" t="s">
        <v>834</v>
      </c>
      <c r="L481" t="s">
        <v>0</v>
      </c>
      <c r="M481" t="str">
        <f t="shared" si="120"/>
        <v>048314</v>
      </c>
      <c r="N481">
        <v>1</v>
      </c>
      <c r="O481">
        <v>1</v>
      </c>
      <c r="P481" t="str">
        <f>"04"</f>
        <v>04</v>
      </c>
      <c r="Q481" t="s">
        <v>835</v>
      </c>
      <c r="S481" t="s">
        <v>836</v>
      </c>
      <c r="T481" t="s">
        <v>836</v>
      </c>
      <c r="U481" t="str">
        <f t="shared" si="126"/>
        <v>2500-12-31 00:00:00.0</v>
      </c>
      <c r="V481" t="s">
        <v>837</v>
      </c>
      <c r="W481" t="str">
        <f t="shared" si="127"/>
        <v>048314-004697-**-**</v>
      </c>
      <c r="X481" t="s">
        <v>838</v>
      </c>
      <c r="Y481">
        <v>1206.25</v>
      </c>
      <c r="Z481">
        <v>1206.25</v>
      </c>
      <c r="AA481" t="str">
        <f t="shared" si="124"/>
        <v>06/08/2016</v>
      </c>
    </row>
    <row r="482" spans="1:27" x14ac:dyDescent="0.3">
      <c r="A482" t="str">
        <f t="shared" si="121"/>
        <v>048314</v>
      </c>
      <c r="B482" t="str">
        <f t="shared" si="125"/>
        <v>004697</v>
      </c>
      <c r="C482" t="s">
        <v>2059</v>
      </c>
      <c r="D482" t="s">
        <v>3839</v>
      </c>
      <c r="E482" t="s">
        <v>3840</v>
      </c>
      <c r="F482" t="s">
        <v>3841</v>
      </c>
      <c r="G482" t="s">
        <v>3842</v>
      </c>
      <c r="H482" t="str">
        <f t="shared" si="123"/>
        <v>048314</v>
      </c>
      <c r="I482" t="s">
        <v>833</v>
      </c>
      <c r="J482" t="str">
        <f>"2015-08-01 00:00:00.0"</f>
        <v>2015-08-01 00:00:00.0</v>
      </c>
      <c r="K482" t="s">
        <v>834</v>
      </c>
      <c r="L482" t="s">
        <v>0</v>
      </c>
      <c r="M482" t="str">
        <f t="shared" si="120"/>
        <v>048314</v>
      </c>
      <c r="N482">
        <v>1</v>
      </c>
      <c r="O482">
        <v>1</v>
      </c>
      <c r="P482" t="s">
        <v>764</v>
      </c>
      <c r="Q482" t="str">
        <f>"05"</f>
        <v>05</v>
      </c>
      <c r="R482" t="str">
        <f>"1"</f>
        <v>1</v>
      </c>
      <c r="S482" t="s">
        <v>836</v>
      </c>
      <c r="T482" t="s">
        <v>836</v>
      </c>
      <c r="U482" t="str">
        <f t="shared" si="126"/>
        <v>2500-12-31 00:00:00.0</v>
      </c>
      <c r="V482" t="s">
        <v>837</v>
      </c>
      <c r="W482" t="str">
        <f t="shared" si="127"/>
        <v>048314-004697-**-**</v>
      </c>
      <c r="X482" t="s">
        <v>838</v>
      </c>
      <c r="Y482">
        <v>1206.25</v>
      </c>
      <c r="Z482">
        <v>1206.25</v>
      </c>
      <c r="AA482" t="str">
        <f t="shared" si="124"/>
        <v>06/08/2016</v>
      </c>
    </row>
    <row r="483" spans="1:27" x14ac:dyDescent="0.3">
      <c r="A483" t="str">
        <f t="shared" si="121"/>
        <v>048314</v>
      </c>
      <c r="B483" t="str">
        <f t="shared" si="125"/>
        <v>004697</v>
      </c>
      <c r="C483" t="s">
        <v>2910</v>
      </c>
      <c r="D483" t="s">
        <v>3839</v>
      </c>
      <c r="E483" t="s">
        <v>3840</v>
      </c>
      <c r="F483" t="s">
        <v>3841</v>
      </c>
      <c r="G483" t="s">
        <v>3842</v>
      </c>
      <c r="H483" t="str">
        <f t="shared" si="123"/>
        <v>048314</v>
      </c>
      <c r="I483" t="s">
        <v>833</v>
      </c>
      <c r="J483" t="str">
        <f t="shared" ref="J483:J489" si="128">"2015-07-01 00:00:00.0"</f>
        <v>2015-07-01 00:00:00.0</v>
      </c>
      <c r="K483" t="s">
        <v>834</v>
      </c>
      <c r="L483" t="s">
        <v>0</v>
      </c>
      <c r="M483" t="str">
        <f t="shared" si="120"/>
        <v>048314</v>
      </c>
      <c r="N483">
        <v>1</v>
      </c>
      <c r="O483">
        <v>1</v>
      </c>
      <c r="P483" t="str">
        <f>"05"</f>
        <v>05</v>
      </c>
      <c r="Q483" t="s">
        <v>835</v>
      </c>
      <c r="S483" t="s">
        <v>836</v>
      </c>
      <c r="T483" t="s">
        <v>836</v>
      </c>
      <c r="U483" t="str">
        <f t="shared" si="126"/>
        <v>2500-12-31 00:00:00.0</v>
      </c>
      <c r="V483" t="s">
        <v>837</v>
      </c>
      <c r="W483" t="str">
        <f>"048314-070417-**-**"</f>
        <v>048314-070417-**-**</v>
      </c>
      <c r="X483" t="s">
        <v>838</v>
      </c>
      <c r="Y483">
        <v>1125</v>
      </c>
      <c r="Z483">
        <v>1125</v>
      </c>
      <c r="AA483" t="str">
        <f t="shared" si="124"/>
        <v>06/08/2016</v>
      </c>
    </row>
    <row r="484" spans="1:27" x14ac:dyDescent="0.3">
      <c r="A484" t="str">
        <f t="shared" si="121"/>
        <v>048314</v>
      </c>
      <c r="B484" t="str">
        <f t="shared" si="125"/>
        <v>004697</v>
      </c>
      <c r="C484" t="s">
        <v>3749</v>
      </c>
      <c r="D484" t="s">
        <v>3839</v>
      </c>
      <c r="E484" t="s">
        <v>3840</v>
      </c>
      <c r="F484" t="s">
        <v>3841</v>
      </c>
      <c r="G484" t="s">
        <v>3842</v>
      </c>
      <c r="H484" t="str">
        <f t="shared" si="123"/>
        <v>048314</v>
      </c>
      <c r="I484" t="s">
        <v>833</v>
      </c>
      <c r="J484" t="str">
        <f t="shared" si="128"/>
        <v>2015-07-01 00:00:00.0</v>
      </c>
      <c r="K484" t="s">
        <v>834</v>
      </c>
      <c r="L484" t="s">
        <v>0</v>
      </c>
      <c r="M484" t="str">
        <f t="shared" si="120"/>
        <v>048314</v>
      </c>
      <c r="N484">
        <v>1</v>
      </c>
      <c r="O484">
        <v>1</v>
      </c>
      <c r="P484" t="str">
        <f>"01"</f>
        <v>01</v>
      </c>
      <c r="Q484" t="s">
        <v>835</v>
      </c>
      <c r="S484" t="s">
        <v>836</v>
      </c>
      <c r="T484" t="s">
        <v>836</v>
      </c>
      <c r="U484" t="str">
        <f t="shared" si="126"/>
        <v>2500-12-31 00:00:00.0</v>
      </c>
      <c r="V484" t="s">
        <v>837</v>
      </c>
      <c r="W484" t="str">
        <f>"048314-004697-**-**"</f>
        <v>048314-004697-**-**</v>
      </c>
      <c r="X484" t="s">
        <v>838</v>
      </c>
      <c r="Y484">
        <v>1206.25</v>
      </c>
      <c r="Z484">
        <v>1206.25</v>
      </c>
      <c r="AA484" t="str">
        <f t="shared" si="124"/>
        <v>06/08/2016</v>
      </c>
    </row>
    <row r="485" spans="1:27" x14ac:dyDescent="0.3">
      <c r="A485" t="str">
        <f t="shared" si="121"/>
        <v>048314</v>
      </c>
      <c r="B485" t="str">
        <f t="shared" si="125"/>
        <v>004697</v>
      </c>
      <c r="C485" t="s">
        <v>2911</v>
      </c>
      <c r="D485" t="s">
        <v>3839</v>
      </c>
      <c r="E485" t="s">
        <v>3840</v>
      </c>
      <c r="F485" t="s">
        <v>3841</v>
      </c>
      <c r="G485" t="s">
        <v>3842</v>
      </c>
      <c r="H485" t="str">
        <f t="shared" si="123"/>
        <v>048314</v>
      </c>
      <c r="I485" t="s">
        <v>833</v>
      </c>
      <c r="J485" t="str">
        <f t="shared" si="128"/>
        <v>2015-07-01 00:00:00.0</v>
      </c>
      <c r="K485" t="s">
        <v>834</v>
      </c>
      <c r="L485" t="s">
        <v>0</v>
      </c>
      <c r="M485" t="str">
        <f t="shared" si="120"/>
        <v>048314</v>
      </c>
      <c r="N485">
        <v>1</v>
      </c>
      <c r="O485">
        <v>1</v>
      </c>
      <c r="P485" t="str">
        <f>"05"</f>
        <v>05</v>
      </c>
      <c r="Q485" t="s">
        <v>835</v>
      </c>
      <c r="S485" t="s">
        <v>836</v>
      </c>
      <c r="T485" t="s">
        <v>836</v>
      </c>
      <c r="U485" t="str">
        <f t="shared" si="126"/>
        <v>2500-12-31 00:00:00.0</v>
      </c>
      <c r="V485" t="s">
        <v>837</v>
      </c>
      <c r="W485" t="str">
        <f>"048314-070417-**-**"</f>
        <v>048314-070417-**-**</v>
      </c>
      <c r="X485" t="s">
        <v>838</v>
      </c>
      <c r="Y485">
        <v>1125</v>
      </c>
      <c r="Z485">
        <v>1125</v>
      </c>
      <c r="AA485" t="str">
        <f t="shared" si="124"/>
        <v>06/08/2016</v>
      </c>
    </row>
    <row r="486" spans="1:27" x14ac:dyDescent="0.3">
      <c r="A486" t="str">
        <f t="shared" si="121"/>
        <v>048314</v>
      </c>
      <c r="B486" t="str">
        <f t="shared" si="125"/>
        <v>004697</v>
      </c>
      <c r="C486" t="s">
        <v>1797</v>
      </c>
      <c r="D486" t="s">
        <v>3839</v>
      </c>
      <c r="E486" t="s">
        <v>3840</v>
      </c>
      <c r="F486" t="s">
        <v>3841</v>
      </c>
      <c r="G486" t="s">
        <v>3842</v>
      </c>
      <c r="H486" t="str">
        <f t="shared" si="123"/>
        <v>048314</v>
      </c>
      <c r="I486" t="s">
        <v>833</v>
      </c>
      <c r="J486" t="str">
        <f t="shared" si="128"/>
        <v>2015-07-01 00:00:00.0</v>
      </c>
      <c r="K486" t="s">
        <v>834</v>
      </c>
      <c r="L486" t="s">
        <v>0</v>
      </c>
      <c r="M486" t="str">
        <f t="shared" si="120"/>
        <v>048314</v>
      </c>
      <c r="N486">
        <v>1</v>
      </c>
      <c r="O486">
        <v>1</v>
      </c>
      <c r="P486" t="str">
        <f>"02"</f>
        <v>02</v>
      </c>
      <c r="Q486" t="s">
        <v>835</v>
      </c>
      <c r="S486" t="s">
        <v>836</v>
      </c>
      <c r="T486" t="s">
        <v>836</v>
      </c>
      <c r="U486" t="str">
        <f t="shared" si="126"/>
        <v>2500-12-31 00:00:00.0</v>
      </c>
      <c r="V486" t="s">
        <v>837</v>
      </c>
      <c r="W486" t="str">
        <f t="shared" ref="W486:W494" si="129">"048314-004697-**-**"</f>
        <v>048314-004697-**-**</v>
      </c>
      <c r="X486" t="s">
        <v>838</v>
      </c>
      <c r="Y486">
        <v>1206.25</v>
      </c>
      <c r="Z486">
        <v>1206.25</v>
      </c>
      <c r="AA486" t="str">
        <f t="shared" si="124"/>
        <v>06/08/2016</v>
      </c>
    </row>
    <row r="487" spans="1:27" x14ac:dyDescent="0.3">
      <c r="A487" t="str">
        <f t="shared" si="121"/>
        <v>048314</v>
      </c>
      <c r="B487" t="str">
        <f t="shared" si="125"/>
        <v>004697</v>
      </c>
      <c r="C487" t="s">
        <v>3228</v>
      </c>
      <c r="D487" t="s">
        <v>3839</v>
      </c>
      <c r="E487" t="s">
        <v>3840</v>
      </c>
      <c r="F487" t="s">
        <v>3841</v>
      </c>
      <c r="G487" t="s">
        <v>3842</v>
      </c>
      <c r="H487" t="str">
        <f t="shared" si="123"/>
        <v>048314</v>
      </c>
      <c r="I487" t="s">
        <v>833</v>
      </c>
      <c r="J487" t="str">
        <f t="shared" si="128"/>
        <v>2015-07-01 00:00:00.0</v>
      </c>
      <c r="K487" t="s">
        <v>834</v>
      </c>
      <c r="L487" t="s">
        <v>0</v>
      </c>
      <c r="M487" t="str">
        <f t="shared" si="120"/>
        <v>048314</v>
      </c>
      <c r="N487">
        <v>1</v>
      </c>
      <c r="O487">
        <v>1</v>
      </c>
      <c r="P487" t="str">
        <f>"02"</f>
        <v>02</v>
      </c>
      <c r="Q487" t="s">
        <v>835</v>
      </c>
      <c r="S487" t="s">
        <v>836</v>
      </c>
      <c r="T487" t="s">
        <v>836</v>
      </c>
      <c r="U487" t="str">
        <f t="shared" si="126"/>
        <v>2500-12-31 00:00:00.0</v>
      </c>
      <c r="V487" t="s">
        <v>837</v>
      </c>
      <c r="W487" t="str">
        <f t="shared" si="129"/>
        <v>048314-004697-**-**</v>
      </c>
      <c r="X487" t="s">
        <v>838</v>
      </c>
      <c r="Y487">
        <v>1206.25</v>
      </c>
      <c r="Z487">
        <v>1206.25</v>
      </c>
      <c r="AA487" t="str">
        <f t="shared" si="124"/>
        <v>06/08/2016</v>
      </c>
    </row>
    <row r="488" spans="1:27" x14ac:dyDescent="0.3">
      <c r="A488" t="str">
        <f t="shared" si="121"/>
        <v>048314</v>
      </c>
      <c r="B488" t="str">
        <f t="shared" si="125"/>
        <v>004697</v>
      </c>
      <c r="C488" t="s">
        <v>2994</v>
      </c>
      <c r="D488" t="s">
        <v>3839</v>
      </c>
      <c r="E488" t="s">
        <v>3840</v>
      </c>
      <c r="F488" t="s">
        <v>3841</v>
      </c>
      <c r="G488" t="s">
        <v>3842</v>
      </c>
      <c r="H488" t="str">
        <f t="shared" si="123"/>
        <v>048314</v>
      </c>
      <c r="I488" t="s">
        <v>833</v>
      </c>
      <c r="J488" t="str">
        <f t="shared" si="128"/>
        <v>2015-07-01 00:00:00.0</v>
      </c>
      <c r="K488" t="s">
        <v>834</v>
      </c>
      <c r="L488" t="s">
        <v>0</v>
      </c>
      <c r="M488" t="str">
        <f t="shared" si="120"/>
        <v>048314</v>
      </c>
      <c r="N488">
        <v>1</v>
      </c>
      <c r="O488">
        <v>1</v>
      </c>
      <c r="P488" t="str">
        <f>"01"</f>
        <v>01</v>
      </c>
      <c r="Q488" t="s">
        <v>835</v>
      </c>
      <c r="S488" t="s">
        <v>836</v>
      </c>
      <c r="T488" t="s">
        <v>836</v>
      </c>
      <c r="U488" t="str">
        <f t="shared" si="126"/>
        <v>2500-12-31 00:00:00.0</v>
      </c>
      <c r="V488" t="s">
        <v>837</v>
      </c>
      <c r="W488" t="str">
        <f t="shared" si="129"/>
        <v>048314-004697-**-**</v>
      </c>
      <c r="X488" t="s">
        <v>838</v>
      </c>
      <c r="Y488">
        <v>1206.25</v>
      </c>
      <c r="Z488">
        <v>1206.25</v>
      </c>
      <c r="AA488" t="str">
        <f t="shared" si="124"/>
        <v>06/08/2016</v>
      </c>
    </row>
    <row r="489" spans="1:27" x14ac:dyDescent="0.3">
      <c r="A489" t="str">
        <f t="shared" si="121"/>
        <v>048314</v>
      </c>
      <c r="B489" t="str">
        <f t="shared" si="125"/>
        <v>004697</v>
      </c>
      <c r="C489" t="s">
        <v>3347</v>
      </c>
      <c r="D489" t="s">
        <v>3839</v>
      </c>
      <c r="E489" t="s">
        <v>3840</v>
      </c>
      <c r="F489" t="s">
        <v>3841</v>
      </c>
      <c r="G489" t="s">
        <v>3842</v>
      </c>
      <c r="H489" t="str">
        <f t="shared" si="123"/>
        <v>048314</v>
      </c>
      <c r="I489" t="s">
        <v>833</v>
      </c>
      <c r="J489" t="str">
        <f t="shared" si="128"/>
        <v>2015-07-01 00:00:00.0</v>
      </c>
      <c r="K489" t="s">
        <v>834</v>
      </c>
      <c r="L489" t="s">
        <v>0</v>
      </c>
      <c r="M489" t="str">
        <f t="shared" si="120"/>
        <v>048314</v>
      </c>
      <c r="N489">
        <v>1</v>
      </c>
      <c r="O489">
        <v>1</v>
      </c>
      <c r="P489" t="str">
        <f>"04"</f>
        <v>04</v>
      </c>
      <c r="Q489" t="s">
        <v>835</v>
      </c>
      <c r="S489" t="s">
        <v>836</v>
      </c>
      <c r="T489" t="s">
        <v>836</v>
      </c>
      <c r="U489" t="str">
        <f t="shared" si="126"/>
        <v>2500-12-31 00:00:00.0</v>
      </c>
      <c r="V489" t="s">
        <v>837</v>
      </c>
      <c r="W489" t="str">
        <f t="shared" si="129"/>
        <v>048314-004697-**-**</v>
      </c>
      <c r="X489" t="s">
        <v>838</v>
      </c>
      <c r="Y489">
        <v>1206.25</v>
      </c>
      <c r="Z489">
        <v>1206.25</v>
      </c>
      <c r="AA489" t="str">
        <f t="shared" si="124"/>
        <v>06/08/2016</v>
      </c>
    </row>
    <row r="490" spans="1:27" x14ac:dyDescent="0.3">
      <c r="A490" t="str">
        <f t="shared" si="121"/>
        <v>048314</v>
      </c>
      <c r="B490" t="str">
        <f t="shared" si="125"/>
        <v>004697</v>
      </c>
      <c r="C490" t="s">
        <v>1463</v>
      </c>
      <c r="D490" t="s">
        <v>3839</v>
      </c>
      <c r="E490" t="s">
        <v>3840</v>
      </c>
      <c r="F490" t="s">
        <v>3841</v>
      </c>
      <c r="G490" t="s">
        <v>3842</v>
      </c>
      <c r="H490" t="str">
        <f t="shared" si="123"/>
        <v>048314</v>
      </c>
      <c r="I490" t="s">
        <v>833</v>
      </c>
      <c r="J490" t="str">
        <f>"2015-08-17 00:00:00.0"</f>
        <v>2015-08-17 00:00:00.0</v>
      </c>
      <c r="K490" t="s">
        <v>834</v>
      </c>
      <c r="L490" t="s">
        <v>0</v>
      </c>
      <c r="M490" t="str">
        <f t="shared" si="120"/>
        <v>048314</v>
      </c>
      <c r="N490">
        <v>0.77202099999999996</v>
      </c>
      <c r="O490">
        <v>0.77202099999999996</v>
      </c>
      <c r="P490" t="str">
        <f>"02"</f>
        <v>02</v>
      </c>
      <c r="Q490" t="s">
        <v>835</v>
      </c>
      <c r="S490" t="s">
        <v>860</v>
      </c>
      <c r="T490" t="s">
        <v>836</v>
      </c>
      <c r="U490" t="str">
        <f>"2016-04-06 00:00:00.0"</f>
        <v>2016-04-06 00:00:00.0</v>
      </c>
      <c r="V490" t="s">
        <v>837</v>
      </c>
      <c r="W490" t="str">
        <f t="shared" si="129"/>
        <v>048314-004697-**-**</v>
      </c>
      <c r="X490" t="s">
        <v>838</v>
      </c>
      <c r="Y490">
        <v>931.25</v>
      </c>
      <c r="Z490">
        <v>1206.25</v>
      </c>
      <c r="AA490" t="str">
        <f t="shared" si="124"/>
        <v>06/08/2016</v>
      </c>
    </row>
    <row r="491" spans="1:27" x14ac:dyDescent="0.3">
      <c r="A491" t="str">
        <f t="shared" si="121"/>
        <v>048314</v>
      </c>
      <c r="B491" t="str">
        <f t="shared" si="125"/>
        <v>004697</v>
      </c>
      <c r="C491" t="s">
        <v>1463</v>
      </c>
      <c r="D491" t="s">
        <v>3839</v>
      </c>
      <c r="E491" t="s">
        <v>3840</v>
      </c>
      <c r="F491" t="s">
        <v>3841</v>
      </c>
      <c r="G491" t="s">
        <v>3842</v>
      </c>
      <c r="H491" t="str">
        <f t="shared" si="123"/>
        <v>048314</v>
      </c>
      <c r="I491" t="s">
        <v>833</v>
      </c>
      <c r="J491" t="str">
        <f>"2016-04-07 00:00:00.0"</f>
        <v>2016-04-07 00:00:00.0</v>
      </c>
      <c r="K491" t="s">
        <v>834</v>
      </c>
      <c r="L491" t="s">
        <v>0</v>
      </c>
      <c r="M491" t="str">
        <f t="shared" si="120"/>
        <v>048314</v>
      </c>
      <c r="N491">
        <v>0.22797899999999999</v>
      </c>
      <c r="O491">
        <v>0.22797899999999999</v>
      </c>
      <c r="P491" t="str">
        <f>"02"</f>
        <v>02</v>
      </c>
      <c r="Q491" t="str">
        <f>"05"</f>
        <v>05</v>
      </c>
      <c r="R491" t="str">
        <f>"1"</f>
        <v>1</v>
      </c>
      <c r="S491" t="s">
        <v>860</v>
      </c>
      <c r="T491" t="s">
        <v>836</v>
      </c>
      <c r="U491" t="str">
        <f t="shared" ref="U491:U506" si="130">"2500-12-31 00:00:00.0"</f>
        <v>2500-12-31 00:00:00.0</v>
      </c>
      <c r="V491" t="s">
        <v>837</v>
      </c>
      <c r="W491" t="str">
        <f t="shared" si="129"/>
        <v>048314-004697-**-**</v>
      </c>
      <c r="X491" t="s">
        <v>838</v>
      </c>
      <c r="Y491">
        <v>275</v>
      </c>
      <c r="Z491">
        <v>1206.25</v>
      </c>
      <c r="AA491" t="str">
        <f t="shared" si="124"/>
        <v>06/08/2016</v>
      </c>
    </row>
    <row r="492" spans="1:27" x14ac:dyDescent="0.3">
      <c r="A492" t="str">
        <f t="shared" si="121"/>
        <v>048314</v>
      </c>
      <c r="B492" t="str">
        <f t="shared" si="125"/>
        <v>004697</v>
      </c>
      <c r="C492" t="s">
        <v>1473</v>
      </c>
      <c r="D492" t="s">
        <v>3839</v>
      </c>
      <c r="E492" t="s">
        <v>3840</v>
      </c>
      <c r="F492" t="s">
        <v>3841</v>
      </c>
      <c r="G492" t="s">
        <v>3842</v>
      </c>
      <c r="H492" t="str">
        <f t="shared" si="123"/>
        <v>048314</v>
      </c>
      <c r="I492" t="s">
        <v>833</v>
      </c>
      <c r="J492" t="str">
        <f>"2015-08-01 00:00:00.0"</f>
        <v>2015-08-01 00:00:00.0</v>
      </c>
      <c r="K492" t="s">
        <v>834</v>
      </c>
      <c r="L492" t="s">
        <v>0</v>
      </c>
      <c r="M492" t="str">
        <f t="shared" si="120"/>
        <v>048314</v>
      </c>
      <c r="N492">
        <v>1</v>
      </c>
      <c r="O492">
        <v>1</v>
      </c>
      <c r="P492" t="s">
        <v>764</v>
      </c>
      <c r="Q492" t="s">
        <v>835</v>
      </c>
      <c r="S492" t="s">
        <v>836</v>
      </c>
      <c r="T492" t="s">
        <v>836</v>
      </c>
      <c r="U492" t="str">
        <f t="shared" si="130"/>
        <v>2500-12-31 00:00:00.0</v>
      </c>
      <c r="V492" t="s">
        <v>837</v>
      </c>
      <c r="W492" t="str">
        <f t="shared" si="129"/>
        <v>048314-004697-**-**</v>
      </c>
      <c r="X492" t="s">
        <v>838</v>
      </c>
      <c r="Y492">
        <v>1206.25</v>
      </c>
      <c r="Z492">
        <v>1206.25</v>
      </c>
      <c r="AA492" t="str">
        <f t="shared" si="124"/>
        <v>06/08/2016</v>
      </c>
    </row>
    <row r="493" spans="1:27" x14ac:dyDescent="0.3">
      <c r="A493" t="str">
        <f t="shared" si="121"/>
        <v>048314</v>
      </c>
      <c r="B493" t="str">
        <f t="shared" si="125"/>
        <v>004697</v>
      </c>
      <c r="C493" t="s">
        <v>3258</v>
      </c>
      <c r="D493" t="s">
        <v>3839</v>
      </c>
      <c r="E493" t="s">
        <v>3840</v>
      </c>
      <c r="F493" t="s">
        <v>3841</v>
      </c>
      <c r="G493" t="s">
        <v>3842</v>
      </c>
      <c r="H493" t="str">
        <f t="shared" si="123"/>
        <v>048314</v>
      </c>
      <c r="I493" t="s">
        <v>833</v>
      </c>
      <c r="J493" t="str">
        <f t="shared" ref="J493:J498" si="131">"2015-07-01 00:00:00.0"</f>
        <v>2015-07-01 00:00:00.0</v>
      </c>
      <c r="K493" t="s">
        <v>834</v>
      </c>
      <c r="L493" t="s">
        <v>0</v>
      </c>
      <c r="M493" t="str">
        <f t="shared" si="120"/>
        <v>048314</v>
      </c>
      <c r="N493">
        <v>1</v>
      </c>
      <c r="O493">
        <v>1</v>
      </c>
      <c r="P493" t="str">
        <f>"02"</f>
        <v>02</v>
      </c>
      <c r="Q493" t="s">
        <v>835</v>
      </c>
      <c r="S493" t="s">
        <v>836</v>
      </c>
      <c r="T493" t="s">
        <v>836</v>
      </c>
      <c r="U493" t="str">
        <f t="shared" si="130"/>
        <v>2500-12-31 00:00:00.0</v>
      </c>
      <c r="V493" t="s">
        <v>837</v>
      </c>
      <c r="W493" t="str">
        <f t="shared" si="129"/>
        <v>048314-004697-**-**</v>
      </c>
      <c r="X493" t="s">
        <v>838</v>
      </c>
      <c r="Y493">
        <v>1206.25</v>
      </c>
      <c r="Z493">
        <v>1206.25</v>
      </c>
      <c r="AA493" t="str">
        <f t="shared" si="124"/>
        <v>06/08/2016</v>
      </c>
    </row>
    <row r="494" spans="1:27" x14ac:dyDescent="0.3">
      <c r="A494" t="str">
        <f t="shared" si="121"/>
        <v>048314</v>
      </c>
      <c r="B494" t="str">
        <f t="shared" si="125"/>
        <v>004697</v>
      </c>
      <c r="C494" t="s">
        <v>3645</v>
      </c>
      <c r="D494" t="s">
        <v>3839</v>
      </c>
      <c r="E494" t="s">
        <v>3840</v>
      </c>
      <c r="F494" t="s">
        <v>3841</v>
      </c>
      <c r="G494" t="s">
        <v>3842</v>
      </c>
      <c r="H494" t="str">
        <f t="shared" si="123"/>
        <v>048314</v>
      </c>
      <c r="I494" t="s">
        <v>833</v>
      </c>
      <c r="J494" t="str">
        <f t="shared" si="131"/>
        <v>2015-07-01 00:00:00.0</v>
      </c>
      <c r="K494" t="s">
        <v>834</v>
      </c>
      <c r="L494" t="s">
        <v>0</v>
      </c>
      <c r="M494" t="str">
        <f t="shared" si="120"/>
        <v>048314</v>
      </c>
      <c r="N494">
        <v>1</v>
      </c>
      <c r="O494">
        <v>1</v>
      </c>
      <c r="P494" t="str">
        <f>"04"</f>
        <v>04</v>
      </c>
      <c r="Q494" t="s">
        <v>835</v>
      </c>
      <c r="S494" t="s">
        <v>836</v>
      </c>
      <c r="T494" t="s">
        <v>836</v>
      </c>
      <c r="U494" t="str">
        <f t="shared" si="130"/>
        <v>2500-12-31 00:00:00.0</v>
      </c>
      <c r="V494" t="s">
        <v>837</v>
      </c>
      <c r="W494" t="str">
        <f t="shared" si="129"/>
        <v>048314-004697-**-**</v>
      </c>
      <c r="X494" t="s">
        <v>838</v>
      </c>
      <c r="Y494">
        <v>1206.25</v>
      </c>
      <c r="Z494">
        <v>1206.25</v>
      </c>
      <c r="AA494" t="str">
        <f t="shared" si="124"/>
        <v>06/08/2016</v>
      </c>
    </row>
    <row r="495" spans="1:27" x14ac:dyDescent="0.3">
      <c r="A495" t="str">
        <f t="shared" si="121"/>
        <v>048314</v>
      </c>
      <c r="B495" t="str">
        <f t="shared" si="125"/>
        <v>004697</v>
      </c>
      <c r="C495" t="s">
        <v>3650</v>
      </c>
      <c r="D495" t="s">
        <v>3839</v>
      </c>
      <c r="E495" t="s">
        <v>3840</v>
      </c>
      <c r="F495" t="s">
        <v>3841</v>
      </c>
      <c r="G495" t="s">
        <v>3842</v>
      </c>
      <c r="H495" t="str">
        <f t="shared" si="123"/>
        <v>048314</v>
      </c>
      <c r="I495" t="s">
        <v>833</v>
      </c>
      <c r="J495" t="str">
        <f t="shared" si="131"/>
        <v>2015-07-01 00:00:00.0</v>
      </c>
      <c r="K495" t="s">
        <v>834</v>
      </c>
      <c r="L495" t="s">
        <v>0</v>
      </c>
      <c r="M495" t="str">
        <f t="shared" si="120"/>
        <v>048314</v>
      </c>
      <c r="N495">
        <v>1</v>
      </c>
      <c r="O495">
        <v>1</v>
      </c>
      <c r="P495" t="str">
        <f>"05"</f>
        <v>05</v>
      </c>
      <c r="Q495" t="s">
        <v>835</v>
      </c>
      <c r="S495" t="s">
        <v>836</v>
      </c>
      <c r="T495" t="s">
        <v>836</v>
      </c>
      <c r="U495" t="str">
        <f t="shared" si="130"/>
        <v>2500-12-31 00:00:00.0</v>
      </c>
      <c r="V495" t="s">
        <v>837</v>
      </c>
      <c r="W495" t="str">
        <f>"048314-070417-**-**"</f>
        <v>048314-070417-**-**</v>
      </c>
      <c r="X495" t="s">
        <v>838</v>
      </c>
      <c r="Y495">
        <v>1125</v>
      </c>
      <c r="Z495">
        <v>1125</v>
      </c>
      <c r="AA495" t="str">
        <f t="shared" si="124"/>
        <v>06/08/2016</v>
      </c>
    </row>
    <row r="496" spans="1:27" x14ac:dyDescent="0.3">
      <c r="A496" t="str">
        <f t="shared" si="121"/>
        <v>048314</v>
      </c>
      <c r="B496" t="str">
        <f t="shared" si="125"/>
        <v>004697</v>
      </c>
      <c r="C496" t="s">
        <v>3470</v>
      </c>
      <c r="D496" t="s">
        <v>3839</v>
      </c>
      <c r="E496" t="s">
        <v>3840</v>
      </c>
      <c r="F496" t="s">
        <v>3841</v>
      </c>
      <c r="G496" t="s">
        <v>3842</v>
      </c>
      <c r="H496" t="str">
        <f t="shared" si="123"/>
        <v>048314</v>
      </c>
      <c r="I496" t="s">
        <v>833</v>
      </c>
      <c r="J496" t="str">
        <f t="shared" si="131"/>
        <v>2015-07-01 00:00:00.0</v>
      </c>
      <c r="K496" t="s">
        <v>834</v>
      </c>
      <c r="L496" t="s">
        <v>0</v>
      </c>
      <c r="M496" t="str">
        <f t="shared" si="120"/>
        <v>048314</v>
      </c>
      <c r="N496">
        <v>1</v>
      </c>
      <c r="O496">
        <v>1</v>
      </c>
      <c r="P496" t="str">
        <f>"03"</f>
        <v>03</v>
      </c>
      <c r="Q496" t="s">
        <v>835</v>
      </c>
      <c r="S496" t="s">
        <v>836</v>
      </c>
      <c r="T496" t="s">
        <v>836</v>
      </c>
      <c r="U496" t="str">
        <f t="shared" si="130"/>
        <v>2500-12-31 00:00:00.0</v>
      </c>
      <c r="V496" t="s">
        <v>837</v>
      </c>
      <c r="W496" t="str">
        <f>"048314-004697-**-**"</f>
        <v>048314-004697-**-**</v>
      </c>
      <c r="X496" t="s">
        <v>838</v>
      </c>
      <c r="Y496">
        <v>1206.25</v>
      </c>
      <c r="Z496">
        <v>1206.25</v>
      </c>
      <c r="AA496" t="str">
        <f t="shared" si="124"/>
        <v>06/08/2016</v>
      </c>
    </row>
    <row r="497" spans="1:27" x14ac:dyDescent="0.3">
      <c r="A497" t="str">
        <f t="shared" si="121"/>
        <v>048314</v>
      </c>
      <c r="B497" t="str">
        <f t="shared" si="125"/>
        <v>004697</v>
      </c>
      <c r="C497" t="s">
        <v>3377</v>
      </c>
      <c r="D497" t="s">
        <v>3839</v>
      </c>
      <c r="E497" t="s">
        <v>3840</v>
      </c>
      <c r="F497" t="s">
        <v>3841</v>
      </c>
      <c r="G497" t="s">
        <v>3842</v>
      </c>
      <c r="H497" t="str">
        <f t="shared" si="123"/>
        <v>048314</v>
      </c>
      <c r="I497" t="s">
        <v>833</v>
      </c>
      <c r="J497" t="str">
        <f t="shared" si="131"/>
        <v>2015-07-01 00:00:00.0</v>
      </c>
      <c r="K497" t="s">
        <v>834</v>
      </c>
      <c r="L497" t="s">
        <v>0</v>
      </c>
      <c r="M497" t="str">
        <f t="shared" si="120"/>
        <v>048314</v>
      </c>
      <c r="N497">
        <v>1</v>
      </c>
      <c r="O497">
        <v>1</v>
      </c>
      <c r="P497" t="str">
        <f>"05"</f>
        <v>05</v>
      </c>
      <c r="Q497" t="s">
        <v>835</v>
      </c>
      <c r="S497" t="s">
        <v>836</v>
      </c>
      <c r="T497" t="s">
        <v>836</v>
      </c>
      <c r="U497" t="str">
        <f t="shared" si="130"/>
        <v>2500-12-31 00:00:00.0</v>
      </c>
      <c r="V497" t="s">
        <v>837</v>
      </c>
      <c r="W497" t="str">
        <f>"048314-070417-**-**"</f>
        <v>048314-070417-**-**</v>
      </c>
      <c r="X497" t="s">
        <v>838</v>
      </c>
      <c r="Y497">
        <v>1125</v>
      </c>
      <c r="Z497">
        <v>1125</v>
      </c>
      <c r="AA497" t="str">
        <f t="shared" si="124"/>
        <v>06/08/2016</v>
      </c>
    </row>
    <row r="498" spans="1:27" x14ac:dyDescent="0.3">
      <c r="A498" t="str">
        <f t="shared" si="121"/>
        <v>048314</v>
      </c>
      <c r="B498" t="str">
        <f t="shared" si="125"/>
        <v>004697</v>
      </c>
      <c r="C498" t="s">
        <v>911</v>
      </c>
      <c r="D498" t="s">
        <v>3839</v>
      </c>
      <c r="E498" t="s">
        <v>3840</v>
      </c>
      <c r="F498" t="s">
        <v>3841</v>
      </c>
      <c r="G498" t="s">
        <v>3842</v>
      </c>
      <c r="H498" t="str">
        <f t="shared" si="123"/>
        <v>048314</v>
      </c>
      <c r="I498" t="s">
        <v>833</v>
      </c>
      <c r="J498" t="str">
        <f t="shared" si="131"/>
        <v>2015-07-01 00:00:00.0</v>
      </c>
      <c r="K498" t="s">
        <v>834</v>
      </c>
      <c r="L498" t="s">
        <v>0</v>
      </c>
      <c r="M498" t="str">
        <f t="shared" si="120"/>
        <v>048314</v>
      </c>
      <c r="N498">
        <v>1</v>
      </c>
      <c r="O498">
        <v>1</v>
      </c>
      <c r="P498" t="str">
        <f>"02"</f>
        <v>02</v>
      </c>
      <c r="Q498" t="s">
        <v>835</v>
      </c>
      <c r="S498" t="s">
        <v>836</v>
      </c>
      <c r="T498" t="s">
        <v>836</v>
      </c>
      <c r="U498" t="str">
        <f t="shared" si="130"/>
        <v>2500-12-31 00:00:00.0</v>
      </c>
      <c r="V498" t="s">
        <v>837</v>
      </c>
      <c r="W498" t="str">
        <f t="shared" ref="W498:W505" si="132">"048314-004697-**-**"</f>
        <v>048314-004697-**-**</v>
      </c>
      <c r="X498" t="s">
        <v>838</v>
      </c>
      <c r="Y498">
        <v>1206.25</v>
      </c>
      <c r="Z498">
        <v>1206.25</v>
      </c>
      <c r="AA498" t="str">
        <f t="shared" si="124"/>
        <v>06/08/2016</v>
      </c>
    </row>
    <row r="499" spans="1:27" x14ac:dyDescent="0.3">
      <c r="A499" t="str">
        <f t="shared" si="121"/>
        <v>048314</v>
      </c>
      <c r="B499" t="str">
        <f t="shared" si="125"/>
        <v>004697</v>
      </c>
      <c r="C499" t="s">
        <v>1048</v>
      </c>
      <c r="D499" t="s">
        <v>3839</v>
      </c>
      <c r="E499" t="s">
        <v>3840</v>
      </c>
      <c r="F499" t="s">
        <v>3841</v>
      </c>
      <c r="G499" t="s">
        <v>3842</v>
      </c>
      <c r="H499" t="str">
        <f t="shared" si="123"/>
        <v>048314</v>
      </c>
      <c r="I499" t="s">
        <v>833</v>
      </c>
      <c r="J499" t="str">
        <f>"2015-08-01 00:00:00.0"</f>
        <v>2015-08-01 00:00:00.0</v>
      </c>
      <c r="K499" t="s">
        <v>834</v>
      </c>
      <c r="L499" t="s">
        <v>0</v>
      </c>
      <c r="M499" t="str">
        <f t="shared" si="120"/>
        <v>048314</v>
      </c>
      <c r="N499">
        <v>1</v>
      </c>
      <c r="O499">
        <v>1</v>
      </c>
      <c r="P499" t="s">
        <v>764</v>
      </c>
      <c r="Q499" t="s">
        <v>835</v>
      </c>
      <c r="S499" t="s">
        <v>836</v>
      </c>
      <c r="T499" t="s">
        <v>836</v>
      </c>
      <c r="U499" t="str">
        <f t="shared" si="130"/>
        <v>2500-12-31 00:00:00.0</v>
      </c>
      <c r="V499" t="s">
        <v>837</v>
      </c>
      <c r="W499" t="str">
        <f t="shared" si="132"/>
        <v>048314-004697-**-**</v>
      </c>
      <c r="X499" t="s">
        <v>838</v>
      </c>
      <c r="Y499">
        <v>1206.25</v>
      </c>
      <c r="Z499">
        <v>1206.25</v>
      </c>
      <c r="AA499" t="str">
        <f t="shared" si="124"/>
        <v>06/08/2016</v>
      </c>
    </row>
    <row r="500" spans="1:27" x14ac:dyDescent="0.3">
      <c r="A500" t="str">
        <f t="shared" si="121"/>
        <v>048314</v>
      </c>
      <c r="B500" t="str">
        <f t="shared" si="125"/>
        <v>004697</v>
      </c>
      <c r="C500" t="s">
        <v>3632</v>
      </c>
      <c r="D500" t="s">
        <v>3839</v>
      </c>
      <c r="E500" t="s">
        <v>3840</v>
      </c>
      <c r="F500" t="s">
        <v>3841</v>
      </c>
      <c r="G500" t="s">
        <v>3842</v>
      </c>
      <c r="H500" t="str">
        <f t="shared" si="123"/>
        <v>048314</v>
      </c>
      <c r="I500" t="s">
        <v>833</v>
      </c>
      <c r="J500" t="str">
        <f>"2015-07-01 00:00:00.0"</f>
        <v>2015-07-01 00:00:00.0</v>
      </c>
      <c r="K500" t="s">
        <v>834</v>
      </c>
      <c r="L500" t="s">
        <v>0</v>
      </c>
      <c r="M500" t="str">
        <f t="shared" si="120"/>
        <v>048314</v>
      </c>
      <c r="N500">
        <v>1</v>
      </c>
      <c r="O500">
        <v>1</v>
      </c>
      <c r="P500" t="str">
        <f>"03"</f>
        <v>03</v>
      </c>
      <c r="Q500" t="s">
        <v>835</v>
      </c>
      <c r="S500" t="s">
        <v>860</v>
      </c>
      <c r="T500" t="s">
        <v>836</v>
      </c>
      <c r="U500" t="str">
        <f t="shared" si="130"/>
        <v>2500-12-31 00:00:00.0</v>
      </c>
      <c r="V500" t="s">
        <v>837</v>
      </c>
      <c r="W500" t="str">
        <f t="shared" si="132"/>
        <v>048314-004697-**-**</v>
      </c>
      <c r="X500" t="s">
        <v>838</v>
      </c>
      <c r="Y500">
        <v>1206.25</v>
      </c>
      <c r="Z500">
        <v>1206.25</v>
      </c>
      <c r="AA500" t="str">
        <f t="shared" si="124"/>
        <v>06/08/2016</v>
      </c>
    </row>
    <row r="501" spans="1:27" x14ac:dyDescent="0.3">
      <c r="A501" t="str">
        <f t="shared" si="121"/>
        <v>048314</v>
      </c>
      <c r="B501" t="str">
        <f t="shared" si="125"/>
        <v>004697</v>
      </c>
      <c r="C501" t="s">
        <v>3694</v>
      </c>
      <c r="D501" t="s">
        <v>3839</v>
      </c>
      <c r="E501" t="s">
        <v>3840</v>
      </c>
      <c r="F501" t="s">
        <v>3841</v>
      </c>
      <c r="G501" t="s">
        <v>3842</v>
      </c>
      <c r="H501" t="str">
        <f t="shared" si="123"/>
        <v>048314</v>
      </c>
      <c r="I501" t="s">
        <v>833</v>
      </c>
      <c r="J501" t="str">
        <f>"2015-08-01 00:00:00.0"</f>
        <v>2015-08-01 00:00:00.0</v>
      </c>
      <c r="K501" t="s">
        <v>834</v>
      </c>
      <c r="L501" t="s">
        <v>0</v>
      </c>
      <c r="M501" t="str">
        <f t="shared" si="120"/>
        <v>048314</v>
      </c>
      <c r="N501">
        <v>1</v>
      </c>
      <c r="O501">
        <v>1</v>
      </c>
      <c r="P501" t="str">
        <f>"01"</f>
        <v>01</v>
      </c>
      <c r="Q501" t="s">
        <v>835</v>
      </c>
      <c r="S501" t="s">
        <v>836</v>
      </c>
      <c r="T501" t="s">
        <v>836</v>
      </c>
      <c r="U501" t="str">
        <f t="shared" si="130"/>
        <v>2500-12-31 00:00:00.0</v>
      </c>
      <c r="V501" t="s">
        <v>837</v>
      </c>
      <c r="W501" t="str">
        <f t="shared" si="132"/>
        <v>048314-004697-**-**</v>
      </c>
      <c r="X501" t="s">
        <v>838</v>
      </c>
      <c r="Y501">
        <v>1206.25</v>
      </c>
      <c r="Z501">
        <v>1206.25</v>
      </c>
      <c r="AA501" t="str">
        <f t="shared" si="124"/>
        <v>06/08/2016</v>
      </c>
    </row>
    <row r="502" spans="1:27" x14ac:dyDescent="0.3">
      <c r="A502" t="str">
        <f t="shared" si="121"/>
        <v>048314</v>
      </c>
      <c r="B502" t="str">
        <f t="shared" si="125"/>
        <v>004697</v>
      </c>
      <c r="C502" t="s">
        <v>3600</v>
      </c>
      <c r="D502" t="s">
        <v>3839</v>
      </c>
      <c r="E502" t="s">
        <v>3840</v>
      </c>
      <c r="F502" t="s">
        <v>3841</v>
      </c>
      <c r="G502" t="s">
        <v>3842</v>
      </c>
      <c r="H502" t="str">
        <f t="shared" si="123"/>
        <v>048314</v>
      </c>
      <c r="I502" t="s">
        <v>833</v>
      </c>
      <c r="J502" t="str">
        <f>"2015-07-01 00:00:00.0"</f>
        <v>2015-07-01 00:00:00.0</v>
      </c>
      <c r="K502" t="s">
        <v>834</v>
      </c>
      <c r="L502" t="s">
        <v>0</v>
      </c>
      <c r="M502" t="str">
        <f t="shared" si="120"/>
        <v>048314</v>
      </c>
      <c r="N502">
        <v>1</v>
      </c>
      <c r="O502">
        <v>1</v>
      </c>
      <c r="P502" t="str">
        <f>"04"</f>
        <v>04</v>
      </c>
      <c r="Q502" t="s">
        <v>835</v>
      </c>
      <c r="S502" t="s">
        <v>836</v>
      </c>
      <c r="T502" t="s">
        <v>836</v>
      </c>
      <c r="U502" t="str">
        <f t="shared" si="130"/>
        <v>2500-12-31 00:00:00.0</v>
      </c>
      <c r="V502" t="s">
        <v>837</v>
      </c>
      <c r="W502" t="str">
        <f t="shared" si="132"/>
        <v>048314-004697-**-**</v>
      </c>
      <c r="X502" t="s">
        <v>838</v>
      </c>
      <c r="Y502">
        <v>1206.25</v>
      </c>
      <c r="Z502">
        <v>1206.25</v>
      </c>
      <c r="AA502" t="str">
        <f t="shared" si="124"/>
        <v>06/08/2016</v>
      </c>
    </row>
    <row r="503" spans="1:27" x14ac:dyDescent="0.3">
      <c r="A503" t="str">
        <f t="shared" si="121"/>
        <v>048314</v>
      </c>
      <c r="B503" t="str">
        <f t="shared" si="125"/>
        <v>004697</v>
      </c>
      <c r="C503" t="s">
        <v>1012</v>
      </c>
      <c r="D503" t="s">
        <v>3839</v>
      </c>
      <c r="E503" t="s">
        <v>3840</v>
      </c>
      <c r="F503" t="s">
        <v>3841</v>
      </c>
      <c r="G503" t="s">
        <v>3842</v>
      </c>
      <c r="H503" t="str">
        <f t="shared" si="123"/>
        <v>048314</v>
      </c>
      <c r="I503" t="s">
        <v>833</v>
      </c>
      <c r="J503" t="str">
        <f>"2015-08-28 00:00:00.0"</f>
        <v>2015-08-28 00:00:00.0</v>
      </c>
      <c r="K503" t="s">
        <v>834</v>
      </c>
      <c r="L503" t="s">
        <v>0</v>
      </c>
      <c r="M503" t="str">
        <f t="shared" si="120"/>
        <v>048314</v>
      </c>
      <c r="N503">
        <v>1</v>
      </c>
      <c r="O503">
        <v>1</v>
      </c>
      <c r="P503" t="s">
        <v>764</v>
      </c>
      <c r="Q503" t="s">
        <v>835</v>
      </c>
      <c r="S503" t="s">
        <v>836</v>
      </c>
      <c r="T503" t="s">
        <v>836</v>
      </c>
      <c r="U503" t="str">
        <f t="shared" si="130"/>
        <v>2500-12-31 00:00:00.0</v>
      </c>
      <c r="V503" t="s">
        <v>837</v>
      </c>
      <c r="W503" t="str">
        <f t="shared" si="132"/>
        <v>048314-004697-**-**</v>
      </c>
      <c r="X503" t="s">
        <v>838</v>
      </c>
      <c r="Y503">
        <v>1206.25</v>
      </c>
      <c r="Z503">
        <v>1206.25</v>
      </c>
      <c r="AA503" t="str">
        <f t="shared" si="124"/>
        <v>06/08/2016</v>
      </c>
    </row>
    <row r="504" spans="1:27" x14ac:dyDescent="0.3">
      <c r="A504" t="str">
        <f t="shared" si="121"/>
        <v>048314</v>
      </c>
      <c r="B504" t="str">
        <f t="shared" si="125"/>
        <v>004697</v>
      </c>
      <c r="C504" t="s">
        <v>2964</v>
      </c>
      <c r="D504" t="s">
        <v>3839</v>
      </c>
      <c r="E504" t="s">
        <v>3840</v>
      </c>
      <c r="F504" t="s">
        <v>3841</v>
      </c>
      <c r="G504" t="s">
        <v>3842</v>
      </c>
      <c r="H504" t="str">
        <f t="shared" si="123"/>
        <v>048314</v>
      </c>
      <c r="I504" t="s">
        <v>833</v>
      </c>
      <c r="J504" t="str">
        <f>"2015-07-01 00:00:00.0"</f>
        <v>2015-07-01 00:00:00.0</v>
      </c>
      <c r="K504" t="s">
        <v>834</v>
      </c>
      <c r="L504" t="s">
        <v>0</v>
      </c>
      <c r="M504" t="str">
        <f t="shared" si="120"/>
        <v>048314</v>
      </c>
      <c r="N504">
        <v>1</v>
      </c>
      <c r="O504">
        <v>1</v>
      </c>
      <c r="P504" t="str">
        <f>"02"</f>
        <v>02</v>
      </c>
      <c r="Q504" t="s">
        <v>835</v>
      </c>
      <c r="S504" t="s">
        <v>836</v>
      </c>
      <c r="T504" t="s">
        <v>836</v>
      </c>
      <c r="U504" t="str">
        <f t="shared" si="130"/>
        <v>2500-12-31 00:00:00.0</v>
      </c>
      <c r="V504" t="s">
        <v>837</v>
      </c>
      <c r="W504" t="str">
        <f t="shared" si="132"/>
        <v>048314-004697-**-**</v>
      </c>
      <c r="X504" t="s">
        <v>838</v>
      </c>
      <c r="Y504">
        <v>1206.25</v>
      </c>
      <c r="Z504">
        <v>1206.25</v>
      </c>
      <c r="AA504" t="str">
        <f t="shared" si="124"/>
        <v>06/08/2016</v>
      </c>
    </row>
    <row r="505" spans="1:27" x14ac:dyDescent="0.3">
      <c r="A505" t="str">
        <f t="shared" si="121"/>
        <v>048314</v>
      </c>
      <c r="B505" t="str">
        <f t="shared" si="125"/>
        <v>004697</v>
      </c>
      <c r="C505" t="s">
        <v>3482</v>
      </c>
      <c r="D505" t="s">
        <v>3839</v>
      </c>
      <c r="E505" t="s">
        <v>3840</v>
      </c>
      <c r="F505" t="s">
        <v>3841</v>
      </c>
      <c r="G505" t="s">
        <v>3842</v>
      </c>
      <c r="H505" t="str">
        <f t="shared" si="123"/>
        <v>048314</v>
      </c>
      <c r="I505" t="s">
        <v>833</v>
      </c>
      <c r="J505" t="str">
        <f>"2015-07-01 00:00:00.0"</f>
        <v>2015-07-01 00:00:00.0</v>
      </c>
      <c r="K505" t="s">
        <v>834</v>
      </c>
      <c r="L505" t="s">
        <v>0</v>
      </c>
      <c r="M505" t="str">
        <f t="shared" si="120"/>
        <v>048314</v>
      </c>
      <c r="N505">
        <v>1</v>
      </c>
      <c r="O505">
        <v>1</v>
      </c>
      <c r="P505" t="str">
        <f>"03"</f>
        <v>03</v>
      </c>
      <c r="Q505" t="s">
        <v>835</v>
      </c>
      <c r="S505" t="s">
        <v>836</v>
      </c>
      <c r="T505" t="s">
        <v>836</v>
      </c>
      <c r="U505" t="str">
        <f t="shared" si="130"/>
        <v>2500-12-31 00:00:00.0</v>
      </c>
      <c r="V505" t="s">
        <v>837</v>
      </c>
      <c r="W505" t="str">
        <f t="shared" si="132"/>
        <v>048314-004697-**-**</v>
      </c>
      <c r="X505" t="s">
        <v>838</v>
      </c>
      <c r="Y505">
        <v>1206.25</v>
      </c>
      <c r="Z505">
        <v>1206.25</v>
      </c>
      <c r="AA505" t="str">
        <f t="shared" si="124"/>
        <v>06/08/2016</v>
      </c>
    </row>
    <row r="506" spans="1:27" x14ac:dyDescent="0.3">
      <c r="A506" t="str">
        <f t="shared" si="121"/>
        <v>048314</v>
      </c>
      <c r="B506" t="str">
        <f t="shared" si="125"/>
        <v>004697</v>
      </c>
      <c r="C506" t="s">
        <v>2918</v>
      </c>
      <c r="D506" t="s">
        <v>3839</v>
      </c>
      <c r="E506" t="s">
        <v>3840</v>
      </c>
      <c r="F506" t="s">
        <v>3841</v>
      </c>
      <c r="G506" t="s">
        <v>3842</v>
      </c>
      <c r="H506" t="str">
        <f t="shared" si="123"/>
        <v>048314</v>
      </c>
      <c r="I506" t="s">
        <v>833</v>
      </c>
      <c r="J506" t="str">
        <f>"2015-07-01 00:00:00.0"</f>
        <v>2015-07-01 00:00:00.0</v>
      </c>
      <c r="K506" t="s">
        <v>834</v>
      </c>
      <c r="L506" t="s">
        <v>0</v>
      </c>
      <c r="M506" t="str">
        <f t="shared" si="120"/>
        <v>048314</v>
      </c>
      <c r="N506">
        <v>1</v>
      </c>
      <c r="O506">
        <v>1</v>
      </c>
      <c r="P506" t="str">
        <f>"05"</f>
        <v>05</v>
      </c>
      <c r="Q506" t="s">
        <v>835</v>
      </c>
      <c r="S506" t="s">
        <v>836</v>
      </c>
      <c r="T506" t="s">
        <v>836</v>
      </c>
      <c r="U506" t="str">
        <f t="shared" si="130"/>
        <v>2500-12-31 00:00:00.0</v>
      </c>
      <c r="V506" t="s">
        <v>837</v>
      </c>
      <c r="W506" t="str">
        <f>"048314-070417-**-**"</f>
        <v>048314-070417-**-**</v>
      </c>
      <c r="X506" t="s">
        <v>838</v>
      </c>
      <c r="Y506">
        <v>1125</v>
      </c>
      <c r="Z506">
        <v>1125</v>
      </c>
      <c r="AA506" t="str">
        <f t="shared" si="124"/>
        <v>06/08/2016</v>
      </c>
    </row>
    <row r="507" spans="1:27" x14ac:dyDescent="0.3">
      <c r="A507" t="str">
        <f t="shared" si="121"/>
        <v>048314</v>
      </c>
      <c r="B507" t="str">
        <f t="shared" si="125"/>
        <v>004697</v>
      </c>
      <c r="C507" t="s">
        <v>3570</v>
      </c>
      <c r="D507" t="s">
        <v>3839</v>
      </c>
      <c r="E507" t="s">
        <v>3840</v>
      </c>
      <c r="F507" t="s">
        <v>3841</v>
      </c>
      <c r="G507" t="s">
        <v>3842</v>
      </c>
      <c r="H507" t="str">
        <f t="shared" si="123"/>
        <v>048314</v>
      </c>
      <c r="I507" t="s">
        <v>833</v>
      </c>
      <c r="J507" t="str">
        <f>"2015-07-01 00:00:00.0"</f>
        <v>2015-07-01 00:00:00.0</v>
      </c>
      <c r="K507" t="s">
        <v>834</v>
      </c>
      <c r="L507" t="s">
        <v>0</v>
      </c>
      <c r="M507" t="str">
        <f t="shared" si="120"/>
        <v>048314</v>
      </c>
      <c r="N507">
        <v>0.76683900000000005</v>
      </c>
      <c r="O507">
        <v>0.76683900000000005</v>
      </c>
      <c r="P507" t="str">
        <f>"03"</f>
        <v>03</v>
      </c>
      <c r="Q507" t="s">
        <v>835</v>
      </c>
      <c r="S507" t="s">
        <v>836</v>
      </c>
      <c r="T507" t="s">
        <v>836</v>
      </c>
      <c r="U507" t="str">
        <f>"2016-04-05 00:00:00.0"</f>
        <v>2016-04-05 00:00:00.0</v>
      </c>
      <c r="V507" t="s">
        <v>837</v>
      </c>
      <c r="W507" t="str">
        <f>"048314-004697-**-**"</f>
        <v>048314-004697-**-**</v>
      </c>
      <c r="X507" t="s">
        <v>838</v>
      </c>
      <c r="Y507">
        <v>925</v>
      </c>
      <c r="Z507">
        <v>1206.25</v>
      </c>
      <c r="AA507" t="str">
        <f t="shared" si="124"/>
        <v>06/08/2016</v>
      </c>
    </row>
    <row r="508" spans="1:27" x14ac:dyDescent="0.3">
      <c r="A508" t="str">
        <f t="shared" si="121"/>
        <v>048314</v>
      </c>
      <c r="B508" t="str">
        <f t="shared" si="125"/>
        <v>004697</v>
      </c>
      <c r="C508" t="s">
        <v>3570</v>
      </c>
      <c r="D508" t="s">
        <v>3839</v>
      </c>
      <c r="E508" t="s">
        <v>3840</v>
      </c>
      <c r="F508" t="s">
        <v>3841</v>
      </c>
      <c r="G508" t="s">
        <v>3842</v>
      </c>
      <c r="H508" t="str">
        <f t="shared" si="123"/>
        <v>048314</v>
      </c>
      <c r="I508" t="s">
        <v>833</v>
      </c>
      <c r="J508" t="str">
        <f>"2016-04-06 00:00:00.0"</f>
        <v>2016-04-06 00:00:00.0</v>
      </c>
      <c r="K508" t="s">
        <v>834</v>
      </c>
      <c r="L508" t="s">
        <v>0</v>
      </c>
      <c r="M508" t="str">
        <f t="shared" si="120"/>
        <v>048314</v>
      </c>
      <c r="N508">
        <v>0.23316100000000001</v>
      </c>
      <c r="O508">
        <v>0.23316100000000001</v>
      </c>
      <c r="P508" t="str">
        <f>"03"</f>
        <v>03</v>
      </c>
      <c r="Q508" t="str">
        <f>"10"</f>
        <v>10</v>
      </c>
      <c r="R508" t="str">
        <f>"2"</f>
        <v>2</v>
      </c>
      <c r="S508" t="s">
        <v>836</v>
      </c>
      <c r="T508" t="s">
        <v>836</v>
      </c>
      <c r="U508" t="str">
        <f t="shared" ref="U508:U531" si="133">"2500-12-31 00:00:00.0"</f>
        <v>2500-12-31 00:00:00.0</v>
      </c>
      <c r="V508" t="s">
        <v>837</v>
      </c>
      <c r="W508" t="str">
        <f>"048314-004697-**-**"</f>
        <v>048314-004697-**-**</v>
      </c>
      <c r="X508" t="s">
        <v>838</v>
      </c>
      <c r="Y508">
        <v>281.25</v>
      </c>
      <c r="Z508">
        <v>1206.25</v>
      </c>
      <c r="AA508" t="str">
        <f t="shared" si="124"/>
        <v>06/08/2016</v>
      </c>
    </row>
    <row r="509" spans="1:27" x14ac:dyDescent="0.3">
      <c r="A509" t="str">
        <f t="shared" si="121"/>
        <v>048314</v>
      </c>
      <c r="B509" t="str">
        <f t="shared" si="125"/>
        <v>004697</v>
      </c>
      <c r="C509" t="s">
        <v>3578</v>
      </c>
      <c r="D509" t="s">
        <v>3839</v>
      </c>
      <c r="E509" t="s">
        <v>3840</v>
      </c>
      <c r="F509" t="s">
        <v>3841</v>
      </c>
      <c r="G509" t="s">
        <v>3842</v>
      </c>
      <c r="H509" t="str">
        <f t="shared" si="123"/>
        <v>048314</v>
      </c>
      <c r="I509" t="s">
        <v>833</v>
      </c>
      <c r="J509" t="str">
        <f t="shared" ref="J509:J514" si="134">"2015-07-01 00:00:00.0"</f>
        <v>2015-07-01 00:00:00.0</v>
      </c>
      <c r="K509" t="s">
        <v>834</v>
      </c>
      <c r="L509" t="s">
        <v>0</v>
      </c>
      <c r="M509" t="str">
        <f t="shared" si="120"/>
        <v>048314</v>
      </c>
      <c r="N509">
        <v>1</v>
      </c>
      <c r="O509">
        <v>1</v>
      </c>
      <c r="P509" t="str">
        <f>"04"</f>
        <v>04</v>
      </c>
      <c r="Q509" t="s">
        <v>835</v>
      </c>
      <c r="S509" t="s">
        <v>836</v>
      </c>
      <c r="T509" t="s">
        <v>836</v>
      </c>
      <c r="U509" t="str">
        <f t="shared" si="133"/>
        <v>2500-12-31 00:00:00.0</v>
      </c>
      <c r="V509" t="s">
        <v>837</v>
      </c>
      <c r="W509" t="str">
        <f>"048314-004697-**-**"</f>
        <v>048314-004697-**-**</v>
      </c>
      <c r="X509" t="s">
        <v>838</v>
      </c>
      <c r="Y509">
        <v>1206.25</v>
      </c>
      <c r="Z509">
        <v>1206.25</v>
      </c>
      <c r="AA509" t="str">
        <f t="shared" si="124"/>
        <v>06/08/2016</v>
      </c>
    </row>
    <row r="510" spans="1:27" x14ac:dyDescent="0.3">
      <c r="A510" t="str">
        <f t="shared" si="121"/>
        <v>048314</v>
      </c>
      <c r="B510" t="str">
        <f t="shared" si="125"/>
        <v>004697</v>
      </c>
      <c r="C510" t="s">
        <v>3463</v>
      </c>
      <c r="D510" t="s">
        <v>3839</v>
      </c>
      <c r="E510" t="s">
        <v>3840</v>
      </c>
      <c r="F510" t="s">
        <v>3841</v>
      </c>
      <c r="G510" t="s">
        <v>3842</v>
      </c>
      <c r="H510" t="str">
        <f>"048280"</f>
        <v>048280</v>
      </c>
      <c r="I510" t="s">
        <v>833</v>
      </c>
      <c r="J510" t="str">
        <f t="shared" si="134"/>
        <v>2015-07-01 00:00:00.0</v>
      </c>
      <c r="K510" t="s">
        <v>834</v>
      </c>
      <c r="L510" t="s">
        <v>142</v>
      </c>
      <c r="M510" t="str">
        <f t="shared" ref="M510:M573" si="135">"048314"</f>
        <v>048314</v>
      </c>
      <c r="N510">
        <v>1</v>
      </c>
      <c r="O510">
        <v>1</v>
      </c>
      <c r="P510" t="s">
        <v>841</v>
      </c>
      <c r="Q510" t="str">
        <f>"16"</f>
        <v>16</v>
      </c>
      <c r="R510" t="str">
        <f>"2"</f>
        <v>2</v>
      </c>
      <c r="S510" t="s">
        <v>836</v>
      </c>
      <c r="T510" t="s">
        <v>836</v>
      </c>
      <c r="U510" t="str">
        <f t="shared" si="133"/>
        <v>2500-12-31 00:00:00.0</v>
      </c>
      <c r="V510" t="s">
        <v>837</v>
      </c>
      <c r="W510" t="str">
        <f>"048280-048280-PS-FP"</f>
        <v>048280-048280-PS-FP</v>
      </c>
      <c r="X510" t="s">
        <v>838</v>
      </c>
      <c r="Y510">
        <v>147</v>
      </c>
      <c r="Z510">
        <v>147</v>
      </c>
      <c r="AA510" t="str">
        <f>"06/15/2016"</f>
        <v>06/15/2016</v>
      </c>
    </row>
    <row r="511" spans="1:27" x14ac:dyDescent="0.3">
      <c r="A511" t="str">
        <f t="shared" si="121"/>
        <v>048314</v>
      </c>
      <c r="B511" t="str">
        <f t="shared" si="125"/>
        <v>004697</v>
      </c>
      <c r="C511" t="s">
        <v>3155</v>
      </c>
      <c r="D511" t="s">
        <v>3839</v>
      </c>
      <c r="E511" t="s">
        <v>3840</v>
      </c>
      <c r="F511" t="s">
        <v>3841</v>
      </c>
      <c r="G511" t="s">
        <v>3842</v>
      </c>
      <c r="H511" t="str">
        <f t="shared" ref="H511:H531" si="136">"048314"</f>
        <v>048314</v>
      </c>
      <c r="I511" t="s">
        <v>833</v>
      </c>
      <c r="J511" t="str">
        <f t="shared" si="134"/>
        <v>2015-07-01 00:00:00.0</v>
      </c>
      <c r="K511" t="s">
        <v>834</v>
      </c>
      <c r="L511" t="s">
        <v>0</v>
      </c>
      <c r="M511" t="str">
        <f t="shared" si="135"/>
        <v>048314</v>
      </c>
      <c r="N511">
        <v>1</v>
      </c>
      <c r="O511">
        <v>1</v>
      </c>
      <c r="P511" t="str">
        <f>"05"</f>
        <v>05</v>
      </c>
      <c r="Q511" t="s">
        <v>835</v>
      </c>
      <c r="S511" t="s">
        <v>836</v>
      </c>
      <c r="T511" t="s">
        <v>836</v>
      </c>
      <c r="U511" t="str">
        <f t="shared" si="133"/>
        <v>2500-12-31 00:00:00.0</v>
      </c>
      <c r="V511" t="s">
        <v>837</v>
      </c>
      <c r="W511" t="str">
        <f>"048314-070417-**-**"</f>
        <v>048314-070417-**-**</v>
      </c>
      <c r="X511" t="s">
        <v>838</v>
      </c>
      <c r="Y511">
        <v>1125</v>
      </c>
      <c r="Z511">
        <v>1125</v>
      </c>
      <c r="AA511" t="str">
        <f t="shared" ref="AA511:AA531" si="137">"06/08/2016"</f>
        <v>06/08/2016</v>
      </c>
    </row>
    <row r="512" spans="1:27" x14ac:dyDescent="0.3">
      <c r="A512" t="str">
        <f t="shared" si="121"/>
        <v>048314</v>
      </c>
      <c r="B512" t="str">
        <f t="shared" si="125"/>
        <v>004697</v>
      </c>
      <c r="C512" t="s">
        <v>2563</v>
      </c>
      <c r="D512" t="s">
        <v>3839</v>
      </c>
      <c r="E512" t="s">
        <v>3840</v>
      </c>
      <c r="F512" t="s">
        <v>3841</v>
      </c>
      <c r="G512" t="s">
        <v>3842</v>
      </c>
      <c r="H512" t="str">
        <f t="shared" si="136"/>
        <v>048314</v>
      </c>
      <c r="I512" t="s">
        <v>833</v>
      </c>
      <c r="J512" t="str">
        <f t="shared" si="134"/>
        <v>2015-07-01 00:00:00.0</v>
      </c>
      <c r="K512" t="s">
        <v>834</v>
      </c>
      <c r="L512" t="s">
        <v>0</v>
      </c>
      <c r="M512" t="str">
        <f t="shared" si="135"/>
        <v>048314</v>
      </c>
      <c r="N512">
        <v>1</v>
      </c>
      <c r="O512">
        <v>1</v>
      </c>
      <c r="P512" t="str">
        <f>"03"</f>
        <v>03</v>
      </c>
      <c r="Q512" t="s">
        <v>835</v>
      </c>
      <c r="S512" t="s">
        <v>836</v>
      </c>
      <c r="T512" t="s">
        <v>836</v>
      </c>
      <c r="U512" t="str">
        <f t="shared" si="133"/>
        <v>2500-12-31 00:00:00.0</v>
      </c>
      <c r="V512" t="s">
        <v>837</v>
      </c>
      <c r="W512" t="str">
        <f t="shared" ref="W512:W520" si="138">"048314-004697-**-**"</f>
        <v>048314-004697-**-**</v>
      </c>
      <c r="X512" t="s">
        <v>838</v>
      </c>
      <c r="Y512">
        <v>1206.25</v>
      </c>
      <c r="Z512">
        <v>1206.25</v>
      </c>
      <c r="AA512" t="str">
        <f t="shared" si="137"/>
        <v>06/08/2016</v>
      </c>
    </row>
    <row r="513" spans="1:27" x14ac:dyDescent="0.3">
      <c r="A513" t="str">
        <f t="shared" si="121"/>
        <v>048314</v>
      </c>
      <c r="B513" t="str">
        <f t="shared" si="125"/>
        <v>004697</v>
      </c>
      <c r="C513" t="s">
        <v>3586</v>
      </c>
      <c r="D513" t="s">
        <v>3839</v>
      </c>
      <c r="E513" t="s">
        <v>3840</v>
      </c>
      <c r="F513" t="s">
        <v>3841</v>
      </c>
      <c r="G513" t="s">
        <v>3842</v>
      </c>
      <c r="H513" t="str">
        <f t="shared" si="136"/>
        <v>048314</v>
      </c>
      <c r="I513" t="s">
        <v>833</v>
      </c>
      <c r="J513" t="str">
        <f t="shared" si="134"/>
        <v>2015-07-01 00:00:00.0</v>
      </c>
      <c r="K513" t="s">
        <v>834</v>
      </c>
      <c r="L513" t="s">
        <v>0</v>
      </c>
      <c r="M513" t="str">
        <f t="shared" si="135"/>
        <v>048314</v>
      </c>
      <c r="N513">
        <v>1</v>
      </c>
      <c r="O513">
        <v>1</v>
      </c>
      <c r="P513" t="str">
        <f>"03"</f>
        <v>03</v>
      </c>
      <c r="Q513" t="s">
        <v>835</v>
      </c>
      <c r="S513" t="s">
        <v>860</v>
      </c>
      <c r="T513" t="s">
        <v>836</v>
      </c>
      <c r="U513" t="str">
        <f t="shared" si="133"/>
        <v>2500-12-31 00:00:00.0</v>
      </c>
      <c r="V513" t="s">
        <v>837</v>
      </c>
      <c r="W513" t="str">
        <f t="shared" si="138"/>
        <v>048314-004697-**-**</v>
      </c>
      <c r="X513" t="s">
        <v>838</v>
      </c>
      <c r="Y513">
        <v>1206.25</v>
      </c>
      <c r="Z513">
        <v>1206.25</v>
      </c>
      <c r="AA513" t="str">
        <f t="shared" si="137"/>
        <v>06/08/2016</v>
      </c>
    </row>
    <row r="514" spans="1:27" x14ac:dyDescent="0.3">
      <c r="A514" t="str">
        <f t="shared" ref="A514:A577" si="139">"048314"</f>
        <v>048314</v>
      </c>
      <c r="B514" t="str">
        <f t="shared" si="125"/>
        <v>004697</v>
      </c>
      <c r="C514" t="s">
        <v>2919</v>
      </c>
      <c r="D514" t="s">
        <v>3839</v>
      </c>
      <c r="E514" t="s">
        <v>3840</v>
      </c>
      <c r="F514" t="s">
        <v>3841</v>
      </c>
      <c r="G514" t="s">
        <v>3842</v>
      </c>
      <c r="H514" t="str">
        <f t="shared" si="136"/>
        <v>048314</v>
      </c>
      <c r="I514" t="s">
        <v>833</v>
      </c>
      <c r="J514" t="str">
        <f t="shared" si="134"/>
        <v>2015-07-01 00:00:00.0</v>
      </c>
      <c r="K514" t="s">
        <v>834</v>
      </c>
      <c r="L514" t="s">
        <v>0</v>
      </c>
      <c r="M514" t="str">
        <f t="shared" si="135"/>
        <v>048314</v>
      </c>
      <c r="N514">
        <v>1</v>
      </c>
      <c r="O514">
        <v>1</v>
      </c>
      <c r="P514" t="str">
        <f>"04"</f>
        <v>04</v>
      </c>
      <c r="Q514" t="s">
        <v>835</v>
      </c>
      <c r="S514" t="s">
        <v>836</v>
      </c>
      <c r="T514" t="s">
        <v>836</v>
      </c>
      <c r="U514" t="str">
        <f t="shared" si="133"/>
        <v>2500-12-31 00:00:00.0</v>
      </c>
      <c r="V514" t="s">
        <v>837</v>
      </c>
      <c r="W514" t="str">
        <f t="shared" si="138"/>
        <v>048314-004697-**-**</v>
      </c>
      <c r="X514" t="s">
        <v>838</v>
      </c>
      <c r="Y514">
        <v>1206.25</v>
      </c>
      <c r="Z514">
        <v>1206.25</v>
      </c>
      <c r="AA514" t="str">
        <f t="shared" si="137"/>
        <v>06/08/2016</v>
      </c>
    </row>
    <row r="515" spans="1:27" x14ac:dyDescent="0.3">
      <c r="A515" t="str">
        <f t="shared" si="139"/>
        <v>048314</v>
      </c>
      <c r="B515" t="str">
        <f t="shared" si="125"/>
        <v>004697</v>
      </c>
      <c r="C515" t="s">
        <v>925</v>
      </c>
      <c r="D515" t="s">
        <v>3839</v>
      </c>
      <c r="E515" t="s">
        <v>3840</v>
      </c>
      <c r="F515" t="s">
        <v>3841</v>
      </c>
      <c r="G515" t="s">
        <v>3842</v>
      </c>
      <c r="H515" t="str">
        <f t="shared" si="136"/>
        <v>048314</v>
      </c>
      <c r="I515" t="s">
        <v>833</v>
      </c>
      <c r="J515" t="str">
        <f>"2015-08-01 00:00:00.0"</f>
        <v>2015-08-01 00:00:00.0</v>
      </c>
      <c r="K515" t="s">
        <v>834</v>
      </c>
      <c r="L515" t="s">
        <v>0</v>
      </c>
      <c r="M515" t="str">
        <f t="shared" si="135"/>
        <v>048314</v>
      </c>
      <c r="N515">
        <v>1</v>
      </c>
      <c r="O515">
        <v>1</v>
      </c>
      <c r="P515" t="s">
        <v>764</v>
      </c>
      <c r="Q515" t="s">
        <v>835</v>
      </c>
      <c r="S515" t="s">
        <v>836</v>
      </c>
      <c r="T515" t="s">
        <v>836</v>
      </c>
      <c r="U515" t="str">
        <f t="shared" si="133"/>
        <v>2500-12-31 00:00:00.0</v>
      </c>
      <c r="V515" t="s">
        <v>837</v>
      </c>
      <c r="W515" t="str">
        <f t="shared" si="138"/>
        <v>048314-004697-**-**</v>
      </c>
      <c r="X515" t="s">
        <v>838</v>
      </c>
      <c r="Y515">
        <v>1206.25</v>
      </c>
      <c r="Z515">
        <v>1206.25</v>
      </c>
      <c r="AA515" t="str">
        <f t="shared" si="137"/>
        <v>06/08/2016</v>
      </c>
    </row>
    <row r="516" spans="1:27" x14ac:dyDescent="0.3">
      <c r="A516" t="str">
        <f t="shared" si="139"/>
        <v>048314</v>
      </c>
      <c r="B516" t="str">
        <f t="shared" si="125"/>
        <v>004697</v>
      </c>
      <c r="C516" t="s">
        <v>3686</v>
      </c>
      <c r="D516" t="s">
        <v>3839</v>
      </c>
      <c r="E516" t="s">
        <v>3840</v>
      </c>
      <c r="F516" t="s">
        <v>3841</v>
      </c>
      <c r="G516" t="s">
        <v>3842</v>
      </c>
      <c r="H516" t="str">
        <f t="shared" si="136"/>
        <v>048314</v>
      </c>
      <c r="I516" t="s">
        <v>833</v>
      </c>
      <c r="J516" t="str">
        <f>"2015-08-01 00:00:00.0"</f>
        <v>2015-08-01 00:00:00.0</v>
      </c>
      <c r="K516" t="s">
        <v>834</v>
      </c>
      <c r="L516" t="s">
        <v>0</v>
      </c>
      <c r="M516" t="str">
        <f t="shared" si="135"/>
        <v>048314</v>
      </c>
      <c r="N516">
        <v>1</v>
      </c>
      <c r="O516">
        <v>1</v>
      </c>
      <c r="P516" t="s">
        <v>764</v>
      </c>
      <c r="Q516" t="s">
        <v>835</v>
      </c>
      <c r="S516" t="s">
        <v>836</v>
      </c>
      <c r="T516" t="s">
        <v>836</v>
      </c>
      <c r="U516" t="str">
        <f t="shared" si="133"/>
        <v>2500-12-31 00:00:00.0</v>
      </c>
      <c r="V516" t="s">
        <v>837</v>
      </c>
      <c r="W516" t="str">
        <f t="shared" si="138"/>
        <v>048314-004697-**-**</v>
      </c>
      <c r="X516" t="s">
        <v>838</v>
      </c>
      <c r="Y516">
        <v>1206.25</v>
      </c>
      <c r="Z516">
        <v>1206.25</v>
      </c>
      <c r="AA516" t="str">
        <f t="shared" si="137"/>
        <v>06/08/2016</v>
      </c>
    </row>
    <row r="517" spans="1:27" x14ac:dyDescent="0.3">
      <c r="A517" t="str">
        <f t="shared" si="139"/>
        <v>048314</v>
      </c>
      <c r="B517" t="str">
        <f t="shared" si="125"/>
        <v>004697</v>
      </c>
      <c r="C517" t="s">
        <v>884</v>
      </c>
      <c r="D517" t="s">
        <v>3839</v>
      </c>
      <c r="E517" t="s">
        <v>3840</v>
      </c>
      <c r="F517" t="s">
        <v>3841</v>
      </c>
      <c r="G517" t="s">
        <v>3842</v>
      </c>
      <c r="H517" t="str">
        <f t="shared" si="136"/>
        <v>048314</v>
      </c>
      <c r="I517" t="s">
        <v>833</v>
      </c>
      <c r="J517" t="str">
        <f>"2015-07-01 00:00:00.0"</f>
        <v>2015-07-01 00:00:00.0</v>
      </c>
      <c r="K517" t="s">
        <v>834</v>
      </c>
      <c r="L517" t="s">
        <v>0</v>
      </c>
      <c r="M517" t="str">
        <f t="shared" si="135"/>
        <v>048314</v>
      </c>
      <c r="N517">
        <v>1</v>
      </c>
      <c r="O517">
        <v>1</v>
      </c>
      <c r="P517" t="str">
        <f>"02"</f>
        <v>02</v>
      </c>
      <c r="Q517" t="s">
        <v>835</v>
      </c>
      <c r="S517" t="s">
        <v>836</v>
      </c>
      <c r="T517" t="s">
        <v>836</v>
      </c>
      <c r="U517" t="str">
        <f t="shared" si="133"/>
        <v>2500-12-31 00:00:00.0</v>
      </c>
      <c r="V517" t="s">
        <v>837</v>
      </c>
      <c r="W517" t="str">
        <f t="shared" si="138"/>
        <v>048314-004697-**-**</v>
      </c>
      <c r="X517" t="s">
        <v>838</v>
      </c>
      <c r="Y517">
        <v>1206.25</v>
      </c>
      <c r="Z517">
        <v>1206.25</v>
      </c>
      <c r="AA517" t="str">
        <f t="shared" si="137"/>
        <v>06/08/2016</v>
      </c>
    </row>
    <row r="518" spans="1:27" x14ac:dyDescent="0.3">
      <c r="A518" t="str">
        <f t="shared" si="139"/>
        <v>048314</v>
      </c>
      <c r="B518" t="str">
        <f t="shared" si="125"/>
        <v>004697</v>
      </c>
      <c r="C518" t="s">
        <v>3601</v>
      </c>
      <c r="D518" t="s">
        <v>3839</v>
      </c>
      <c r="E518" t="s">
        <v>3840</v>
      </c>
      <c r="F518" t="s">
        <v>3841</v>
      </c>
      <c r="G518" t="s">
        <v>3842</v>
      </c>
      <c r="H518" t="str">
        <f t="shared" si="136"/>
        <v>048314</v>
      </c>
      <c r="I518" t="s">
        <v>833</v>
      </c>
      <c r="J518" t="str">
        <f>"2015-07-01 00:00:00.0"</f>
        <v>2015-07-01 00:00:00.0</v>
      </c>
      <c r="K518" t="s">
        <v>834</v>
      </c>
      <c r="L518" t="s">
        <v>0</v>
      </c>
      <c r="M518" t="str">
        <f t="shared" si="135"/>
        <v>048314</v>
      </c>
      <c r="N518">
        <v>1</v>
      </c>
      <c r="O518">
        <v>1</v>
      </c>
      <c r="P518" t="str">
        <f>"03"</f>
        <v>03</v>
      </c>
      <c r="Q518" t="s">
        <v>835</v>
      </c>
      <c r="S518" t="s">
        <v>836</v>
      </c>
      <c r="T518" t="s">
        <v>836</v>
      </c>
      <c r="U518" t="str">
        <f t="shared" si="133"/>
        <v>2500-12-31 00:00:00.0</v>
      </c>
      <c r="V518" t="s">
        <v>837</v>
      </c>
      <c r="W518" t="str">
        <f t="shared" si="138"/>
        <v>048314-004697-**-**</v>
      </c>
      <c r="X518" t="s">
        <v>838</v>
      </c>
      <c r="Y518">
        <v>1206.25</v>
      </c>
      <c r="Z518">
        <v>1206.25</v>
      </c>
      <c r="AA518" t="str">
        <f t="shared" si="137"/>
        <v>06/08/2016</v>
      </c>
    </row>
    <row r="519" spans="1:27" x14ac:dyDescent="0.3">
      <c r="A519" t="str">
        <f t="shared" si="139"/>
        <v>048314</v>
      </c>
      <c r="B519" t="str">
        <f t="shared" si="125"/>
        <v>004697</v>
      </c>
      <c r="C519" t="s">
        <v>3187</v>
      </c>
      <c r="D519" t="s">
        <v>3839</v>
      </c>
      <c r="E519" t="s">
        <v>3840</v>
      </c>
      <c r="F519" t="s">
        <v>3841</v>
      </c>
      <c r="G519" t="s">
        <v>3842</v>
      </c>
      <c r="H519" t="str">
        <f t="shared" si="136"/>
        <v>048314</v>
      </c>
      <c r="I519" t="s">
        <v>833</v>
      </c>
      <c r="J519" t="str">
        <f>"2015-07-01 00:00:00.0"</f>
        <v>2015-07-01 00:00:00.0</v>
      </c>
      <c r="K519" t="s">
        <v>834</v>
      </c>
      <c r="L519" t="s">
        <v>0</v>
      </c>
      <c r="M519" t="str">
        <f t="shared" si="135"/>
        <v>048314</v>
      </c>
      <c r="N519">
        <v>1</v>
      </c>
      <c r="O519">
        <v>1</v>
      </c>
      <c r="P519" t="str">
        <f>"04"</f>
        <v>04</v>
      </c>
      <c r="Q519" t="s">
        <v>835</v>
      </c>
      <c r="S519" t="s">
        <v>836</v>
      </c>
      <c r="T519" t="s">
        <v>836</v>
      </c>
      <c r="U519" t="str">
        <f t="shared" si="133"/>
        <v>2500-12-31 00:00:00.0</v>
      </c>
      <c r="V519" t="s">
        <v>837</v>
      </c>
      <c r="W519" t="str">
        <f t="shared" si="138"/>
        <v>048314-004697-**-**</v>
      </c>
      <c r="X519" t="s">
        <v>838</v>
      </c>
      <c r="Y519">
        <v>1206.25</v>
      </c>
      <c r="Z519">
        <v>1206.25</v>
      </c>
      <c r="AA519" t="str">
        <f t="shared" si="137"/>
        <v>06/08/2016</v>
      </c>
    </row>
    <row r="520" spans="1:27" x14ac:dyDescent="0.3">
      <c r="A520" t="str">
        <f t="shared" si="139"/>
        <v>048314</v>
      </c>
      <c r="B520" t="str">
        <f t="shared" si="125"/>
        <v>004697</v>
      </c>
      <c r="C520" t="s">
        <v>2242</v>
      </c>
      <c r="D520" t="s">
        <v>3839</v>
      </c>
      <c r="E520" t="s">
        <v>3840</v>
      </c>
      <c r="F520" t="s">
        <v>3841</v>
      </c>
      <c r="G520" t="s">
        <v>3842</v>
      </c>
      <c r="H520" t="str">
        <f t="shared" si="136"/>
        <v>048314</v>
      </c>
      <c r="I520" t="s">
        <v>833</v>
      </c>
      <c r="J520" t="str">
        <f>"2015-08-01 00:00:00.0"</f>
        <v>2015-08-01 00:00:00.0</v>
      </c>
      <c r="K520" t="s">
        <v>834</v>
      </c>
      <c r="L520" t="s">
        <v>0</v>
      </c>
      <c r="M520" t="str">
        <f t="shared" si="135"/>
        <v>048314</v>
      </c>
      <c r="N520">
        <v>1</v>
      </c>
      <c r="O520">
        <v>1</v>
      </c>
      <c r="P520" t="s">
        <v>764</v>
      </c>
      <c r="Q520" t="s">
        <v>835</v>
      </c>
      <c r="S520" t="s">
        <v>836</v>
      </c>
      <c r="T520" t="s">
        <v>836</v>
      </c>
      <c r="U520" t="str">
        <f t="shared" si="133"/>
        <v>2500-12-31 00:00:00.0</v>
      </c>
      <c r="V520" t="s">
        <v>837</v>
      </c>
      <c r="W520" t="str">
        <f t="shared" si="138"/>
        <v>048314-004697-**-**</v>
      </c>
      <c r="X520" t="s">
        <v>838</v>
      </c>
      <c r="Y520">
        <v>1206.25</v>
      </c>
      <c r="Z520">
        <v>1206.25</v>
      </c>
      <c r="AA520" t="str">
        <f t="shared" si="137"/>
        <v>06/08/2016</v>
      </c>
    </row>
    <row r="521" spans="1:27" x14ac:dyDescent="0.3">
      <c r="A521" t="str">
        <f t="shared" si="139"/>
        <v>048314</v>
      </c>
      <c r="B521" t="str">
        <f t="shared" si="125"/>
        <v>004697</v>
      </c>
      <c r="C521" t="s">
        <v>3289</v>
      </c>
      <c r="D521" t="s">
        <v>3839</v>
      </c>
      <c r="E521" t="s">
        <v>3840</v>
      </c>
      <c r="F521" t="s">
        <v>3841</v>
      </c>
      <c r="G521" t="s">
        <v>3842</v>
      </c>
      <c r="H521" t="str">
        <f t="shared" si="136"/>
        <v>048314</v>
      </c>
      <c r="I521" t="s">
        <v>833</v>
      </c>
      <c r="J521" t="str">
        <f>"2015-07-01 00:00:00.0"</f>
        <v>2015-07-01 00:00:00.0</v>
      </c>
      <c r="K521" t="s">
        <v>834</v>
      </c>
      <c r="L521" t="s">
        <v>0</v>
      </c>
      <c r="M521" t="str">
        <f t="shared" si="135"/>
        <v>048314</v>
      </c>
      <c r="N521">
        <v>1</v>
      </c>
      <c r="O521">
        <v>1</v>
      </c>
      <c r="P521" t="str">
        <f>"05"</f>
        <v>05</v>
      </c>
      <c r="Q521" t="s">
        <v>835</v>
      </c>
      <c r="S521" t="s">
        <v>836</v>
      </c>
      <c r="T521" t="s">
        <v>836</v>
      </c>
      <c r="U521" t="str">
        <f t="shared" si="133"/>
        <v>2500-12-31 00:00:00.0</v>
      </c>
      <c r="V521" t="s">
        <v>837</v>
      </c>
      <c r="W521" t="str">
        <f>"048314-070417-**-**"</f>
        <v>048314-070417-**-**</v>
      </c>
      <c r="X521" t="s">
        <v>838</v>
      </c>
      <c r="Y521">
        <v>1125</v>
      </c>
      <c r="Z521">
        <v>1125</v>
      </c>
      <c r="AA521" t="str">
        <f t="shared" si="137"/>
        <v>06/08/2016</v>
      </c>
    </row>
    <row r="522" spans="1:27" x14ac:dyDescent="0.3">
      <c r="A522" t="str">
        <f t="shared" si="139"/>
        <v>048314</v>
      </c>
      <c r="B522" t="str">
        <f t="shared" si="125"/>
        <v>004697</v>
      </c>
      <c r="C522" t="s">
        <v>3734</v>
      </c>
      <c r="D522" t="s">
        <v>3839</v>
      </c>
      <c r="E522" t="s">
        <v>3840</v>
      </c>
      <c r="F522" t="s">
        <v>3841</v>
      </c>
      <c r="G522" t="s">
        <v>3842</v>
      </c>
      <c r="H522" t="str">
        <f t="shared" si="136"/>
        <v>048314</v>
      </c>
      <c r="I522" t="s">
        <v>833</v>
      </c>
      <c r="J522" t="str">
        <f>"2015-08-04 00:00:00.0"</f>
        <v>2015-08-04 00:00:00.0</v>
      </c>
      <c r="K522" t="s">
        <v>834</v>
      </c>
      <c r="L522" t="s">
        <v>0</v>
      </c>
      <c r="M522" t="str">
        <f t="shared" si="135"/>
        <v>048314</v>
      </c>
      <c r="N522">
        <v>1</v>
      </c>
      <c r="O522">
        <v>1</v>
      </c>
      <c r="P522" t="str">
        <f>"02"</f>
        <v>02</v>
      </c>
      <c r="Q522" t="str">
        <f>"05"</f>
        <v>05</v>
      </c>
      <c r="R522" t="str">
        <f>"1"</f>
        <v>1</v>
      </c>
      <c r="S522" t="s">
        <v>836</v>
      </c>
      <c r="T522" t="s">
        <v>836</v>
      </c>
      <c r="U522" t="str">
        <f t="shared" si="133"/>
        <v>2500-12-31 00:00:00.0</v>
      </c>
      <c r="V522" t="s">
        <v>837</v>
      </c>
      <c r="W522" t="str">
        <f>"048314-004697-**-**"</f>
        <v>048314-004697-**-**</v>
      </c>
      <c r="X522" t="s">
        <v>838</v>
      </c>
      <c r="Y522">
        <v>1206.25</v>
      </c>
      <c r="Z522">
        <v>1206.25</v>
      </c>
      <c r="AA522" t="str">
        <f t="shared" si="137"/>
        <v>06/08/2016</v>
      </c>
    </row>
    <row r="523" spans="1:27" x14ac:dyDescent="0.3">
      <c r="A523" t="str">
        <f t="shared" si="139"/>
        <v>048314</v>
      </c>
      <c r="B523" t="str">
        <f t="shared" si="125"/>
        <v>004697</v>
      </c>
      <c r="C523" t="s">
        <v>3387</v>
      </c>
      <c r="D523" t="s">
        <v>3839</v>
      </c>
      <c r="E523" t="s">
        <v>3840</v>
      </c>
      <c r="F523" t="s">
        <v>3841</v>
      </c>
      <c r="G523" t="s">
        <v>3842</v>
      </c>
      <c r="H523" t="str">
        <f t="shared" si="136"/>
        <v>048314</v>
      </c>
      <c r="I523" t="s">
        <v>833</v>
      </c>
      <c r="J523" t="str">
        <f>"2015-07-01 00:00:00.0"</f>
        <v>2015-07-01 00:00:00.0</v>
      </c>
      <c r="K523" t="s">
        <v>834</v>
      </c>
      <c r="L523" t="s">
        <v>0</v>
      </c>
      <c r="M523" t="str">
        <f t="shared" si="135"/>
        <v>048314</v>
      </c>
      <c r="N523">
        <v>1</v>
      </c>
      <c r="O523">
        <v>1</v>
      </c>
      <c r="P523" t="str">
        <f>"04"</f>
        <v>04</v>
      </c>
      <c r="Q523" t="s">
        <v>835</v>
      </c>
      <c r="S523" t="s">
        <v>836</v>
      </c>
      <c r="T523" t="s">
        <v>836</v>
      </c>
      <c r="U523" t="str">
        <f t="shared" si="133"/>
        <v>2500-12-31 00:00:00.0</v>
      </c>
      <c r="V523" t="s">
        <v>837</v>
      </c>
      <c r="W523" t="str">
        <f>"048314-004697-**-**"</f>
        <v>048314-004697-**-**</v>
      </c>
      <c r="X523" t="s">
        <v>838</v>
      </c>
      <c r="Y523">
        <v>1206.25</v>
      </c>
      <c r="Z523">
        <v>1206.25</v>
      </c>
      <c r="AA523" t="str">
        <f t="shared" si="137"/>
        <v>06/08/2016</v>
      </c>
    </row>
    <row r="524" spans="1:27" x14ac:dyDescent="0.3">
      <c r="A524" t="str">
        <f t="shared" si="139"/>
        <v>048314</v>
      </c>
      <c r="B524" t="str">
        <f t="shared" si="125"/>
        <v>004697</v>
      </c>
      <c r="C524" t="s">
        <v>2923</v>
      </c>
      <c r="D524" t="s">
        <v>3839</v>
      </c>
      <c r="E524" t="s">
        <v>3840</v>
      </c>
      <c r="F524" t="s">
        <v>3841</v>
      </c>
      <c r="G524" t="s">
        <v>3842</v>
      </c>
      <c r="H524" t="str">
        <f t="shared" si="136"/>
        <v>048314</v>
      </c>
      <c r="I524" t="s">
        <v>833</v>
      </c>
      <c r="J524" t="str">
        <f>"2015-07-01 00:00:00.0"</f>
        <v>2015-07-01 00:00:00.0</v>
      </c>
      <c r="K524" t="s">
        <v>834</v>
      </c>
      <c r="L524" t="s">
        <v>0</v>
      </c>
      <c r="M524" t="str">
        <f t="shared" si="135"/>
        <v>048314</v>
      </c>
      <c r="N524">
        <v>1</v>
      </c>
      <c r="O524">
        <v>1</v>
      </c>
      <c r="P524" t="str">
        <f>"05"</f>
        <v>05</v>
      </c>
      <c r="Q524" t="s">
        <v>835</v>
      </c>
      <c r="S524" t="s">
        <v>836</v>
      </c>
      <c r="T524" t="s">
        <v>836</v>
      </c>
      <c r="U524" t="str">
        <f t="shared" si="133"/>
        <v>2500-12-31 00:00:00.0</v>
      </c>
      <c r="V524" t="s">
        <v>837</v>
      </c>
      <c r="W524" t="str">
        <f>"048314-070417-**-**"</f>
        <v>048314-070417-**-**</v>
      </c>
      <c r="X524" t="s">
        <v>838</v>
      </c>
      <c r="Y524">
        <v>1125</v>
      </c>
      <c r="Z524">
        <v>1125</v>
      </c>
      <c r="AA524" t="str">
        <f t="shared" si="137"/>
        <v>06/08/2016</v>
      </c>
    </row>
    <row r="525" spans="1:27" x14ac:dyDescent="0.3">
      <c r="A525" t="str">
        <f t="shared" si="139"/>
        <v>048314</v>
      </c>
      <c r="B525" t="str">
        <f t="shared" si="125"/>
        <v>004697</v>
      </c>
      <c r="C525" t="s">
        <v>3448</v>
      </c>
      <c r="D525" t="s">
        <v>3839</v>
      </c>
      <c r="E525" t="s">
        <v>3840</v>
      </c>
      <c r="F525" t="s">
        <v>3841</v>
      </c>
      <c r="G525" t="s">
        <v>3842</v>
      </c>
      <c r="H525" t="str">
        <f t="shared" si="136"/>
        <v>048314</v>
      </c>
      <c r="I525" t="s">
        <v>833</v>
      </c>
      <c r="J525" t="str">
        <f>"2015-07-01 00:00:00.0"</f>
        <v>2015-07-01 00:00:00.0</v>
      </c>
      <c r="K525" t="s">
        <v>834</v>
      </c>
      <c r="L525" t="s">
        <v>0</v>
      </c>
      <c r="M525" t="str">
        <f t="shared" si="135"/>
        <v>048314</v>
      </c>
      <c r="N525">
        <v>1</v>
      </c>
      <c r="O525">
        <v>1</v>
      </c>
      <c r="P525" t="str">
        <f>"01"</f>
        <v>01</v>
      </c>
      <c r="Q525" t="s">
        <v>835</v>
      </c>
      <c r="S525" t="s">
        <v>836</v>
      </c>
      <c r="T525" t="s">
        <v>836</v>
      </c>
      <c r="U525" t="str">
        <f t="shared" si="133"/>
        <v>2500-12-31 00:00:00.0</v>
      </c>
      <c r="V525" t="s">
        <v>837</v>
      </c>
      <c r="W525" t="str">
        <f>"048314-004697-**-**"</f>
        <v>048314-004697-**-**</v>
      </c>
      <c r="X525" t="s">
        <v>838</v>
      </c>
      <c r="Y525">
        <v>1206.25</v>
      </c>
      <c r="Z525">
        <v>1206.25</v>
      </c>
      <c r="AA525" t="str">
        <f t="shared" si="137"/>
        <v>06/08/2016</v>
      </c>
    </row>
    <row r="526" spans="1:27" x14ac:dyDescent="0.3">
      <c r="A526" t="str">
        <f t="shared" si="139"/>
        <v>048314</v>
      </c>
      <c r="B526" t="str">
        <f t="shared" si="125"/>
        <v>004697</v>
      </c>
      <c r="C526" t="s">
        <v>880</v>
      </c>
      <c r="D526" t="s">
        <v>3839</v>
      </c>
      <c r="E526" t="s">
        <v>3840</v>
      </c>
      <c r="F526" t="s">
        <v>3841</v>
      </c>
      <c r="G526" t="s">
        <v>3842</v>
      </c>
      <c r="H526" t="str">
        <f t="shared" si="136"/>
        <v>048314</v>
      </c>
      <c r="I526" t="s">
        <v>833</v>
      </c>
      <c r="J526" t="str">
        <f>"2015-08-01 00:00:00.0"</f>
        <v>2015-08-01 00:00:00.0</v>
      </c>
      <c r="K526" t="s">
        <v>834</v>
      </c>
      <c r="L526" t="s">
        <v>0</v>
      </c>
      <c r="M526" t="str">
        <f t="shared" si="135"/>
        <v>048314</v>
      </c>
      <c r="N526">
        <v>1</v>
      </c>
      <c r="O526">
        <v>1</v>
      </c>
      <c r="P526" t="s">
        <v>764</v>
      </c>
      <c r="Q526" t="s">
        <v>835</v>
      </c>
      <c r="S526" t="s">
        <v>836</v>
      </c>
      <c r="T526" t="s">
        <v>836</v>
      </c>
      <c r="U526" t="str">
        <f t="shared" si="133"/>
        <v>2500-12-31 00:00:00.0</v>
      </c>
      <c r="V526" t="s">
        <v>837</v>
      </c>
      <c r="W526" t="str">
        <f>"048314-004697-**-**"</f>
        <v>048314-004697-**-**</v>
      </c>
      <c r="X526" t="s">
        <v>838</v>
      </c>
      <c r="Y526">
        <v>1206.25</v>
      </c>
      <c r="Z526">
        <v>1206.25</v>
      </c>
      <c r="AA526" t="str">
        <f t="shared" si="137"/>
        <v>06/08/2016</v>
      </c>
    </row>
    <row r="527" spans="1:27" x14ac:dyDescent="0.3">
      <c r="A527" t="str">
        <f t="shared" si="139"/>
        <v>048314</v>
      </c>
      <c r="B527" t="str">
        <f t="shared" si="125"/>
        <v>004697</v>
      </c>
      <c r="C527" t="s">
        <v>2925</v>
      </c>
      <c r="D527" t="s">
        <v>3839</v>
      </c>
      <c r="E527" t="s">
        <v>3840</v>
      </c>
      <c r="F527" t="s">
        <v>3841</v>
      </c>
      <c r="G527" t="s">
        <v>3842</v>
      </c>
      <c r="H527" t="str">
        <f t="shared" si="136"/>
        <v>048314</v>
      </c>
      <c r="I527" t="s">
        <v>833</v>
      </c>
      <c r="J527" t="str">
        <f>"2015-07-01 00:00:00.0"</f>
        <v>2015-07-01 00:00:00.0</v>
      </c>
      <c r="K527" t="s">
        <v>834</v>
      </c>
      <c r="L527" t="s">
        <v>0</v>
      </c>
      <c r="M527" t="str">
        <f t="shared" si="135"/>
        <v>048314</v>
      </c>
      <c r="N527">
        <v>1</v>
      </c>
      <c r="O527">
        <v>1</v>
      </c>
      <c r="P527" t="str">
        <f>"05"</f>
        <v>05</v>
      </c>
      <c r="Q527" t="s">
        <v>835</v>
      </c>
      <c r="S527" t="s">
        <v>836</v>
      </c>
      <c r="T527" t="s">
        <v>836</v>
      </c>
      <c r="U527" t="str">
        <f t="shared" si="133"/>
        <v>2500-12-31 00:00:00.0</v>
      </c>
      <c r="V527" t="s">
        <v>837</v>
      </c>
      <c r="W527" t="str">
        <f>"048314-070417-**-**"</f>
        <v>048314-070417-**-**</v>
      </c>
      <c r="X527" t="s">
        <v>838</v>
      </c>
      <c r="Y527">
        <v>1125</v>
      </c>
      <c r="Z527">
        <v>1125</v>
      </c>
      <c r="AA527" t="str">
        <f t="shared" si="137"/>
        <v>06/08/2016</v>
      </c>
    </row>
    <row r="528" spans="1:27" x14ac:dyDescent="0.3">
      <c r="A528" t="str">
        <f t="shared" si="139"/>
        <v>048314</v>
      </c>
      <c r="B528" t="str">
        <f t="shared" si="125"/>
        <v>004697</v>
      </c>
      <c r="C528" t="s">
        <v>848</v>
      </c>
      <c r="D528" t="s">
        <v>3839</v>
      </c>
      <c r="E528" t="s">
        <v>3840</v>
      </c>
      <c r="F528" t="s">
        <v>3841</v>
      </c>
      <c r="G528" t="s">
        <v>3842</v>
      </c>
      <c r="H528" t="str">
        <f t="shared" si="136"/>
        <v>048314</v>
      </c>
      <c r="I528" t="s">
        <v>833</v>
      </c>
      <c r="J528" t="str">
        <f>"2015-07-01 00:00:00.0"</f>
        <v>2015-07-01 00:00:00.0</v>
      </c>
      <c r="K528" t="s">
        <v>834</v>
      </c>
      <c r="L528" t="s">
        <v>0</v>
      </c>
      <c r="M528" t="str">
        <f t="shared" si="135"/>
        <v>048314</v>
      </c>
      <c r="N528">
        <v>1</v>
      </c>
      <c r="O528">
        <v>1</v>
      </c>
      <c r="P528" t="str">
        <f>"01"</f>
        <v>01</v>
      </c>
      <c r="Q528" t="s">
        <v>835</v>
      </c>
      <c r="S528" t="s">
        <v>836</v>
      </c>
      <c r="T528" t="s">
        <v>836</v>
      </c>
      <c r="U528" t="str">
        <f t="shared" si="133"/>
        <v>2500-12-31 00:00:00.0</v>
      </c>
      <c r="V528" t="s">
        <v>837</v>
      </c>
      <c r="W528" t="str">
        <f>"048314-004697-**-**"</f>
        <v>048314-004697-**-**</v>
      </c>
      <c r="X528" t="s">
        <v>838</v>
      </c>
      <c r="Y528">
        <v>1206.25</v>
      </c>
      <c r="Z528">
        <v>1206.25</v>
      </c>
      <c r="AA528" t="str">
        <f t="shared" si="137"/>
        <v>06/08/2016</v>
      </c>
    </row>
    <row r="529" spans="1:27" x14ac:dyDescent="0.3">
      <c r="A529" t="str">
        <f t="shared" si="139"/>
        <v>048314</v>
      </c>
      <c r="B529" t="str">
        <f t="shared" si="125"/>
        <v>004697</v>
      </c>
      <c r="C529" t="s">
        <v>3013</v>
      </c>
      <c r="D529" t="s">
        <v>3839</v>
      </c>
      <c r="E529" t="s">
        <v>3840</v>
      </c>
      <c r="F529" t="s">
        <v>3841</v>
      </c>
      <c r="G529" t="s">
        <v>3842</v>
      </c>
      <c r="H529" t="str">
        <f t="shared" si="136"/>
        <v>048314</v>
      </c>
      <c r="I529" t="s">
        <v>833</v>
      </c>
      <c r="J529" t="str">
        <f>"2015-08-01 00:00:00.0"</f>
        <v>2015-08-01 00:00:00.0</v>
      </c>
      <c r="K529" t="s">
        <v>834</v>
      </c>
      <c r="L529" t="s">
        <v>0</v>
      </c>
      <c r="M529" t="str">
        <f t="shared" si="135"/>
        <v>048314</v>
      </c>
      <c r="N529">
        <v>1</v>
      </c>
      <c r="O529">
        <v>1</v>
      </c>
      <c r="P529" t="str">
        <f>"01"</f>
        <v>01</v>
      </c>
      <c r="Q529" t="s">
        <v>835</v>
      </c>
      <c r="S529" t="s">
        <v>836</v>
      </c>
      <c r="T529" t="s">
        <v>836</v>
      </c>
      <c r="U529" t="str">
        <f t="shared" si="133"/>
        <v>2500-12-31 00:00:00.0</v>
      </c>
      <c r="V529" t="s">
        <v>837</v>
      </c>
      <c r="W529" t="str">
        <f>"048314-004697-**-**"</f>
        <v>048314-004697-**-**</v>
      </c>
      <c r="X529" t="s">
        <v>838</v>
      </c>
      <c r="Y529">
        <v>1206.25</v>
      </c>
      <c r="Z529">
        <v>1206.25</v>
      </c>
      <c r="AA529" t="str">
        <f t="shared" si="137"/>
        <v>06/08/2016</v>
      </c>
    </row>
    <row r="530" spans="1:27" x14ac:dyDescent="0.3">
      <c r="A530" t="str">
        <f t="shared" si="139"/>
        <v>048314</v>
      </c>
      <c r="B530" t="str">
        <f t="shared" si="125"/>
        <v>004697</v>
      </c>
      <c r="C530" t="s">
        <v>954</v>
      </c>
      <c r="D530" t="s">
        <v>3839</v>
      </c>
      <c r="E530" t="s">
        <v>3840</v>
      </c>
      <c r="F530" t="s">
        <v>3841</v>
      </c>
      <c r="G530" t="s">
        <v>3842</v>
      </c>
      <c r="H530" t="str">
        <f t="shared" si="136"/>
        <v>048314</v>
      </c>
      <c r="I530" t="s">
        <v>833</v>
      </c>
      <c r="J530" t="str">
        <f>"2015-08-01 00:00:00.0"</f>
        <v>2015-08-01 00:00:00.0</v>
      </c>
      <c r="K530" t="s">
        <v>834</v>
      </c>
      <c r="L530" t="s">
        <v>0</v>
      </c>
      <c r="M530" t="str">
        <f t="shared" si="135"/>
        <v>048314</v>
      </c>
      <c r="N530">
        <v>1</v>
      </c>
      <c r="O530">
        <v>1</v>
      </c>
      <c r="P530" t="s">
        <v>764</v>
      </c>
      <c r="Q530" t="s">
        <v>835</v>
      </c>
      <c r="S530" t="s">
        <v>836</v>
      </c>
      <c r="T530" t="s">
        <v>836</v>
      </c>
      <c r="U530" t="str">
        <f t="shared" si="133"/>
        <v>2500-12-31 00:00:00.0</v>
      </c>
      <c r="V530" t="s">
        <v>837</v>
      </c>
      <c r="W530" t="str">
        <f>"048314-004697-**-**"</f>
        <v>048314-004697-**-**</v>
      </c>
      <c r="X530" t="s">
        <v>838</v>
      </c>
      <c r="Y530">
        <v>1206.25</v>
      </c>
      <c r="Z530">
        <v>1206.25</v>
      </c>
      <c r="AA530" t="str">
        <f t="shared" si="137"/>
        <v>06/08/2016</v>
      </c>
    </row>
    <row r="531" spans="1:27" x14ac:dyDescent="0.3">
      <c r="A531" t="str">
        <f t="shared" si="139"/>
        <v>048314</v>
      </c>
      <c r="B531" t="str">
        <f t="shared" si="125"/>
        <v>004697</v>
      </c>
      <c r="C531" t="s">
        <v>3683</v>
      </c>
      <c r="D531" t="s">
        <v>3839</v>
      </c>
      <c r="E531" t="s">
        <v>3840</v>
      </c>
      <c r="F531" t="s">
        <v>3841</v>
      </c>
      <c r="G531" t="s">
        <v>3842</v>
      </c>
      <c r="H531" t="str">
        <f t="shared" si="136"/>
        <v>048314</v>
      </c>
      <c r="I531" t="s">
        <v>833</v>
      </c>
      <c r="J531" t="str">
        <f>"2015-07-01 00:00:00.0"</f>
        <v>2015-07-01 00:00:00.0</v>
      </c>
      <c r="K531" t="s">
        <v>834</v>
      </c>
      <c r="L531" t="s">
        <v>0</v>
      </c>
      <c r="M531" t="str">
        <f t="shared" si="135"/>
        <v>048314</v>
      </c>
      <c r="N531">
        <v>1</v>
      </c>
      <c r="O531">
        <v>1</v>
      </c>
      <c r="P531" t="str">
        <f>"01"</f>
        <v>01</v>
      </c>
      <c r="Q531" t="s">
        <v>835</v>
      </c>
      <c r="S531" t="s">
        <v>860</v>
      </c>
      <c r="T531" t="s">
        <v>836</v>
      </c>
      <c r="U531" t="str">
        <f t="shared" si="133"/>
        <v>2500-12-31 00:00:00.0</v>
      </c>
      <c r="V531" t="s">
        <v>837</v>
      </c>
      <c r="W531" t="str">
        <f>"048314-004697-**-**"</f>
        <v>048314-004697-**-**</v>
      </c>
      <c r="X531" t="s">
        <v>838</v>
      </c>
      <c r="Y531">
        <v>1206.25</v>
      </c>
      <c r="Z531">
        <v>1206.25</v>
      </c>
      <c r="AA531" t="str">
        <f t="shared" si="137"/>
        <v>06/08/2016</v>
      </c>
    </row>
    <row r="532" spans="1:27" x14ac:dyDescent="0.3">
      <c r="A532" t="str">
        <f t="shared" si="139"/>
        <v>048314</v>
      </c>
      <c r="B532" t="str">
        <f t="shared" ref="B532:B595" si="140">"004697"</f>
        <v>004697</v>
      </c>
      <c r="C532" t="s">
        <v>878</v>
      </c>
      <c r="D532" t="s">
        <v>3839</v>
      </c>
      <c r="E532" t="s">
        <v>3840</v>
      </c>
      <c r="F532" t="s">
        <v>3841</v>
      </c>
      <c r="G532" t="s">
        <v>3842</v>
      </c>
      <c r="H532" t="str">
        <f>"048298"</f>
        <v>048298</v>
      </c>
      <c r="I532" t="s">
        <v>833</v>
      </c>
      <c r="J532" t="str">
        <f>"2015-08-24 00:00:00.0"</f>
        <v>2015-08-24 00:00:00.0</v>
      </c>
      <c r="K532" t="s">
        <v>834</v>
      </c>
      <c r="L532" t="s">
        <v>1</v>
      </c>
      <c r="M532" t="str">
        <f t="shared" si="135"/>
        <v>048314</v>
      </c>
      <c r="N532">
        <v>0.53072600000000003</v>
      </c>
      <c r="O532">
        <v>0.53072600000000003</v>
      </c>
      <c r="P532" t="s">
        <v>764</v>
      </c>
      <c r="Q532" t="s">
        <v>835</v>
      </c>
      <c r="S532" t="s">
        <v>860</v>
      </c>
      <c r="T532" t="s">
        <v>836</v>
      </c>
      <c r="U532" t="str">
        <f>"2016-01-20 00:00:00.0"</f>
        <v>2016-01-20 00:00:00.0</v>
      </c>
      <c r="V532" t="s">
        <v>837</v>
      </c>
      <c r="W532" t="str">
        <f>"048298-039867-**-**"</f>
        <v>048298-039867-**-**</v>
      </c>
      <c r="X532" t="s">
        <v>838</v>
      </c>
      <c r="Y532">
        <v>617.5</v>
      </c>
      <c r="Z532">
        <v>1163.5</v>
      </c>
      <c r="AA532" t="str">
        <f>"06/15/2016"</f>
        <v>06/15/2016</v>
      </c>
    </row>
    <row r="533" spans="1:27" x14ac:dyDescent="0.3">
      <c r="A533" t="str">
        <f t="shared" si="139"/>
        <v>048314</v>
      </c>
      <c r="B533" t="str">
        <f t="shared" si="140"/>
        <v>004697</v>
      </c>
      <c r="C533" t="s">
        <v>878</v>
      </c>
      <c r="D533" t="s">
        <v>3839</v>
      </c>
      <c r="E533" t="s">
        <v>3840</v>
      </c>
      <c r="F533" t="s">
        <v>3841</v>
      </c>
      <c r="G533" t="s">
        <v>3842</v>
      </c>
      <c r="H533" t="str">
        <f>"048298"</f>
        <v>048298</v>
      </c>
      <c r="I533" t="s">
        <v>833</v>
      </c>
      <c r="J533" t="str">
        <f>"2016-01-21 00:00:00.0"</f>
        <v>2016-01-21 00:00:00.0</v>
      </c>
      <c r="K533" t="s">
        <v>834</v>
      </c>
      <c r="L533" t="s">
        <v>1</v>
      </c>
      <c r="M533" t="str">
        <f t="shared" si="135"/>
        <v>048314</v>
      </c>
      <c r="N533">
        <v>0.46927400000000002</v>
      </c>
      <c r="O533">
        <v>0.46927400000000002</v>
      </c>
      <c r="P533" t="s">
        <v>764</v>
      </c>
      <c r="Q533" t="s">
        <v>835</v>
      </c>
      <c r="S533" t="s">
        <v>860</v>
      </c>
      <c r="T533" t="s">
        <v>836</v>
      </c>
      <c r="U533" t="str">
        <f t="shared" ref="U533:U547" si="141">"2500-12-31 00:00:00.0"</f>
        <v>2500-12-31 00:00:00.0</v>
      </c>
      <c r="V533" t="s">
        <v>837</v>
      </c>
      <c r="W533" t="str">
        <f>"048298-039867-**-**"</f>
        <v>048298-039867-**-**</v>
      </c>
      <c r="X533" t="s">
        <v>838</v>
      </c>
      <c r="Y533">
        <v>546</v>
      </c>
      <c r="Z533">
        <v>1163.5</v>
      </c>
      <c r="AA533" t="str">
        <f>"06/15/2016"</f>
        <v>06/15/2016</v>
      </c>
    </row>
    <row r="534" spans="1:27" x14ac:dyDescent="0.3">
      <c r="A534" t="str">
        <f t="shared" si="139"/>
        <v>048314</v>
      </c>
      <c r="B534" t="str">
        <f t="shared" si="140"/>
        <v>004697</v>
      </c>
      <c r="C534" t="s">
        <v>3014</v>
      </c>
      <c r="D534" t="s">
        <v>3839</v>
      </c>
      <c r="E534" t="s">
        <v>3840</v>
      </c>
      <c r="F534" t="s">
        <v>3841</v>
      </c>
      <c r="G534" t="s">
        <v>3842</v>
      </c>
      <c r="H534" t="str">
        <f t="shared" ref="H534:H591" si="142">"048314"</f>
        <v>048314</v>
      </c>
      <c r="I534" t="s">
        <v>833</v>
      </c>
      <c r="J534" t="str">
        <f t="shared" ref="J534:J548" si="143">"2015-07-01 00:00:00.0"</f>
        <v>2015-07-01 00:00:00.0</v>
      </c>
      <c r="K534" t="s">
        <v>834</v>
      </c>
      <c r="L534" t="s">
        <v>0</v>
      </c>
      <c r="M534" t="str">
        <f t="shared" si="135"/>
        <v>048314</v>
      </c>
      <c r="N534">
        <v>1</v>
      </c>
      <c r="O534">
        <v>1</v>
      </c>
      <c r="P534" t="str">
        <f>"01"</f>
        <v>01</v>
      </c>
      <c r="Q534" t="str">
        <f>"05"</f>
        <v>05</v>
      </c>
      <c r="R534" t="str">
        <f>"1"</f>
        <v>1</v>
      </c>
      <c r="S534" t="s">
        <v>836</v>
      </c>
      <c r="T534" t="s">
        <v>836</v>
      </c>
      <c r="U534" t="str">
        <f t="shared" si="141"/>
        <v>2500-12-31 00:00:00.0</v>
      </c>
      <c r="V534" t="s">
        <v>837</v>
      </c>
      <c r="W534" t="str">
        <f>"048314-004697-**-**"</f>
        <v>048314-004697-**-**</v>
      </c>
      <c r="X534" t="s">
        <v>838</v>
      </c>
      <c r="Y534">
        <v>1206.25</v>
      </c>
      <c r="Z534">
        <v>1206.25</v>
      </c>
      <c r="AA534" t="str">
        <f t="shared" ref="AA534:AA591" si="144">"06/08/2016"</f>
        <v>06/08/2016</v>
      </c>
    </row>
    <row r="535" spans="1:27" x14ac:dyDescent="0.3">
      <c r="A535" t="str">
        <f t="shared" si="139"/>
        <v>048314</v>
      </c>
      <c r="B535" t="str">
        <f t="shared" si="140"/>
        <v>004697</v>
      </c>
      <c r="C535" t="s">
        <v>2930</v>
      </c>
      <c r="D535" t="s">
        <v>3839</v>
      </c>
      <c r="E535" t="s">
        <v>3840</v>
      </c>
      <c r="F535" t="s">
        <v>3841</v>
      </c>
      <c r="G535" t="s">
        <v>3842</v>
      </c>
      <c r="H535" t="str">
        <f t="shared" si="142"/>
        <v>048314</v>
      </c>
      <c r="I535" t="s">
        <v>833</v>
      </c>
      <c r="J535" t="str">
        <f t="shared" si="143"/>
        <v>2015-07-01 00:00:00.0</v>
      </c>
      <c r="K535" t="s">
        <v>834</v>
      </c>
      <c r="L535" t="s">
        <v>0</v>
      </c>
      <c r="M535" t="str">
        <f t="shared" si="135"/>
        <v>048314</v>
      </c>
      <c r="N535">
        <v>1</v>
      </c>
      <c r="O535">
        <v>1</v>
      </c>
      <c r="P535" t="str">
        <f>"05"</f>
        <v>05</v>
      </c>
      <c r="Q535" t="s">
        <v>835</v>
      </c>
      <c r="S535" t="s">
        <v>836</v>
      </c>
      <c r="T535" t="s">
        <v>836</v>
      </c>
      <c r="U535" t="str">
        <f t="shared" si="141"/>
        <v>2500-12-31 00:00:00.0</v>
      </c>
      <c r="V535" t="s">
        <v>837</v>
      </c>
      <c r="W535" t="str">
        <f>"048314-070417-**-**"</f>
        <v>048314-070417-**-**</v>
      </c>
      <c r="X535" t="s">
        <v>838</v>
      </c>
      <c r="Y535">
        <v>1125</v>
      </c>
      <c r="Z535">
        <v>1125</v>
      </c>
      <c r="AA535" t="str">
        <f t="shared" si="144"/>
        <v>06/08/2016</v>
      </c>
    </row>
    <row r="536" spans="1:27" x14ac:dyDescent="0.3">
      <c r="A536" t="str">
        <f t="shared" si="139"/>
        <v>048314</v>
      </c>
      <c r="B536" t="str">
        <f t="shared" si="140"/>
        <v>004697</v>
      </c>
      <c r="C536" t="s">
        <v>1534</v>
      </c>
      <c r="D536" t="s">
        <v>3839</v>
      </c>
      <c r="E536" t="s">
        <v>3840</v>
      </c>
      <c r="F536" t="s">
        <v>3841</v>
      </c>
      <c r="G536" t="s">
        <v>3842</v>
      </c>
      <c r="H536" t="str">
        <f t="shared" si="142"/>
        <v>048314</v>
      </c>
      <c r="I536" t="s">
        <v>833</v>
      </c>
      <c r="J536" t="str">
        <f t="shared" si="143"/>
        <v>2015-07-01 00:00:00.0</v>
      </c>
      <c r="K536" t="s">
        <v>834</v>
      </c>
      <c r="L536" t="s">
        <v>0</v>
      </c>
      <c r="M536" t="str">
        <f t="shared" si="135"/>
        <v>048314</v>
      </c>
      <c r="N536">
        <v>1</v>
      </c>
      <c r="O536">
        <v>1</v>
      </c>
      <c r="P536" t="str">
        <f>"02"</f>
        <v>02</v>
      </c>
      <c r="Q536" t="s">
        <v>835</v>
      </c>
      <c r="S536" t="s">
        <v>836</v>
      </c>
      <c r="T536" t="s">
        <v>836</v>
      </c>
      <c r="U536" t="str">
        <f t="shared" si="141"/>
        <v>2500-12-31 00:00:00.0</v>
      </c>
      <c r="V536" t="s">
        <v>837</v>
      </c>
      <c r="W536" t="str">
        <f>"048314-004697-**-**"</f>
        <v>048314-004697-**-**</v>
      </c>
      <c r="X536" t="s">
        <v>838</v>
      </c>
      <c r="Y536">
        <v>1206.25</v>
      </c>
      <c r="Z536">
        <v>1206.25</v>
      </c>
      <c r="AA536" t="str">
        <f t="shared" si="144"/>
        <v>06/08/2016</v>
      </c>
    </row>
    <row r="537" spans="1:27" x14ac:dyDescent="0.3">
      <c r="A537" t="str">
        <f t="shared" si="139"/>
        <v>048314</v>
      </c>
      <c r="B537" t="str">
        <f t="shared" si="140"/>
        <v>004697</v>
      </c>
      <c r="C537" t="s">
        <v>3285</v>
      </c>
      <c r="D537" t="s">
        <v>3839</v>
      </c>
      <c r="E537" t="s">
        <v>3840</v>
      </c>
      <c r="F537" t="s">
        <v>3841</v>
      </c>
      <c r="G537" t="s">
        <v>3842</v>
      </c>
      <c r="H537" t="str">
        <f t="shared" si="142"/>
        <v>048314</v>
      </c>
      <c r="I537" t="s">
        <v>833</v>
      </c>
      <c r="J537" t="str">
        <f t="shared" si="143"/>
        <v>2015-07-01 00:00:00.0</v>
      </c>
      <c r="K537" t="s">
        <v>834</v>
      </c>
      <c r="L537" t="s">
        <v>0</v>
      </c>
      <c r="M537" t="str">
        <f t="shared" si="135"/>
        <v>048314</v>
      </c>
      <c r="N537">
        <v>1</v>
      </c>
      <c r="O537">
        <v>1</v>
      </c>
      <c r="P537" t="str">
        <f>"05"</f>
        <v>05</v>
      </c>
      <c r="Q537" t="s">
        <v>835</v>
      </c>
      <c r="S537" t="s">
        <v>836</v>
      </c>
      <c r="T537" t="s">
        <v>836</v>
      </c>
      <c r="U537" t="str">
        <f t="shared" si="141"/>
        <v>2500-12-31 00:00:00.0</v>
      </c>
      <c r="V537" t="s">
        <v>837</v>
      </c>
      <c r="W537" t="str">
        <f>"048314-070417-**-**"</f>
        <v>048314-070417-**-**</v>
      </c>
      <c r="X537" t="s">
        <v>838</v>
      </c>
      <c r="Y537">
        <v>1125</v>
      </c>
      <c r="Z537">
        <v>1125</v>
      </c>
      <c r="AA537" t="str">
        <f t="shared" si="144"/>
        <v>06/08/2016</v>
      </c>
    </row>
    <row r="538" spans="1:27" x14ac:dyDescent="0.3">
      <c r="A538" t="str">
        <f t="shared" si="139"/>
        <v>048314</v>
      </c>
      <c r="B538" t="str">
        <f t="shared" si="140"/>
        <v>004697</v>
      </c>
      <c r="C538" t="s">
        <v>956</v>
      </c>
      <c r="D538" t="s">
        <v>3839</v>
      </c>
      <c r="E538" t="s">
        <v>3840</v>
      </c>
      <c r="F538" t="s">
        <v>3841</v>
      </c>
      <c r="G538" t="s">
        <v>3842</v>
      </c>
      <c r="H538" t="str">
        <f t="shared" si="142"/>
        <v>048314</v>
      </c>
      <c r="I538" t="s">
        <v>833</v>
      </c>
      <c r="J538" t="str">
        <f t="shared" si="143"/>
        <v>2015-07-01 00:00:00.0</v>
      </c>
      <c r="K538" t="s">
        <v>834</v>
      </c>
      <c r="L538" t="s">
        <v>0</v>
      </c>
      <c r="M538" t="str">
        <f t="shared" si="135"/>
        <v>048314</v>
      </c>
      <c r="N538">
        <v>1</v>
      </c>
      <c r="O538">
        <v>1</v>
      </c>
      <c r="P538" t="str">
        <f>"03"</f>
        <v>03</v>
      </c>
      <c r="Q538" t="s">
        <v>835</v>
      </c>
      <c r="S538" t="s">
        <v>836</v>
      </c>
      <c r="T538" t="s">
        <v>836</v>
      </c>
      <c r="U538" t="str">
        <f t="shared" si="141"/>
        <v>2500-12-31 00:00:00.0</v>
      </c>
      <c r="V538" t="s">
        <v>837</v>
      </c>
      <c r="W538" t="str">
        <f>"048314-004697-**-**"</f>
        <v>048314-004697-**-**</v>
      </c>
      <c r="X538" t="s">
        <v>838</v>
      </c>
      <c r="Y538">
        <v>1206.25</v>
      </c>
      <c r="Z538">
        <v>1206.25</v>
      </c>
      <c r="AA538" t="str">
        <f t="shared" si="144"/>
        <v>06/08/2016</v>
      </c>
    </row>
    <row r="539" spans="1:27" x14ac:dyDescent="0.3">
      <c r="A539" t="str">
        <f t="shared" si="139"/>
        <v>048314</v>
      </c>
      <c r="B539" t="str">
        <f t="shared" si="140"/>
        <v>004697</v>
      </c>
      <c r="C539" t="s">
        <v>2931</v>
      </c>
      <c r="D539" t="s">
        <v>3839</v>
      </c>
      <c r="E539" t="s">
        <v>3840</v>
      </c>
      <c r="F539" t="s">
        <v>3841</v>
      </c>
      <c r="G539" t="s">
        <v>3842</v>
      </c>
      <c r="H539" t="str">
        <f t="shared" si="142"/>
        <v>048314</v>
      </c>
      <c r="I539" t="s">
        <v>833</v>
      </c>
      <c r="J539" t="str">
        <f t="shared" si="143"/>
        <v>2015-07-01 00:00:00.0</v>
      </c>
      <c r="K539" t="s">
        <v>834</v>
      </c>
      <c r="L539" t="s">
        <v>0</v>
      </c>
      <c r="M539" t="str">
        <f t="shared" si="135"/>
        <v>048314</v>
      </c>
      <c r="N539">
        <v>1</v>
      </c>
      <c r="O539">
        <v>1</v>
      </c>
      <c r="P539" t="str">
        <f>"05"</f>
        <v>05</v>
      </c>
      <c r="Q539" t="s">
        <v>835</v>
      </c>
      <c r="S539" t="s">
        <v>836</v>
      </c>
      <c r="T539" t="s">
        <v>836</v>
      </c>
      <c r="U539" t="str">
        <f t="shared" si="141"/>
        <v>2500-12-31 00:00:00.0</v>
      </c>
      <c r="V539" t="s">
        <v>837</v>
      </c>
      <c r="W539" t="str">
        <f>"048314-070417-**-**"</f>
        <v>048314-070417-**-**</v>
      </c>
      <c r="X539" t="s">
        <v>838</v>
      </c>
      <c r="Y539">
        <v>1125</v>
      </c>
      <c r="Z539">
        <v>1125</v>
      </c>
      <c r="AA539" t="str">
        <f t="shared" si="144"/>
        <v>06/08/2016</v>
      </c>
    </row>
    <row r="540" spans="1:27" x14ac:dyDescent="0.3">
      <c r="A540" t="str">
        <f t="shared" si="139"/>
        <v>048314</v>
      </c>
      <c r="B540" t="str">
        <f t="shared" si="140"/>
        <v>004697</v>
      </c>
      <c r="C540" t="s">
        <v>2580</v>
      </c>
      <c r="D540" t="s">
        <v>3839</v>
      </c>
      <c r="E540" t="s">
        <v>3840</v>
      </c>
      <c r="F540" t="s">
        <v>3841</v>
      </c>
      <c r="G540" t="s">
        <v>3842</v>
      </c>
      <c r="H540" t="str">
        <f t="shared" si="142"/>
        <v>048314</v>
      </c>
      <c r="I540" t="s">
        <v>833</v>
      </c>
      <c r="J540" t="str">
        <f t="shared" si="143"/>
        <v>2015-07-01 00:00:00.0</v>
      </c>
      <c r="K540" t="s">
        <v>834</v>
      </c>
      <c r="L540" t="s">
        <v>0</v>
      </c>
      <c r="M540" t="str">
        <f t="shared" si="135"/>
        <v>048314</v>
      </c>
      <c r="N540">
        <v>1</v>
      </c>
      <c r="O540">
        <v>1</v>
      </c>
      <c r="P540" t="str">
        <f>"03"</f>
        <v>03</v>
      </c>
      <c r="Q540" t="str">
        <f>"05"</f>
        <v>05</v>
      </c>
      <c r="R540" t="str">
        <f>"1"</f>
        <v>1</v>
      </c>
      <c r="S540" t="s">
        <v>836</v>
      </c>
      <c r="T540" t="s">
        <v>836</v>
      </c>
      <c r="U540" t="str">
        <f t="shared" si="141"/>
        <v>2500-12-31 00:00:00.0</v>
      </c>
      <c r="V540" t="s">
        <v>837</v>
      </c>
      <c r="W540" t="str">
        <f t="shared" ref="W540:W546" si="145">"048314-004697-**-**"</f>
        <v>048314-004697-**-**</v>
      </c>
      <c r="X540" t="s">
        <v>838</v>
      </c>
      <c r="Y540">
        <v>1206.25</v>
      </c>
      <c r="Z540">
        <v>1206.25</v>
      </c>
      <c r="AA540" t="str">
        <f t="shared" si="144"/>
        <v>06/08/2016</v>
      </c>
    </row>
    <row r="541" spans="1:27" x14ac:dyDescent="0.3">
      <c r="A541" t="str">
        <f t="shared" si="139"/>
        <v>048314</v>
      </c>
      <c r="B541" t="str">
        <f t="shared" si="140"/>
        <v>004697</v>
      </c>
      <c r="C541" t="s">
        <v>932</v>
      </c>
      <c r="D541" t="s">
        <v>3839</v>
      </c>
      <c r="E541" t="s">
        <v>3840</v>
      </c>
      <c r="F541" t="s">
        <v>3841</v>
      </c>
      <c r="G541" t="s">
        <v>3842</v>
      </c>
      <c r="H541" t="str">
        <f t="shared" si="142"/>
        <v>048314</v>
      </c>
      <c r="I541" t="s">
        <v>833</v>
      </c>
      <c r="J541" t="str">
        <f t="shared" si="143"/>
        <v>2015-07-01 00:00:00.0</v>
      </c>
      <c r="K541" t="s">
        <v>834</v>
      </c>
      <c r="L541" t="s">
        <v>0</v>
      </c>
      <c r="M541" t="str">
        <f t="shared" si="135"/>
        <v>048314</v>
      </c>
      <c r="N541">
        <v>1</v>
      </c>
      <c r="O541">
        <v>1</v>
      </c>
      <c r="P541" t="str">
        <f>"03"</f>
        <v>03</v>
      </c>
      <c r="Q541" t="s">
        <v>835</v>
      </c>
      <c r="S541" t="s">
        <v>860</v>
      </c>
      <c r="T541" t="s">
        <v>836</v>
      </c>
      <c r="U541" t="str">
        <f t="shared" si="141"/>
        <v>2500-12-31 00:00:00.0</v>
      </c>
      <c r="V541" t="s">
        <v>837</v>
      </c>
      <c r="W541" t="str">
        <f t="shared" si="145"/>
        <v>048314-004697-**-**</v>
      </c>
      <c r="X541" t="s">
        <v>838</v>
      </c>
      <c r="Y541">
        <v>1206.25</v>
      </c>
      <c r="Z541">
        <v>1206.25</v>
      </c>
      <c r="AA541" t="str">
        <f t="shared" si="144"/>
        <v>06/08/2016</v>
      </c>
    </row>
    <row r="542" spans="1:27" x14ac:dyDescent="0.3">
      <c r="A542" t="str">
        <f t="shared" si="139"/>
        <v>048314</v>
      </c>
      <c r="B542" t="str">
        <f t="shared" si="140"/>
        <v>004697</v>
      </c>
      <c r="C542" t="s">
        <v>3301</v>
      </c>
      <c r="D542" t="s">
        <v>3839</v>
      </c>
      <c r="E542" t="s">
        <v>3840</v>
      </c>
      <c r="F542" t="s">
        <v>3841</v>
      </c>
      <c r="G542" t="s">
        <v>3842</v>
      </c>
      <c r="H542" t="str">
        <f t="shared" si="142"/>
        <v>048314</v>
      </c>
      <c r="I542" t="s">
        <v>833</v>
      </c>
      <c r="J542" t="str">
        <f t="shared" si="143"/>
        <v>2015-07-01 00:00:00.0</v>
      </c>
      <c r="K542" t="s">
        <v>834</v>
      </c>
      <c r="L542" t="s">
        <v>0</v>
      </c>
      <c r="M542" t="str">
        <f t="shared" si="135"/>
        <v>048314</v>
      </c>
      <c r="N542">
        <v>1</v>
      </c>
      <c r="O542">
        <v>1</v>
      </c>
      <c r="P542" t="str">
        <f>"04"</f>
        <v>04</v>
      </c>
      <c r="Q542" t="s">
        <v>835</v>
      </c>
      <c r="S542" t="s">
        <v>836</v>
      </c>
      <c r="T542" t="s">
        <v>836</v>
      </c>
      <c r="U542" t="str">
        <f t="shared" si="141"/>
        <v>2500-12-31 00:00:00.0</v>
      </c>
      <c r="V542" t="s">
        <v>837</v>
      </c>
      <c r="W542" t="str">
        <f t="shared" si="145"/>
        <v>048314-004697-**-**</v>
      </c>
      <c r="X542" t="s">
        <v>838</v>
      </c>
      <c r="Y542">
        <v>1206.25</v>
      </c>
      <c r="Z542">
        <v>1206.25</v>
      </c>
      <c r="AA542" t="str">
        <f t="shared" si="144"/>
        <v>06/08/2016</v>
      </c>
    </row>
    <row r="543" spans="1:27" x14ac:dyDescent="0.3">
      <c r="A543" t="str">
        <f t="shared" si="139"/>
        <v>048314</v>
      </c>
      <c r="B543" t="str">
        <f t="shared" si="140"/>
        <v>004697</v>
      </c>
      <c r="C543" t="s">
        <v>3349</v>
      </c>
      <c r="D543" t="s">
        <v>3839</v>
      </c>
      <c r="E543" t="s">
        <v>3840</v>
      </c>
      <c r="F543" t="s">
        <v>3841</v>
      </c>
      <c r="G543" t="s">
        <v>3842</v>
      </c>
      <c r="H543" t="str">
        <f t="shared" si="142"/>
        <v>048314</v>
      </c>
      <c r="I543" t="s">
        <v>833</v>
      </c>
      <c r="J543" t="str">
        <f t="shared" si="143"/>
        <v>2015-07-01 00:00:00.0</v>
      </c>
      <c r="K543" t="s">
        <v>834</v>
      </c>
      <c r="L543" t="s">
        <v>0</v>
      </c>
      <c r="M543" t="str">
        <f t="shared" si="135"/>
        <v>048314</v>
      </c>
      <c r="N543">
        <v>1</v>
      </c>
      <c r="O543">
        <v>1</v>
      </c>
      <c r="P543" t="str">
        <f>"04"</f>
        <v>04</v>
      </c>
      <c r="Q543" t="s">
        <v>835</v>
      </c>
      <c r="S543" t="s">
        <v>836</v>
      </c>
      <c r="T543" t="s">
        <v>836</v>
      </c>
      <c r="U543" t="str">
        <f t="shared" si="141"/>
        <v>2500-12-31 00:00:00.0</v>
      </c>
      <c r="V543" t="s">
        <v>837</v>
      </c>
      <c r="W543" t="str">
        <f t="shared" si="145"/>
        <v>048314-004697-**-**</v>
      </c>
      <c r="X543" t="s">
        <v>838</v>
      </c>
      <c r="Y543">
        <v>1206.25</v>
      </c>
      <c r="Z543">
        <v>1206.25</v>
      </c>
      <c r="AA543" t="str">
        <f t="shared" si="144"/>
        <v>06/08/2016</v>
      </c>
    </row>
    <row r="544" spans="1:27" x14ac:dyDescent="0.3">
      <c r="A544" t="str">
        <f t="shared" si="139"/>
        <v>048314</v>
      </c>
      <c r="B544" t="str">
        <f t="shared" si="140"/>
        <v>004697</v>
      </c>
      <c r="C544" t="s">
        <v>3620</v>
      </c>
      <c r="D544" t="s">
        <v>3839</v>
      </c>
      <c r="E544" t="s">
        <v>3840</v>
      </c>
      <c r="F544" t="s">
        <v>3841</v>
      </c>
      <c r="G544" t="s">
        <v>3842</v>
      </c>
      <c r="H544" t="str">
        <f t="shared" si="142"/>
        <v>048314</v>
      </c>
      <c r="I544" t="s">
        <v>833</v>
      </c>
      <c r="J544" t="str">
        <f t="shared" si="143"/>
        <v>2015-07-01 00:00:00.0</v>
      </c>
      <c r="K544" t="s">
        <v>834</v>
      </c>
      <c r="L544" t="s">
        <v>0</v>
      </c>
      <c r="M544" t="str">
        <f t="shared" si="135"/>
        <v>048314</v>
      </c>
      <c r="N544">
        <v>1</v>
      </c>
      <c r="O544">
        <v>1</v>
      </c>
      <c r="P544" t="str">
        <f>"04"</f>
        <v>04</v>
      </c>
      <c r="Q544" t="s">
        <v>835</v>
      </c>
      <c r="S544" t="s">
        <v>836</v>
      </c>
      <c r="T544" t="s">
        <v>836</v>
      </c>
      <c r="U544" t="str">
        <f t="shared" si="141"/>
        <v>2500-12-31 00:00:00.0</v>
      </c>
      <c r="V544" t="s">
        <v>837</v>
      </c>
      <c r="W544" t="str">
        <f t="shared" si="145"/>
        <v>048314-004697-**-**</v>
      </c>
      <c r="X544" t="s">
        <v>838</v>
      </c>
      <c r="Y544">
        <v>1206.25</v>
      </c>
      <c r="Z544">
        <v>1206.25</v>
      </c>
      <c r="AA544" t="str">
        <f t="shared" si="144"/>
        <v>06/08/2016</v>
      </c>
    </row>
    <row r="545" spans="1:27" x14ac:dyDescent="0.3">
      <c r="A545" t="str">
        <f t="shared" si="139"/>
        <v>048314</v>
      </c>
      <c r="B545" t="str">
        <f t="shared" si="140"/>
        <v>004697</v>
      </c>
      <c r="C545" t="s">
        <v>3230</v>
      </c>
      <c r="D545" t="s">
        <v>3839</v>
      </c>
      <c r="E545" t="s">
        <v>3840</v>
      </c>
      <c r="F545" t="s">
        <v>3841</v>
      </c>
      <c r="G545" t="s">
        <v>3842</v>
      </c>
      <c r="H545" t="str">
        <f t="shared" si="142"/>
        <v>048314</v>
      </c>
      <c r="I545" t="s">
        <v>833</v>
      </c>
      <c r="J545" t="str">
        <f t="shared" si="143"/>
        <v>2015-07-01 00:00:00.0</v>
      </c>
      <c r="K545" t="s">
        <v>834</v>
      </c>
      <c r="L545" t="s">
        <v>0</v>
      </c>
      <c r="M545" t="str">
        <f t="shared" si="135"/>
        <v>048314</v>
      </c>
      <c r="N545">
        <v>1</v>
      </c>
      <c r="O545">
        <v>1</v>
      </c>
      <c r="P545" t="str">
        <f>"02"</f>
        <v>02</v>
      </c>
      <c r="Q545" t="s">
        <v>835</v>
      </c>
      <c r="S545" t="s">
        <v>836</v>
      </c>
      <c r="T545" t="s">
        <v>836</v>
      </c>
      <c r="U545" t="str">
        <f t="shared" si="141"/>
        <v>2500-12-31 00:00:00.0</v>
      </c>
      <c r="V545" t="s">
        <v>837</v>
      </c>
      <c r="W545" t="str">
        <f t="shared" si="145"/>
        <v>048314-004697-**-**</v>
      </c>
      <c r="X545" t="s">
        <v>838</v>
      </c>
      <c r="Y545">
        <v>1206.25</v>
      </c>
      <c r="Z545">
        <v>1206.25</v>
      </c>
      <c r="AA545" t="str">
        <f t="shared" si="144"/>
        <v>06/08/2016</v>
      </c>
    </row>
    <row r="546" spans="1:27" x14ac:dyDescent="0.3">
      <c r="A546" t="str">
        <f t="shared" si="139"/>
        <v>048314</v>
      </c>
      <c r="B546" t="str">
        <f t="shared" si="140"/>
        <v>004697</v>
      </c>
      <c r="C546" t="s">
        <v>2319</v>
      </c>
      <c r="D546" t="s">
        <v>3839</v>
      </c>
      <c r="E546" t="s">
        <v>3840</v>
      </c>
      <c r="F546" t="s">
        <v>3841</v>
      </c>
      <c r="G546" t="s">
        <v>3842</v>
      </c>
      <c r="H546" t="str">
        <f t="shared" si="142"/>
        <v>048314</v>
      </c>
      <c r="I546" t="s">
        <v>833</v>
      </c>
      <c r="J546" t="str">
        <f t="shared" si="143"/>
        <v>2015-07-01 00:00:00.0</v>
      </c>
      <c r="K546" t="s">
        <v>834</v>
      </c>
      <c r="L546" t="s">
        <v>0</v>
      </c>
      <c r="M546" t="str">
        <f t="shared" si="135"/>
        <v>048314</v>
      </c>
      <c r="N546">
        <v>1</v>
      </c>
      <c r="O546">
        <v>1</v>
      </c>
      <c r="P546" t="str">
        <f>"01"</f>
        <v>01</v>
      </c>
      <c r="Q546" t="s">
        <v>835</v>
      </c>
      <c r="S546" t="s">
        <v>836</v>
      </c>
      <c r="T546" t="s">
        <v>836</v>
      </c>
      <c r="U546" t="str">
        <f t="shared" si="141"/>
        <v>2500-12-31 00:00:00.0</v>
      </c>
      <c r="V546" t="s">
        <v>837</v>
      </c>
      <c r="W546" t="str">
        <f t="shared" si="145"/>
        <v>048314-004697-**-**</v>
      </c>
      <c r="X546" t="s">
        <v>838</v>
      </c>
      <c r="Y546">
        <v>1206.25</v>
      </c>
      <c r="Z546">
        <v>1206.25</v>
      </c>
      <c r="AA546" t="str">
        <f t="shared" si="144"/>
        <v>06/08/2016</v>
      </c>
    </row>
    <row r="547" spans="1:27" x14ac:dyDescent="0.3">
      <c r="A547" t="str">
        <f t="shared" si="139"/>
        <v>048314</v>
      </c>
      <c r="B547" t="str">
        <f t="shared" si="140"/>
        <v>004697</v>
      </c>
      <c r="C547" t="s">
        <v>2934</v>
      </c>
      <c r="D547" t="s">
        <v>3839</v>
      </c>
      <c r="E547" t="s">
        <v>3840</v>
      </c>
      <c r="F547" t="s">
        <v>3841</v>
      </c>
      <c r="G547" t="s">
        <v>3842</v>
      </c>
      <c r="H547" t="str">
        <f t="shared" si="142"/>
        <v>048314</v>
      </c>
      <c r="I547" t="s">
        <v>833</v>
      </c>
      <c r="J547" t="str">
        <f t="shared" si="143"/>
        <v>2015-07-01 00:00:00.0</v>
      </c>
      <c r="K547" t="s">
        <v>834</v>
      </c>
      <c r="L547" t="s">
        <v>0</v>
      </c>
      <c r="M547" t="str">
        <f t="shared" si="135"/>
        <v>048314</v>
      </c>
      <c r="N547">
        <v>1</v>
      </c>
      <c r="O547">
        <v>1</v>
      </c>
      <c r="P547" t="str">
        <f>"05"</f>
        <v>05</v>
      </c>
      <c r="Q547" t="s">
        <v>835</v>
      </c>
      <c r="S547" t="s">
        <v>836</v>
      </c>
      <c r="T547" t="s">
        <v>836</v>
      </c>
      <c r="U547" t="str">
        <f t="shared" si="141"/>
        <v>2500-12-31 00:00:00.0</v>
      </c>
      <c r="V547" t="s">
        <v>837</v>
      </c>
      <c r="W547" t="str">
        <f>"048314-070417-**-**"</f>
        <v>048314-070417-**-**</v>
      </c>
      <c r="X547" t="s">
        <v>838</v>
      </c>
      <c r="Y547">
        <v>1125</v>
      </c>
      <c r="Z547">
        <v>1125</v>
      </c>
      <c r="AA547" t="str">
        <f t="shared" si="144"/>
        <v>06/08/2016</v>
      </c>
    </row>
    <row r="548" spans="1:27" x14ac:dyDescent="0.3">
      <c r="A548" t="str">
        <f t="shared" si="139"/>
        <v>048314</v>
      </c>
      <c r="B548" t="str">
        <f t="shared" si="140"/>
        <v>004697</v>
      </c>
      <c r="C548" t="s">
        <v>2320</v>
      </c>
      <c r="D548" t="s">
        <v>3839</v>
      </c>
      <c r="E548" t="s">
        <v>3840</v>
      </c>
      <c r="F548" t="s">
        <v>3841</v>
      </c>
      <c r="G548" t="s">
        <v>3842</v>
      </c>
      <c r="H548" t="str">
        <f t="shared" si="142"/>
        <v>048314</v>
      </c>
      <c r="I548" t="s">
        <v>833</v>
      </c>
      <c r="J548" t="str">
        <f t="shared" si="143"/>
        <v>2015-07-01 00:00:00.0</v>
      </c>
      <c r="K548" t="s">
        <v>834</v>
      </c>
      <c r="L548" t="s">
        <v>0</v>
      </c>
      <c r="M548" t="str">
        <f t="shared" si="135"/>
        <v>048314</v>
      </c>
      <c r="N548">
        <v>0.81347199999999997</v>
      </c>
      <c r="O548">
        <v>0.81347199999999997</v>
      </c>
      <c r="P548" t="str">
        <f>"01"</f>
        <v>01</v>
      </c>
      <c r="Q548" t="s">
        <v>835</v>
      </c>
      <c r="S548" t="s">
        <v>860</v>
      </c>
      <c r="T548" t="s">
        <v>836</v>
      </c>
      <c r="U548" t="str">
        <f>"2016-04-18 00:00:00.0"</f>
        <v>2016-04-18 00:00:00.0</v>
      </c>
      <c r="V548" t="s">
        <v>837</v>
      </c>
      <c r="W548" t="str">
        <f>"048314-004697-**-**"</f>
        <v>048314-004697-**-**</v>
      </c>
      <c r="X548" t="s">
        <v>838</v>
      </c>
      <c r="Y548">
        <v>981.25</v>
      </c>
      <c r="Z548">
        <v>1206.25</v>
      </c>
      <c r="AA548" t="str">
        <f t="shared" si="144"/>
        <v>06/08/2016</v>
      </c>
    </row>
    <row r="549" spans="1:27" x14ac:dyDescent="0.3">
      <c r="A549" t="str">
        <f t="shared" si="139"/>
        <v>048314</v>
      </c>
      <c r="B549" t="str">
        <f t="shared" si="140"/>
        <v>004697</v>
      </c>
      <c r="C549" t="s">
        <v>2320</v>
      </c>
      <c r="D549" t="s">
        <v>3839</v>
      </c>
      <c r="E549" t="s">
        <v>3840</v>
      </c>
      <c r="F549" t="s">
        <v>3841</v>
      </c>
      <c r="G549" t="s">
        <v>3842</v>
      </c>
      <c r="H549" t="str">
        <f t="shared" si="142"/>
        <v>048314</v>
      </c>
      <c r="I549" t="s">
        <v>833</v>
      </c>
      <c r="J549" t="str">
        <f>"2016-04-19 00:00:00.0"</f>
        <v>2016-04-19 00:00:00.0</v>
      </c>
      <c r="K549" t="s">
        <v>834</v>
      </c>
      <c r="L549" t="s">
        <v>0</v>
      </c>
      <c r="M549" t="str">
        <f t="shared" si="135"/>
        <v>048314</v>
      </c>
      <c r="N549">
        <v>0.186528</v>
      </c>
      <c r="O549">
        <v>0.186528</v>
      </c>
      <c r="P549" t="str">
        <f>"01"</f>
        <v>01</v>
      </c>
      <c r="Q549" t="str">
        <f>"10"</f>
        <v>10</v>
      </c>
      <c r="R549" t="str">
        <f>"2"</f>
        <v>2</v>
      </c>
      <c r="S549" t="s">
        <v>860</v>
      </c>
      <c r="T549" t="s">
        <v>836</v>
      </c>
      <c r="U549" t="str">
        <f t="shared" ref="U549:U560" si="146">"2500-12-31 00:00:00.0"</f>
        <v>2500-12-31 00:00:00.0</v>
      </c>
      <c r="V549" t="s">
        <v>837</v>
      </c>
      <c r="W549" t="str">
        <f>"048314-004697-**-**"</f>
        <v>048314-004697-**-**</v>
      </c>
      <c r="X549" t="s">
        <v>838</v>
      </c>
      <c r="Y549">
        <v>225</v>
      </c>
      <c r="Z549">
        <v>1206.25</v>
      </c>
      <c r="AA549" t="str">
        <f t="shared" si="144"/>
        <v>06/08/2016</v>
      </c>
    </row>
    <row r="550" spans="1:27" x14ac:dyDescent="0.3">
      <c r="A550" t="str">
        <f t="shared" si="139"/>
        <v>048314</v>
      </c>
      <c r="B550" t="str">
        <f t="shared" si="140"/>
        <v>004697</v>
      </c>
      <c r="C550" t="s">
        <v>1726</v>
      </c>
      <c r="D550" t="s">
        <v>3839</v>
      </c>
      <c r="E550" t="s">
        <v>3840</v>
      </c>
      <c r="F550" t="s">
        <v>3841</v>
      </c>
      <c r="G550" t="s">
        <v>3842</v>
      </c>
      <c r="H550" t="str">
        <f t="shared" si="142"/>
        <v>048314</v>
      </c>
      <c r="I550" t="s">
        <v>833</v>
      </c>
      <c r="J550" t="str">
        <f>"2015-07-01 00:00:00.0"</f>
        <v>2015-07-01 00:00:00.0</v>
      </c>
      <c r="K550" t="s">
        <v>834</v>
      </c>
      <c r="L550" t="s">
        <v>0</v>
      </c>
      <c r="M550" t="str">
        <f t="shared" si="135"/>
        <v>048314</v>
      </c>
      <c r="N550">
        <v>1</v>
      </c>
      <c r="O550">
        <v>1</v>
      </c>
      <c r="P550" t="str">
        <f>"02"</f>
        <v>02</v>
      </c>
      <c r="Q550" t="s">
        <v>835</v>
      </c>
      <c r="S550" t="s">
        <v>860</v>
      </c>
      <c r="T550" t="s">
        <v>836</v>
      </c>
      <c r="U550" t="str">
        <f t="shared" si="146"/>
        <v>2500-12-31 00:00:00.0</v>
      </c>
      <c r="V550" t="s">
        <v>837</v>
      </c>
      <c r="W550" t="str">
        <f>"048314-004697-**-**"</f>
        <v>048314-004697-**-**</v>
      </c>
      <c r="X550" t="s">
        <v>838</v>
      </c>
      <c r="Y550">
        <v>1206.25</v>
      </c>
      <c r="Z550">
        <v>1206.25</v>
      </c>
      <c r="AA550" t="str">
        <f t="shared" si="144"/>
        <v>06/08/2016</v>
      </c>
    </row>
    <row r="551" spans="1:27" x14ac:dyDescent="0.3">
      <c r="A551" t="str">
        <f t="shared" si="139"/>
        <v>048314</v>
      </c>
      <c r="B551" t="str">
        <f t="shared" si="140"/>
        <v>004697</v>
      </c>
      <c r="C551" t="s">
        <v>3184</v>
      </c>
      <c r="D551" t="s">
        <v>3839</v>
      </c>
      <c r="E551" t="s">
        <v>3840</v>
      </c>
      <c r="F551" t="s">
        <v>3841</v>
      </c>
      <c r="G551" t="s">
        <v>3842</v>
      </c>
      <c r="H551" t="str">
        <f t="shared" si="142"/>
        <v>048314</v>
      </c>
      <c r="I551" t="s">
        <v>833</v>
      </c>
      <c r="J551" t="str">
        <f>"2015-08-01 00:00:00.0"</f>
        <v>2015-08-01 00:00:00.0</v>
      </c>
      <c r="K551" t="s">
        <v>834</v>
      </c>
      <c r="L551" t="s">
        <v>0</v>
      </c>
      <c r="M551" t="str">
        <f t="shared" si="135"/>
        <v>048314</v>
      </c>
      <c r="N551">
        <v>1</v>
      </c>
      <c r="O551">
        <v>1</v>
      </c>
      <c r="P551" t="s">
        <v>764</v>
      </c>
      <c r="Q551" t="s">
        <v>835</v>
      </c>
      <c r="S551" t="s">
        <v>836</v>
      </c>
      <c r="T551" t="s">
        <v>836</v>
      </c>
      <c r="U551" t="str">
        <f t="shared" si="146"/>
        <v>2500-12-31 00:00:00.0</v>
      </c>
      <c r="V551" t="s">
        <v>837</v>
      </c>
      <c r="W551" t="str">
        <f>"048314-004697-**-**"</f>
        <v>048314-004697-**-**</v>
      </c>
      <c r="X551" t="s">
        <v>838</v>
      </c>
      <c r="Y551">
        <v>1206.25</v>
      </c>
      <c r="Z551">
        <v>1206.25</v>
      </c>
      <c r="AA551" t="str">
        <f t="shared" si="144"/>
        <v>06/08/2016</v>
      </c>
    </row>
    <row r="552" spans="1:27" x14ac:dyDescent="0.3">
      <c r="A552" t="str">
        <f t="shared" si="139"/>
        <v>048314</v>
      </c>
      <c r="B552" t="str">
        <f t="shared" si="140"/>
        <v>004697</v>
      </c>
      <c r="C552" t="s">
        <v>2935</v>
      </c>
      <c r="D552" t="s">
        <v>3839</v>
      </c>
      <c r="E552" t="s">
        <v>3840</v>
      </c>
      <c r="F552" t="s">
        <v>3841</v>
      </c>
      <c r="G552" t="s">
        <v>3842</v>
      </c>
      <c r="H552" t="str">
        <f t="shared" si="142"/>
        <v>048314</v>
      </c>
      <c r="I552" t="s">
        <v>833</v>
      </c>
      <c r="J552" t="str">
        <f>"2015-07-01 00:00:00.0"</f>
        <v>2015-07-01 00:00:00.0</v>
      </c>
      <c r="K552" t="s">
        <v>834</v>
      </c>
      <c r="L552" t="s">
        <v>0</v>
      </c>
      <c r="M552" t="str">
        <f t="shared" si="135"/>
        <v>048314</v>
      </c>
      <c r="N552">
        <v>1</v>
      </c>
      <c r="O552">
        <v>1</v>
      </c>
      <c r="P552" t="str">
        <f>"05"</f>
        <v>05</v>
      </c>
      <c r="Q552" t="s">
        <v>835</v>
      </c>
      <c r="S552" t="s">
        <v>836</v>
      </c>
      <c r="T552" t="s">
        <v>836</v>
      </c>
      <c r="U552" t="str">
        <f t="shared" si="146"/>
        <v>2500-12-31 00:00:00.0</v>
      </c>
      <c r="V552" t="s">
        <v>837</v>
      </c>
      <c r="W552" t="str">
        <f>"048314-070417-**-**"</f>
        <v>048314-070417-**-**</v>
      </c>
      <c r="X552" t="s">
        <v>838</v>
      </c>
      <c r="Y552">
        <v>1125</v>
      </c>
      <c r="Z552">
        <v>1125</v>
      </c>
      <c r="AA552" t="str">
        <f t="shared" si="144"/>
        <v>06/08/2016</v>
      </c>
    </row>
    <row r="553" spans="1:27" x14ac:dyDescent="0.3">
      <c r="A553" t="str">
        <f t="shared" si="139"/>
        <v>048314</v>
      </c>
      <c r="B553" t="str">
        <f t="shared" si="140"/>
        <v>004697</v>
      </c>
      <c r="C553" t="s">
        <v>2936</v>
      </c>
      <c r="D553" t="s">
        <v>3839</v>
      </c>
      <c r="E553" t="s">
        <v>3840</v>
      </c>
      <c r="F553" t="s">
        <v>3841</v>
      </c>
      <c r="G553" t="s">
        <v>3842</v>
      </c>
      <c r="H553" t="str">
        <f t="shared" si="142"/>
        <v>048314</v>
      </c>
      <c r="I553" t="s">
        <v>833</v>
      </c>
      <c r="J553" t="str">
        <f>"2015-07-01 00:00:00.0"</f>
        <v>2015-07-01 00:00:00.0</v>
      </c>
      <c r="K553" t="s">
        <v>834</v>
      </c>
      <c r="L553" t="s">
        <v>0</v>
      </c>
      <c r="M553" t="str">
        <f t="shared" si="135"/>
        <v>048314</v>
      </c>
      <c r="N553">
        <v>1</v>
      </c>
      <c r="O553">
        <v>1</v>
      </c>
      <c r="P553" t="str">
        <f>"05"</f>
        <v>05</v>
      </c>
      <c r="Q553" t="s">
        <v>835</v>
      </c>
      <c r="S553" t="s">
        <v>836</v>
      </c>
      <c r="T553" t="s">
        <v>836</v>
      </c>
      <c r="U553" t="str">
        <f t="shared" si="146"/>
        <v>2500-12-31 00:00:00.0</v>
      </c>
      <c r="V553" t="s">
        <v>837</v>
      </c>
      <c r="W553" t="str">
        <f>"048314-070417-**-**"</f>
        <v>048314-070417-**-**</v>
      </c>
      <c r="X553" t="s">
        <v>838</v>
      </c>
      <c r="Y553">
        <v>1125</v>
      </c>
      <c r="Z553">
        <v>1125</v>
      </c>
      <c r="AA553" t="str">
        <f t="shared" si="144"/>
        <v>06/08/2016</v>
      </c>
    </row>
    <row r="554" spans="1:27" x14ac:dyDescent="0.3">
      <c r="A554" t="str">
        <f t="shared" si="139"/>
        <v>048314</v>
      </c>
      <c r="B554" t="str">
        <f t="shared" si="140"/>
        <v>004697</v>
      </c>
      <c r="C554" t="s">
        <v>3015</v>
      </c>
      <c r="D554" t="s">
        <v>3839</v>
      </c>
      <c r="E554" t="s">
        <v>3840</v>
      </c>
      <c r="F554" t="s">
        <v>3841</v>
      </c>
      <c r="G554" t="s">
        <v>3842</v>
      </c>
      <c r="H554" t="str">
        <f t="shared" si="142"/>
        <v>048314</v>
      </c>
      <c r="I554" t="s">
        <v>833</v>
      </c>
      <c r="J554" t="str">
        <f>"2015-07-01 00:00:00.0"</f>
        <v>2015-07-01 00:00:00.0</v>
      </c>
      <c r="K554" t="s">
        <v>834</v>
      </c>
      <c r="L554" t="s">
        <v>0</v>
      </c>
      <c r="M554" t="str">
        <f t="shared" si="135"/>
        <v>048314</v>
      </c>
      <c r="N554">
        <v>1</v>
      </c>
      <c r="O554">
        <v>1</v>
      </c>
      <c r="P554" t="str">
        <f>"01"</f>
        <v>01</v>
      </c>
      <c r="Q554" t="s">
        <v>835</v>
      </c>
      <c r="S554" t="s">
        <v>836</v>
      </c>
      <c r="T554" t="s">
        <v>836</v>
      </c>
      <c r="U554" t="str">
        <f t="shared" si="146"/>
        <v>2500-12-31 00:00:00.0</v>
      </c>
      <c r="V554" t="s">
        <v>837</v>
      </c>
      <c r="W554" t="str">
        <f t="shared" ref="W554:W560" si="147">"048314-004697-**-**"</f>
        <v>048314-004697-**-**</v>
      </c>
      <c r="X554" t="s">
        <v>838</v>
      </c>
      <c r="Y554">
        <v>1206.25</v>
      </c>
      <c r="Z554">
        <v>1206.25</v>
      </c>
      <c r="AA554" t="str">
        <f t="shared" si="144"/>
        <v>06/08/2016</v>
      </c>
    </row>
    <row r="555" spans="1:27" x14ac:dyDescent="0.3">
      <c r="A555" t="str">
        <f t="shared" si="139"/>
        <v>048314</v>
      </c>
      <c r="B555" t="str">
        <f t="shared" si="140"/>
        <v>004697</v>
      </c>
      <c r="C555" t="s">
        <v>971</v>
      </c>
      <c r="D555" t="s">
        <v>3839</v>
      </c>
      <c r="E555" t="s">
        <v>3840</v>
      </c>
      <c r="F555" t="s">
        <v>3841</v>
      </c>
      <c r="G555" t="s">
        <v>3842</v>
      </c>
      <c r="H555" t="str">
        <f t="shared" si="142"/>
        <v>048314</v>
      </c>
      <c r="I555" t="s">
        <v>833</v>
      </c>
      <c r="J555" t="str">
        <f>"2015-08-01 00:00:00.0"</f>
        <v>2015-08-01 00:00:00.0</v>
      </c>
      <c r="K555" t="s">
        <v>834</v>
      </c>
      <c r="L555" t="s">
        <v>0</v>
      </c>
      <c r="M555" t="str">
        <f t="shared" si="135"/>
        <v>048314</v>
      </c>
      <c r="N555">
        <v>1</v>
      </c>
      <c r="O555">
        <v>1</v>
      </c>
      <c r="P555" t="s">
        <v>764</v>
      </c>
      <c r="Q555" t="s">
        <v>835</v>
      </c>
      <c r="S555" t="s">
        <v>836</v>
      </c>
      <c r="T555" t="s">
        <v>836</v>
      </c>
      <c r="U555" t="str">
        <f t="shared" si="146"/>
        <v>2500-12-31 00:00:00.0</v>
      </c>
      <c r="V555" t="s">
        <v>837</v>
      </c>
      <c r="W555" t="str">
        <f t="shared" si="147"/>
        <v>048314-004697-**-**</v>
      </c>
      <c r="X555" t="s">
        <v>838</v>
      </c>
      <c r="Y555">
        <v>1206.25</v>
      </c>
      <c r="Z555">
        <v>1206.25</v>
      </c>
      <c r="AA555" t="str">
        <f t="shared" si="144"/>
        <v>06/08/2016</v>
      </c>
    </row>
    <row r="556" spans="1:27" x14ac:dyDescent="0.3">
      <c r="A556" t="str">
        <f t="shared" si="139"/>
        <v>048314</v>
      </c>
      <c r="B556" t="str">
        <f t="shared" si="140"/>
        <v>004697</v>
      </c>
      <c r="C556" t="s">
        <v>3166</v>
      </c>
      <c r="D556" t="s">
        <v>3839</v>
      </c>
      <c r="E556" t="s">
        <v>3840</v>
      </c>
      <c r="F556" t="s">
        <v>3841</v>
      </c>
      <c r="G556" t="s">
        <v>3842</v>
      </c>
      <c r="H556" t="str">
        <f t="shared" si="142"/>
        <v>048314</v>
      </c>
      <c r="I556" t="s">
        <v>833</v>
      </c>
      <c r="J556" t="str">
        <f>"2015-08-01 00:00:00.0"</f>
        <v>2015-08-01 00:00:00.0</v>
      </c>
      <c r="K556" t="s">
        <v>834</v>
      </c>
      <c r="L556" t="s">
        <v>0</v>
      </c>
      <c r="M556" t="str">
        <f t="shared" si="135"/>
        <v>048314</v>
      </c>
      <c r="N556">
        <v>1</v>
      </c>
      <c r="O556">
        <v>1</v>
      </c>
      <c r="P556" t="str">
        <f>"02"</f>
        <v>02</v>
      </c>
      <c r="Q556" t="s">
        <v>835</v>
      </c>
      <c r="S556" t="s">
        <v>836</v>
      </c>
      <c r="T556" t="s">
        <v>836</v>
      </c>
      <c r="U556" t="str">
        <f t="shared" si="146"/>
        <v>2500-12-31 00:00:00.0</v>
      </c>
      <c r="V556" t="s">
        <v>837</v>
      </c>
      <c r="W556" t="str">
        <f t="shared" si="147"/>
        <v>048314-004697-**-**</v>
      </c>
      <c r="X556" t="s">
        <v>838</v>
      </c>
      <c r="Y556">
        <v>1206.25</v>
      </c>
      <c r="Z556">
        <v>1206.25</v>
      </c>
      <c r="AA556" t="str">
        <f t="shared" si="144"/>
        <v>06/08/2016</v>
      </c>
    </row>
    <row r="557" spans="1:27" x14ac:dyDescent="0.3">
      <c r="A557" t="str">
        <f t="shared" si="139"/>
        <v>048314</v>
      </c>
      <c r="B557" t="str">
        <f t="shared" si="140"/>
        <v>004697</v>
      </c>
      <c r="C557" t="s">
        <v>2556</v>
      </c>
      <c r="D557" t="s">
        <v>3839</v>
      </c>
      <c r="E557" t="s">
        <v>3840</v>
      </c>
      <c r="F557" t="s">
        <v>3841</v>
      </c>
      <c r="G557" t="s">
        <v>3842</v>
      </c>
      <c r="H557" t="str">
        <f t="shared" si="142"/>
        <v>048314</v>
      </c>
      <c r="I557" t="s">
        <v>833</v>
      </c>
      <c r="J557" t="str">
        <f>"2015-08-01 00:00:00.0"</f>
        <v>2015-08-01 00:00:00.0</v>
      </c>
      <c r="K557" t="s">
        <v>834</v>
      </c>
      <c r="L557" t="s">
        <v>0</v>
      </c>
      <c r="M557" t="str">
        <f t="shared" si="135"/>
        <v>048314</v>
      </c>
      <c r="N557">
        <v>1</v>
      </c>
      <c r="O557">
        <v>1</v>
      </c>
      <c r="P557" t="str">
        <f>"04"</f>
        <v>04</v>
      </c>
      <c r="Q557" t="s">
        <v>835</v>
      </c>
      <c r="S557" t="s">
        <v>836</v>
      </c>
      <c r="T557" t="s">
        <v>836</v>
      </c>
      <c r="U557" t="str">
        <f t="shared" si="146"/>
        <v>2500-12-31 00:00:00.0</v>
      </c>
      <c r="V557" t="s">
        <v>837</v>
      </c>
      <c r="W557" t="str">
        <f t="shared" si="147"/>
        <v>048314-004697-**-**</v>
      </c>
      <c r="X557" t="s">
        <v>838</v>
      </c>
      <c r="Y557">
        <v>1206.25</v>
      </c>
      <c r="Z557">
        <v>1206.25</v>
      </c>
      <c r="AA557" t="str">
        <f t="shared" si="144"/>
        <v>06/08/2016</v>
      </c>
    </row>
    <row r="558" spans="1:27" x14ac:dyDescent="0.3">
      <c r="A558" t="str">
        <f t="shared" si="139"/>
        <v>048314</v>
      </c>
      <c r="B558" t="str">
        <f t="shared" si="140"/>
        <v>004697</v>
      </c>
      <c r="C558" t="s">
        <v>957</v>
      </c>
      <c r="D558" t="s">
        <v>3839</v>
      </c>
      <c r="E558" t="s">
        <v>3840</v>
      </c>
      <c r="F558" t="s">
        <v>3841</v>
      </c>
      <c r="G558" t="s">
        <v>3842</v>
      </c>
      <c r="H558" t="str">
        <f t="shared" si="142"/>
        <v>048314</v>
      </c>
      <c r="I558" t="s">
        <v>833</v>
      </c>
      <c r="J558" t="str">
        <f>"2015-08-01 00:00:00.0"</f>
        <v>2015-08-01 00:00:00.0</v>
      </c>
      <c r="K558" t="s">
        <v>834</v>
      </c>
      <c r="L558" t="s">
        <v>0</v>
      </c>
      <c r="M558" t="str">
        <f t="shared" si="135"/>
        <v>048314</v>
      </c>
      <c r="N558">
        <v>1</v>
      </c>
      <c r="O558">
        <v>1</v>
      </c>
      <c r="P558" t="s">
        <v>764</v>
      </c>
      <c r="Q558" t="s">
        <v>835</v>
      </c>
      <c r="S558" t="s">
        <v>836</v>
      </c>
      <c r="T558" t="s">
        <v>836</v>
      </c>
      <c r="U558" t="str">
        <f t="shared" si="146"/>
        <v>2500-12-31 00:00:00.0</v>
      </c>
      <c r="V558" t="s">
        <v>837</v>
      </c>
      <c r="W558" t="str">
        <f t="shared" si="147"/>
        <v>048314-004697-**-**</v>
      </c>
      <c r="X558" t="s">
        <v>838</v>
      </c>
      <c r="Y558">
        <v>1206.25</v>
      </c>
      <c r="Z558">
        <v>1206.25</v>
      </c>
      <c r="AA558" t="str">
        <f t="shared" si="144"/>
        <v>06/08/2016</v>
      </c>
    </row>
    <row r="559" spans="1:27" x14ac:dyDescent="0.3">
      <c r="A559" t="str">
        <f t="shared" si="139"/>
        <v>048314</v>
      </c>
      <c r="B559" t="str">
        <f t="shared" si="140"/>
        <v>004697</v>
      </c>
      <c r="C559" t="s">
        <v>2597</v>
      </c>
      <c r="D559" t="s">
        <v>3839</v>
      </c>
      <c r="E559" t="s">
        <v>3840</v>
      </c>
      <c r="F559" t="s">
        <v>3841</v>
      </c>
      <c r="G559" t="s">
        <v>3842</v>
      </c>
      <c r="H559" t="str">
        <f t="shared" si="142"/>
        <v>048314</v>
      </c>
      <c r="I559" t="s">
        <v>833</v>
      </c>
      <c r="J559" t="str">
        <f>"2015-07-01 00:00:00.0"</f>
        <v>2015-07-01 00:00:00.0</v>
      </c>
      <c r="K559" t="s">
        <v>834</v>
      </c>
      <c r="L559" t="s">
        <v>0</v>
      </c>
      <c r="M559" t="str">
        <f t="shared" si="135"/>
        <v>048314</v>
      </c>
      <c r="N559">
        <v>1</v>
      </c>
      <c r="O559">
        <v>1</v>
      </c>
      <c r="P559" t="str">
        <f>"02"</f>
        <v>02</v>
      </c>
      <c r="Q559" t="s">
        <v>835</v>
      </c>
      <c r="S559" t="s">
        <v>836</v>
      </c>
      <c r="T559" t="s">
        <v>836</v>
      </c>
      <c r="U559" t="str">
        <f t="shared" si="146"/>
        <v>2500-12-31 00:00:00.0</v>
      </c>
      <c r="V559" t="s">
        <v>837</v>
      </c>
      <c r="W559" t="str">
        <f t="shared" si="147"/>
        <v>048314-004697-**-**</v>
      </c>
      <c r="X559" t="s">
        <v>838</v>
      </c>
      <c r="Y559">
        <v>1206.25</v>
      </c>
      <c r="Z559">
        <v>1206.25</v>
      </c>
      <c r="AA559" t="str">
        <f t="shared" si="144"/>
        <v>06/08/2016</v>
      </c>
    </row>
    <row r="560" spans="1:27" x14ac:dyDescent="0.3">
      <c r="A560" t="str">
        <f t="shared" si="139"/>
        <v>048314</v>
      </c>
      <c r="B560" t="str">
        <f t="shared" si="140"/>
        <v>004697</v>
      </c>
      <c r="C560" t="s">
        <v>1986</v>
      </c>
      <c r="D560" t="s">
        <v>3839</v>
      </c>
      <c r="E560" t="s">
        <v>3840</v>
      </c>
      <c r="F560" t="s">
        <v>3841</v>
      </c>
      <c r="G560" t="s">
        <v>3842</v>
      </c>
      <c r="H560" t="str">
        <f t="shared" si="142"/>
        <v>048314</v>
      </c>
      <c r="I560" t="s">
        <v>833</v>
      </c>
      <c r="J560" t="str">
        <f>"2015-08-17 00:00:00.0"</f>
        <v>2015-08-17 00:00:00.0</v>
      </c>
      <c r="K560" t="s">
        <v>834</v>
      </c>
      <c r="L560" t="s">
        <v>0</v>
      </c>
      <c r="M560" t="str">
        <f t="shared" si="135"/>
        <v>048314</v>
      </c>
      <c r="N560">
        <v>1</v>
      </c>
      <c r="O560">
        <v>1</v>
      </c>
      <c r="P560" t="s">
        <v>764</v>
      </c>
      <c r="Q560" t="s">
        <v>835</v>
      </c>
      <c r="S560" t="s">
        <v>836</v>
      </c>
      <c r="T560" t="s">
        <v>836</v>
      </c>
      <c r="U560" t="str">
        <f t="shared" si="146"/>
        <v>2500-12-31 00:00:00.0</v>
      </c>
      <c r="V560" t="s">
        <v>837</v>
      </c>
      <c r="W560" t="str">
        <f t="shared" si="147"/>
        <v>048314-004697-**-**</v>
      </c>
      <c r="X560" t="s">
        <v>838</v>
      </c>
      <c r="Y560">
        <v>1206.25</v>
      </c>
      <c r="Z560">
        <v>1206.25</v>
      </c>
      <c r="AA560" t="str">
        <f t="shared" si="144"/>
        <v>06/08/2016</v>
      </c>
    </row>
    <row r="561" spans="1:27" x14ac:dyDescent="0.3">
      <c r="A561" t="str">
        <f t="shared" si="139"/>
        <v>048314</v>
      </c>
      <c r="B561" t="str">
        <f t="shared" si="140"/>
        <v>004697</v>
      </c>
      <c r="C561" t="s">
        <v>2937</v>
      </c>
      <c r="D561" t="s">
        <v>3839</v>
      </c>
      <c r="E561" t="s">
        <v>3840</v>
      </c>
      <c r="F561" t="s">
        <v>3841</v>
      </c>
      <c r="G561" t="s">
        <v>3842</v>
      </c>
      <c r="H561" t="str">
        <f t="shared" si="142"/>
        <v>048314</v>
      </c>
      <c r="I561" t="s">
        <v>833</v>
      </c>
      <c r="J561" t="str">
        <f>"2015-07-01 00:00:00.0"</f>
        <v>2015-07-01 00:00:00.0</v>
      </c>
      <c r="K561" t="s">
        <v>834</v>
      </c>
      <c r="L561" t="s">
        <v>0</v>
      </c>
      <c r="M561" t="str">
        <f t="shared" si="135"/>
        <v>048314</v>
      </c>
      <c r="N561">
        <v>0.32222200000000001</v>
      </c>
      <c r="O561">
        <v>0.32222200000000001</v>
      </c>
      <c r="P561" t="str">
        <f>"05"</f>
        <v>05</v>
      </c>
      <c r="Q561" t="s">
        <v>835</v>
      </c>
      <c r="S561" t="s">
        <v>836</v>
      </c>
      <c r="T561" t="s">
        <v>836</v>
      </c>
      <c r="U561" t="str">
        <f>"2015-11-19 00:00:00.0"</f>
        <v>2015-11-19 00:00:00.0</v>
      </c>
      <c r="V561" t="s">
        <v>837</v>
      </c>
      <c r="W561" t="str">
        <f>"048314-070417-**-**"</f>
        <v>048314-070417-**-**</v>
      </c>
      <c r="X561" t="s">
        <v>838</v>
      </c>
      <c r="Y561">
        <v>362.5</v>
      </c>
      <c r="Z561">
        <v>1125</v>
      </c>
      <c r="AA561" t="str">
        <f t="shared" si="144"/>
        <v>06/08/2016</v>
      </c>
    </row>
    <row r="562" spans="1:27" x14ac:dyDescent="0.3">
      <c r="A562" t="str">
        <f t="shared" si="139"/>
        <v>048314</v>
      </c>
      <c r="B562" t="str">
        <f t="shared" si="140"/>
        <v>004697</v>
      </c>
      <c r="C562" t="s">
        <v>2937</v>
      </c>
      <c r="D562" t="s">
        <v>3839</v>
      </c>
      <c r="E562" t="s">
        <v>3840</v>
      </c>
      <c r="F562" t="s">
        <v>3841</v>
      </c>
      <c r="G562" t="s">
        <v>3842</v>
      </c>
      <c r="H562" t="str">
        <f t="shared" si="142"/>
        <v>048314</v>
      </c>
      <c r="I562" t="s">
        <v>833</v>
      </c>
      <c r="J562" t="str">
        <f>"2015-11-20 00:00:00.0"</f>
        <v>2015-11-20 00:00:00.0</v>
      </c>
      <c r="K562" t="s">
        <v>834</v>
      </c>
      <c r="L562" t="s">
        <v>0</v>
      </c>
      <c r="M562" t="str">
        <f t="shared" si="135"/>
        <v>048314</v>
      </c>
      <c r="N562">
        <v>0.67777799999999999</v>
      </c>
      <c r="O562">
        <v>0.67777799999999999</v>
      </c>
      <c r="P562" t="str">
        <f>"05"</f>
        <v>05</v>
      </c>
      <c r="Q562" t="s">
        <v>835</v>
      </c>
      <c r="S562" t="s">
        <v>836</v>
      </c>
      <c r="T562" t="s">
        <v>836</v>
      </c>
      <c r="U562" t="str">
        <f t="shared" ref="U562:U568" si="148">"2500-12-31 00:00:00.0"</f>
        <v>2500-12-31 00:00:00.0</v>
      </c>
      <c r="V562" t="s">
        <v>837</v>
      </c>
      <c r="W562" t="str">
        <f>"048314-070417-**-**"</f>
        <v>048314-070417-**-**</v>
      </c>
      <c r="X562" t="s">
        <v>838</v>
      </c>
      <c r="Y562">
        <v>762.5</v>
      </c>
      <c r="Z562">
        <v>1125</v>
      </c>
      <c r="AA562" t="str">
        <f t="shared" si="144"/>
        <v>06/08/2016</v>
      </c>
    </row>
    <row r="563" spans="1:27" x14ac:dyDescent="0.3">
      <c r="A563" t="str">
        <f t="shared" si="139"/>
        <v>048314</v>
      </c>
      <c r="B563" t="str">
        <f t="shared" si="140"/>
        <v>004697</v>
      </c>
      <c r="C563" t="s">
        <v>3660</v>
      </c>
      <c r="D563" t="s">
        <v>3839</v>
      </c>
      <c r="E563" t="s">
        <v>3840</v>
      </c>
      <c r="F563" t="s">
        <v>3841</v>
      </c>
      <c r="G563" t="s">
        <v>3842</v>
      </c>
      <c r="H563" t="str">
        <f t="shared" si="142"/>
        <v>048314</v>
      </c>
      <c r="I563" t="s">
        <v>833</v>
      </c>
      <c r="J563" t="str">
        <f>"2015-08-01 00:00:00.0"</f>
        <v>2015-08-01 00:00:00.0</v>
      </c>
      <c r="K563" t="s">
        <v>834</v>
      </c>
      <c r="L563" t="s">
        <v>0</v>
      </c>
      <c r="M563" t="str">
        <f t="shared" si="135"/>
        <v>048314</v>
      </c>
      <c r="N563">
        <v>1</v>
      </c>
      <c r="O563">
        <v>1</v>
      </c>
      <c r="P563" t="s">
        <v>764</v>
      </c>
      <c r="Q563" t="s">
        <v>835</v>
      </c>
      <c r="S563" t="s">
        <v>836</v>
      </c>
      <c r="T563" t="s">
        <v>836</v>
      </c>
      <c r="U563" t="str">
        <f t="shared" si="148"/>
        <v>2500-12-31 00:00:00.0</v>
      </c>
      <c r="V563" t="s">
        <v>837</v>
      </c>
      <c r="W563" t="str">
        <f>"048314-004697-**-**"</f>
        <v>048314-004697-**-**</v>
      </c>
      <c r="X563" t="s">
        <v>838</v>
      </c>
      <c r="Y563">
        <v>1206.25</v>
      </c>
      <c r="Z563">
        <v>1206.25</v>
      </c>
      <c r="AA563" t="str">
        <f t="shared" si="144"/>
        <v>06/08/2016</v>
      </c>
    </row>
    <row r="564" spans="1:27" x14ac:dyDescent="0.3">
      <c r="A564" t="str">
        <f t="shared" si="139"/>
        <v>048314</v>
      </c>
      <c r="B564" t="str">
        <f t="shared" si="140"/>
        <v>004697</v>
      </c>
      <c r="C564" t="s">
        <v>3043</v>
      </c>
      <c r="D564" t="s">
        <v>3839</v>
      </c>
      <c r="E564" t="s">
        <v>3840</v>
      </c>
      <c r="F564" t="s">
        <v>3841</v>
      </c>
      <c r="G564" t="s">
        <v>3842</v>
      </c>
      <c r="H564" t="str">
        <f t="shared" si="142"/>
        <v>048314</v>
      </c>
      <c r="I564" t="s">
        <v>833</v>
      </c>
      <c r="J564" t="str">
        <f>"2015-07-01 00:00:00.0"</f>
        <v>2015-07-01 00:00:00.0</v>
      </c>
      <c r="K564" t="s">
        <v>834</v>
      </c>
      <c r="L564" t="s">
        <v>0</v>
      </c>
      <c r="M564" t="str">
        <f t="shared" si="135"/>
        <v>048314</v>
      </c>
      <c r="N564">
        <v>1</v>
      </c>
      <c r="O564">
        <v>1</v>
      </c>
      <c r="P564" t="str">
        <f>"01"</f>
        <v>01</v>
      </c>
      <c r="Q564" t="s">
        <v>835</v>
      </c>
      <c r="S564" t="s">
        <v>836</v>
      </c>
      <c r="T564" t="s">
        <v>836</v>
      </c>
      <c r="U564" t="str">
        <f t="shared" si="148"/>
        <v>2500-12-31 00:00:00.0</v>
      </c>
      <c r="V564" t="s">
        <v>837</v>
      </c>
      <c r="W564" t="str">
        <f>"048314-004697-**-**"</f>
        <v>048314-004697-**-**</v>
      </c>
      <c r="X564" t="s">
        <v>838</v>
      </c>
      <c r="Y564">
        <v>1206.25</v>
      </c>
      <c r="Z564">
        <v>1206.25</v>
      </c>
      <c r="AA564" t="str">
        <f t="shared" si="144"/>
        <v>06/08/2016</v>
      </c>
    </row>
    <row r="565" spans="1:27" x14ac:dyDescent="0.3">
      <c r="A565" t="str">
        <f t="shared" si="139"/>
        <v>048314</v>
      </c>
      <c r="B565" t="str">
        <f t="shared" si="140"/>
        <v>004697</v>
      </c>
      <c r="C565" t="s">
        <v>3350</v>
      </c>
      <c r="D565" t="s">
        <v>3839</v>
      </c>
      <c r="E565" t="s">
        <v>3840</v>
      </c>
      <c r="F565" t="s">
        <v>3841</v>
      </c>
      <c r="G565" t="s">
        <v>3842</v>
      </c>
      <c r="H565" t="str">
        <f t="shared" si="142"/>
        <v>048314</v>
      </c>
      <c r="I565" t="s">
        <v>833</v>
      </c>
      <c r="J565" t="str">
        <f>"2015-07-01 00:00:00.0"</f>
        <v>2015-07-01 00:00:00.0</v>
      </c>
      <c r="K565" t="s">
        <v>834</v>
      </c>
      <c r="L565" t="s">
        <v>0</v>
      </c>
      <c r="M565" t="str">
        <f t="shared" si="135"/>
        <v>048314</v>
      </c>
      <c r="N565">
        <v>1</v>
      </c>
      <c r="O565">
        <v>1</v>
      </c>
      <c r="P565" t="str">
        <f>"04"</f>
        <v>04</v>
      </c>
      <c r="Q565" t="s">
        <v>835</v>
      </c>
      <c r="S565" t="s">
        <v>836</v>
      </c>
      <c r="T565" t="s">
        <v>836</v>
      </c>
      <c r="U565" t="str">
        <f t="shared" si="148"/>
        <v>2500-12-31 00:00:00.0</v>
      </c>
      <c r="V565" t="s">
        <v>837</v>
      </c>
      <c r="W565" t="str">
        <f>"048314-004697-**-**"</f>
        <v>048314-004697-**-**</v>
      </c>
      <c r="X565" t="s">
        <v>838</v>
      </c>
      <c r="Y565">
        <v>1206.25</v>
      </c>
      <c r="Z565">
        <v>1206.25</v>
      </c>
      <c r="AA565" t="str">
        <f t="shared" si="144"/>
        <v>06/08/2016</v>
      </c>
    </row>
    <row r="566" spans="1:27" x14ac:dyDescent="0.3">
      <c r="A566" t="str">
        <f t="shared" si="139"/>
        <v>048314</v>
      </c>
      <c r="B566" t="str">
        <f t="shared" si="140"/>
        <v>004697</v>
      </c>
      <c r="C566" t="s">
        <v>3167</v>
      </c>
      <c r="D566" t="s">
        <v>3839</v>
      </c>
      <c r="E566" t="s">
        <v>3840</v>
      </c>
      <c r="F566" t="s">
        <v>3841</v>
      </c>
      <c r="G566" t="s">
        <v>3842</v>
      </c>
      <c r="H566" t="str">
        <f t="shared" si="142"/>
        <v>048314</v>
      </c>
      <c r="I566" t="s">
        <v>833</v>
      </c>
      <c r="J566" t="str">
        <f>"2015-07-01 00:00:00.0"</f>
        <v>2015-07-01 00:00:00.0</v>
      </c>
      <c r="K566" t="s">
        <v>834</v>
      </c>
      <c r="L566" t="s">
        <v>0</v>
      </c>
      <c r="M566" t="str">
        <f t="shared" si="135"/>
        <v>048314</v>
      </c>
      <c r="N566">
        <v>1</v>
      </c>
      <c r="O566">
        <v>1</v>
      </c>
      <c r="P566" t="str">
        <f>"04"</f>
        <v>04</v>
      </c>
      <c r="Q566" t="s">
        <v>835</v>
      </c>
      <c r="S566" t="s">
        <v>836</v>
      </c>
      <c r="T566" t="s">
        <v>836</v>
      </c>
      <c r="U566" t="str">
        <f t="shared" si="148"/>
        <v>2500-12-31 00:00:00.0</v>
      </c>
      <c r="V566" t="s">
        <v>837</v>
      </c>
      <c r="W566" t="str">
        <f>"048314-004697-**-**"</f>
        <v>048314-004697-**-**</v>
      </c>
      <c r="X566" t="s">
        <v>838</v>
      </c>
      <c r="Y566">
        <v>1206.25</v>
      </c>
      <c r="Z566">
        <v>1206.25</v>
      </c>
      <c r="AA566" t="str">
        <f t="shared" si="144"/>
        <v>06/08/2016</v>
      </c>
    </row>
    <row r="567" spans="1:27" x14ac:dyDescent="0.3">
      <c r="A567" t="str">
        <f t="shared" si="139"/>
        <v>048314</v>
      </c>
      <c r="B567" t="str">
        <f t="shared" si="140"/>
        <v>004697</v>
      </c>
      <c r="C567" t="s">
        <v>3382</v>
      </c>
      <c r="D567" t="s">
        <v>3839</v>
      </c>
      <c r="E567" t="s">
        <v>3840</v>
      </c>
      <c r="F567" t="s">
        <v>3841</v>
      </c>
      <c r="G567" t="s">
        <v>3842</v>
      </c>
      <c r="H567" t="str">
        <f t="shared" si="142"/>
        <v>048314</v>
      </c>
      <c r="I567" t="s">
        <v>833</v>
      </c>
      <c r="J567" t="str">
        <f>"2015-07-01 00:00:00.0"</f>
        <v>2015-07-01 00:00:00.0</v>
      </c>
      <c r="K567" t="s">
        <v>834</v>
      </c>
      <c r="L567" t="s">
        <v>0</v>
      </c>
      <c r="M567" t="str">
        <f t="shared" si="135"/>
        <v>048314</v>
      </c>
      <c r="N567">
        <v>1</v>
      </c>
      <c r="O567">
        <v>1</v>
      </c>
      <c r="P567" t="str">
        <f>"05"</f>
        <v>05</v>
      </c>
      <c r="Q567" t="s">
        <v>835</v>
      </c>
      <c r="S567" t="s">
        <v>836</v>
      </c>
      <c r="T567" t="s">
        <v>836</v>
      </c>
      <c r="U567" t="str">
        <f t="shared" si="148"/>
        <v>2500-12-31 00:00:00.0</v>
      </c>
      <c r="V567" t="s">
        <v>837</v>
      </c>
      <c r="W567" t="str">
        <f>"048314-070417-**-**"</f>
        <v>048314-070417-**-**</v>
      </c>
      <c r="X567" t="s">
        <v>838</v>
      </c>
      <c r="Y567">
        <v>1125</v>
      </c>
      <c r="Z567">
        <v>1125</v>
      </c>
      <c r="AA567" t="str">
        <f t="shared" si="144"/>
        <v>06/08/2016</v>
      </c>
    </row>
    <row r="568" spans="1:27" x14ac:dyDescent="0.3">
      <c r="A568" t="str">
        <f t="shared" si="139"/>
        <v>048314</v>
      </c>
      <c r="B568" t="str">
        <f t="shared" si="140"/>
        <v>004697</v>
      </c>
      <c r="C568" t="s">
        <v>948</v>
      </c>
      <c r="D568" t="s">
        <v>3839</v>
      </c>
      <c r="E568" t="s">
        <v>3840</v>
      </c>
      <c r="F568" t="s">
        <v>3841</v>
      </c>
      <c r="G568" t="s">
        <v>3842</v>
      </c>
      <c r="H568" t="str">
        <f t="shared" si="142"/>
        <v>048314</v>
      </c>
      <c r="I568" t="s">
        <v>833</v>
      </c>
      <c r="J568" t="str">
        <f>"2015-07-01 00:00:00.0"</f>
        <v>2015-07-01 00:00:00.0</v>
      </c>
      <c r="K568" t="s">
        <v>834</v>
      </c>
      <c r="L568" t="s">
        <v>0</v>
      </c>
      <c r="M568" t="str">
        <f t="shared" si="135"/>
        <v>048314</v>
      </c>
      <c r="N568">
        <v>1</v>
      </c>
      <c r="O568">
        <v>1</v>
      </c>
      <c r="P568" t="str">
        <f>"02"</f>
        <v>02</v>
      </c>
      <c r="Q568" t="s">
        <v>835</v>
      </c>
      <c r="S568" t="s">
        <v>836</v>
      </c>
      <c r="T568" t="s">
        <v>836</v>
      </c>
      <c r="U568" t="str">
        <f t="shared" si="148"/>
        <v>2500-12-31 00:00:00.0</v>
      </c>
      <c r="V568" t="s">
        <v>837</v>
      </c>
      <c r="W568" t="str">
        <f t="shared" ref="W568:W575" si="149">"048314-004697-**-**"</f>
        <v>048314-004697-**-**</v>
      </c>
      <c r="X568" t="s">
        <v>838</v>
      </c>
      <c r="Y568">
        <v>1206.25</v>
      </c>
      <c r="Z568">
        <v>1206.25</v>
      </c>
      <c r="AA568" t="str">
        <f t="shared" si="144"/>
        <v>06/08/2016</v>
      </c>
    </row>
    <row r="569" spans="1:27" x14ac:dyDescent="0.3">
      <c r="A569" t="str">
        <f t="shared" si="139"/>
        <v>048314</v>
      </c>
      <c r="B569" t="str">
        <f t="shared" si="140"/>
        <v>004697</v>
      </c>
      <c r="C569" t="s">
        <v>955</v>
      </c>
      <c r="D569" t="s">
        <v>3839</v>
      </c>
      <c r="E569" t="s">
        <v>3840</v>
      </c>
      <c r="F569" t="s">
        <v>3841</v>
      </c>
      <c r="G569" t="s">
        <v>3842</v>
      </c>
      <c r="H569" t="str">
        <f t="shared" si="142"/>
        <v>048314</v>
      </c>
      <c r="I569" t="s">
        <v>833</v>
      </c>
      <c r="J569" t="str">
        <f>"2015-08-17 00:00:00.0"</f>
        <v>2015-08-17 00:00:00.0</v>
      </c>
      <c r="K569" t="s">
        <v>834</v>
      </c>
      <c r="L569" t="s">
        <v>0</v>
      </c>
      <c r="M569" t="str">
        <f t="shared" si="135"/>
        <v>048314</v>
      </c>
      <c r="N569">
        <v>0.97927500000000001</v>
      </c>
      <c r="O569">
        <v>0.97927500000000001</v>
      </c>
      <c r="P569" t="str">
        <f>"02"</f>
        <v>02</v>
      </c>
      <c r="Q569" t="s">
        <v>835</v>
      </c>
      <c r="S569" t="s">
        <v>836</v>
      </c>
      <c r="T569" t="s">
        <v>836</v>
      </c>
      <c r="U569" t="str">
        <f>"2016-06-02 00:00:00.0"</f>
        <v>2016-06-02 00:00:00.0</v>
      </c>
      <c r="V569" t="s">
        <v>837</v>
      </c>
      <c r="W569" t="str">
        <f t="shared" si="149"/>
        <v>048314-004697-**-**</v>
      </c>
      <c r="X569" t="s">
        <v>838</v>
      </c>
      <c r="Y569">
        <v>1181.25</v>
      </c>
      <c r="Z569">
        <v>1206.25</v>
      </c>
      <c r="AA569" t="str">
        <f t="shared" si="144"/>
        <v>06/08/2016</v>
      </c>
    </row>
    <row r="570" spans="1:27" x14ac:dyDescent="0.3">
      <c r="A570" t="str">
        <f t="shared" si="139"/>
        <v>048314</v>
      </c>
      <c r="B570" t="str">
        <f t="shared" si="140"/>
        <v>004697</v>
      </c>
      <c r="C570" t="s">
        <v>955</v>
      </c>
      <c r="D570" t="s">
        <v>3839</v>
      </c>
      <c r="E570" t="s">
        <v>3840</v>
      </c>
      <c r="F570" t="s">
        <v>3841</v>
      </c>
      <c r="G570" t="s">
        <v>3842</v>
      </c>
      <c r="H570" t="str">
        <f t="shared" si="142"/>
        <v>048314</v>
      </c>
      <c r="I570" t="s">
        <v>833</v>
      </c>
      <c r="J570" t="str">
        <f>"2016-06-03 00:00:00.0"</f>
        <v>2016-06-03 00:00:00.0</v>
      </c>
      <c r="K570" t="s">
        <v>834</v>
      </c>
      <c r="L570" t="s">
        <v>0</v>
      </c>
      <c r="M570" t="str">
        <f t="shared" si="135"/>
        <v>048314</v>
      </c>
      <c r="N570">
        <v>2.0725E-2</v>
      </c>
      <c r="O570">
        <v>2.0725E-2</v>
      </c>
      <c r="P570" t="str">
        <f>"02"</f>
        <v>02</v>
      </c>
      <c r="Q570" t="s">
        <v>835</v>
      </c>
      <c r="S570" t="s">
        <v>836</v>
      </c>
      <c r="T570" t="s">
        <v>836</v>
      </c>
      <c r="U570" t="str">
        <f t="shared" ref="U570:U588" si="150">"2500-12-31 00:00:00.0"</f>
        <v>2500-12-31 00:00:00.0</v>
      </c>
      <c r="V570" t="s">
        <v>837</v>
      </c>
      <c r="W570" t="str">
        <f t="shared" si="149"/>
        <v>048314-004697-**-**</v>
      </c>
      <c r="X570" t="s">
        <v>838</v>
      </c>
      <c r="Y570">
        <v>25</v>
      </c>
      <c r="Z570">
        <v>1206.25</v>
      </c>
      <c r="AA570" t="str">
        <f t="shared" si="144"/>
        <v>06/08/2016</v>
      </c>
    </row>
    <row r="571" spans="1:27" x14ac:dyDescent="0.3">
      <c r="A571" t="str">
        <f t="shared" si="139"/>
        <v>048314</v>
      </c>
      <c r="B571" t="str">
        <f t="shared" si="140"/>
        <v>004697</v>
      </c>
      <c r="C571" t="s">
        <v>1973</v>
      </c>
      <c r="D571" t="s">
        <v>3839</v>
      </c>
      <c r="E571" t="s">
        <v>3840</v>
      </c>
      <c r="F571" t="s">
        <v>3841</v>
      </c>
      <c r="G571" t="s">
        <v>3842</v>
      </c>
      <c r="H571" t="str">
        <f t="shared" si="142"/>
        <v>048314</v>
      </c>
      <c r="I571" t="s">
        <v>833</v>
      </c>
      <c r="J571" t="str">
        <f>"2015-07-01 00:00:00.0"</f>
        <v>2015-07-01 00:00:00.0</v>
      </c>
      <c r="K571" t="s">
        <v>834</v>
      </c>
      <c r="L571" t="s">
        <v>0</v>
      </c>
      <c r="M571" t="str">
        <f t="shared" si="135"/>
        <v>048314</v>
      </c>
      <c r="N571">
        <v>1</v>
      </c>
      <c r="O571">
        <v>1</v>
      </c>
      <c r="P571" t="str">
        <f>"01"</f>
        <v>01</v>
      </c>
      <c r="Q571" t="s">
        <v>835</v>
      </c>
      <c r="S571" t="s">
        <v>836</v>
      </c>
      <c r="T571" t="s">
        <v>836</v>
      </c>
      <c r="U571" t="str">
        <f t="shared" si="150"/>
        <v>2500-12-31 00:00:00.0</v>
      </c>
      <c r="V571" t="s">
        <v>837</v>
      </c>
      <c r="W571" t="str">
        <f t="shared" si="149"/>
        <v>048314-004697-**-**</v>
      </c>
      <c r="X571" t="s">
        <v>838</v>
      </c>
      <c r="Y571">
        <v>1206.25</v>
      </c>
      <c r="Z571">
        <v>1206.25</v>
      </c>
      <c r="AA571" t="str">
        <f t="shared" si="144"/>
        <v>06/08/2016</v>
      </c>
    </row>
    <row r="572" spans="1:27" x14ac:dyDescent="0.3">
      <c r="A572" t="str">
        <f t="shared" si="139"/>
        <v>048314</v>
      </c>
      <c r="B572" t="str">
        <f t="shared" si="140"/>
        <v>004697</v>
      </c>
      <c r="C572" t="s">
        <v>2234</v>
      </c>
      <c r="D572" t="s">
        <v>3839</v>
      </c>
      <c r="E572" t="s">
        <v>3840</v>
      </c>
      <c r="F572" t="s">
        <v>3841</v>
      </c>
      <c r="G572" t="s">
        <v>3842</v>
      </c>
      <c r="H572" t="str">
        <f t="shared" si="142"/>
        <v>048314</v>
      </c>
      <c r="I572" t="s">
        <v>833</v>
      </c>
      <c r="J572" t="str">
        <f>"2016-01-26 00:00:00.0"</f>
        <v>2016-01-26 00:00:00.0</v>
      </c>
      <c r="K572" t="s">
        <v>834</v>
      </c>
      <c r="L572" t="s">
        <v>0</v>
      </c>
      <c r="M572" t="str">
        <f t="shared" si="135"/>
        <v>048314</v>
      </c>
      <c r="N572">
        <v>0.48186499999999999</v>
      </c>
      <c r="O572">
        <v>0.47519099999999997</v>
      </c>
      <c r="P572" t="str">
        <f>"01"</f>
        <v>01</v>
      </c>
      <c r="Q572" t="s">
        <v>835</v>
      </c>
      <c r="S572" t="s">
        <v>836</v>
      </c>
      <c r="T572" t="s">
        <v>836</v>
      </c>
      <c r="U572" t="str">
        <f t="shared" si="150"/>
        <v>2500-12-31 00:00:00.0</v>
      </c>
      <c r="V572" t="s">
        <v>837</v>
      </c>
      <c r="W572" t="str">
        <f t="shared" si="149"/>
        <v>048314-004697-**-**</v>
      </c>
      <c r="X572" t="s">
        <v>838</v>
      </c>
      <c r="Y572">
        <v>581.25</v>
      </c>
      <c r="Z572">
        <v>1206.25</v>
      </c>
      <c r="AA572" t="str">
        <f t="shared" si="144"/>
        <v>06/08/2016</v>
      </c>
    </row>
    <row r="573" spans="1:27" x14ac:dyDescent="0.3">
      <c r="A573" t="str">
        <f t="shared" si="139"/>
        <v>048314</v>
      </c>
      <c r="B573" t="str">
        <f t="shared" si="140"/>
        <v>004697</v>
      </c>
      <c r="C573" t="s">
        <v>3196</v>
      </c>
      <c r="D573" t="s">
        <v>3839</v>
      </c>
      <c r="E573" t="s">
        <v>3840</v>
      </c>
      <c r="F573" t="s">
        <v>3841</v>
      </c>
      <c r="G573" t="s">
        <v>3842</v>
      </c>
      <c r="H573" t="str">
        <f t="shared" si="142"/>
        <v>048314</v>
      </c>
      <c r="I573" t="s">
        <v>833</v>
      </c>
      <c r="J573" t="str">
        <f>"2015-07-01 00:00:00.0"</f>
        <v>2015-07-01 00:00:00.0</v>
      </c>
      <c r="K573" t="s">
        <v>834</v>
      </c>
      <c r="L573" t="s">
        <v>0</v>
      </c>
      <c r="M573" t="str">
        <f t="shared" si="135"/>
        <v>048314</v>
      </c>
      <c r="N573">
        <v>1</v>
      </c>
      <c r="O573">
        <v>1</v>
      </c>
      <c r="P573" t="str">
        <f>"03"</f>
        <v>03</v>
      </c>
      <c r="Q573" t="s">
        <v>835</v>
      </c>
      <c r="S573" t="s">
        <v>836</v>
      </c>
      <c r="T573" t="s">
        <v>836</v>
      </c>
      <c r="U573" t="str">
        <f t="shared" si="150"/>
        <v>2500-12-31 00:00:00.0</v>
      </c>
      <c r="V573" t="s">
        <v>837</v>
      </c>
      <c r="W573" t="str">
        <f t="shared" si="149"/>
        <v>048314-004697-**-**</v>
      </c>
      <c r="X573" t="s">
        <v>838</v>
      </c>
      <c r="Y573">
        <v>1206.25</v>
      </c>
      <c r="Z573">
        <v>1206.25</v>
      </c>
      <c r="AA573" t="str">
        <f t="shared" si="144"/>
        <v>06/08/2016</v>
      </c>
    </row>
    <row r="574" spans="1:27" x14ac:dyDescent="0.3">
      <c r="A574" t="str">
        <f t="shared" si="139"/>
        <v>048314</v>
      </c>
      <c r="B574" t="str">
        <f t="shared" si="140"/>
        <v>004697</v>
      </c>
      <c r="C574" t="s">
        <v>1550</v>
      </c>
      <c r="D574" t="s">
        <v>3839</v>
      </c>
      <c r="E574" t="s">
        <v>3840</v>
      </c>
      <c r="F574" t="s">
        <v>3841</v>
      </c>
      <c r="G574" t="s">
        <v>3842</v>
      </c>
      <c r="H574" t="str">
        <f t="shared" si="142"/>
        <v>048314</v>
      </c>
      <c r="I574" t="s">
        <v>833</v>
      </c>
      <c r="J574" t="str">
        <f>"2015-08-01 00:00:00.0"</f>
        <v>2015-08-01 00:00:00.0</v>
      </c>
      <c r="K574" t="s">
        <v>834</v>
      </c>
      <c r="L574" t="s">
        <v>0</v>
      </c>
      <c r="M574" t="str">
        <f t="shared" ref="M574:M637" si="151">"048314"</f>
        <v>048314</v>
      </c>
      <c r="N574">
        <v>1</v>
      </c>
      <c r="O574">
        <v>1</v>
      </c>
      <c r="P574" t="s">
        <v>764</v>
      </c>
      <c r="Q574" t="s">
        <v>835</v>
      </c>
      <c r="S574" t="s">
        <v>836</v>
      </c>
      <c r="T574" t="s">
        <v>836</v>
      </c>
      <c r="U574" t="str">
        <f t="shared" si="150"/>
        <v>2500-12-31 00:00:00.0</v>
      </c>
      <c r="V574" t="s">
        <v>837</v>
      </c>
      <c r="W574" t="str">
        <f t="shared" si="149"/>
        <v>048314-004697-**-**</v>
      </c>
      <c r="X574" t="s">
        <v>838</v>
      </c>
      <c r="Y574">
        <v>1206.25</v>
      </c>
      <c r="Z574">
        <v>1206.25</v>
      </c>
      <c r="AA574" t="str">
        <f t="shared" si="144"/>
        <v>06/08/2016</v>
      </c>
    </row>
    <row r="575" spans="1:27" x14ac:dyDescent="0.3">
      <c r="A575" t="str">
        <f t="shared" si="139"/>
        <v>048314</v>
      </c>
      <c r="B575" t="str">
        <f t="shared" si="140"/>
        <v>004697</v>
      </c>
      <c r="C575" t="s">
        <v>3353</v>
      </c>
      <c r="D575" t="s">
        <v>3839</v>
      </c>
      <c r="E575" t="s">
        <v>3840</v>
      </c>
      <c r="F575" t="s">
        <v>3841</v>
      </c>
      <c r="G575" t="s">
        <v>3842</v>
      </c>
      <c r="H575" t="str">
        <f t="shared" si="142"/>
        <v>048314</v>
      </c>
      <c r="I575" t="s">
        <v>833</v>
      </c>
      <c r="J575" t="str">
        <f>"2015-07-01 00:00:00.0"</f>
        <v>2015-07-01 00:00:00.0</v>
      </c>
      <c r="K575" t="s">
        <v>834</v>
      </c>
      <c r="L575" t="s">
        <v>0</v>
      </c>
      <c r="M575" t="str">
        <f t="shared" si="151"/>
        <v>048314</v>
      </c>
      <c r="N575">
        <v>1</v>
      </c>
      <c r="O575">
        <v>1</v>
      </c>
      <c r="P575" t="str">
        <f>"04"</f>
        <v>04</v>
      </c>
      <c r="Q575" t="s">
        <v>835</v>
      </c>
      <c r="S575" t="s">
        <v>836</v>
      </c>
      <c r="T575" t="s">
        <v>836</v>
      </c>
      <c r="U575" t="str">
        <f t="shared" si="150"/>
        <v>2500-12-31 00:00:00.0</v>
      </c>
      <c r="V575" t="s">
        <v>837</v>
      </c>
      <c r="W575" t="str">
        <f t="shared" si="149"/>
        <v>048314-004697-**-**</v>
      </c>
      <c r="X575" t="s">
        <v>838</v>
      </c>
      <c r="Y575">
        <v>1206.25</v>
      </c>
      <c r="Z575">
        <v>1206.25</v>
      </c>
      <c r="AA575" t="str">
        <f t="shared" si="144"/>
        <v>06/08/2016</v>
      </c>
    </row>
    <row r="576" spans="1:27" x14ac:dyDescent="0.3">
      <c r="A576" t="str">
        <f t="shared" si="139"/>
        <v>048314</v>
      </c>
      <c r="B576" t="str">
        <f t="shared" si="140"/>
        <v>004697</v>
      </c>
      <c r="C576" t="s">
        <v>2940</v>
      </c>
      <c r="D576" t="s">
        <v>3839</v>
      </c>
      <c r="E576" t="s">
        <v>3840</v>
      </c>
      <c r="F576" t="s">
        <v>3841</v>
      </c>
      <c r="G576" t="s">
        <v>3842</v>
      </c>
      <c r="H576" t="str">
        <f t="shared" si="142"/>
        <v>048314</v>
      </c>
      <c r="I576" t="s">
        <v>833</v>
      </c>
      <c r="J576" t="str">
        <f>"2015-07-01 00:00:00.0"</f>
        <v>2015-07-01 00:00:00.0</v>
      </c>
      <c r="K576" t="s">
        <v>834</v>
      </c>
      <c r="L576" t="s">
        <v>0</v>
      </c>
      <c r="M576" t="str">
        <f t="shared" si="151"/>
        <v>048314</v>
      </c>
      <c r="N576">
        <v>1</v>
      </c>
      <c r="O576">
        <v>1</v>
      </c>
      <c r="P576" t="str">
        <f>"05"</f>
        <v>05</v>
      </c>
      <c r="Q576" t="s">
        <v>835</v>
      </c>
      <c r="S576" t="s">
        <v>836</v>
      </c>
      <c r="T576" t="s">
        <v>836</v>
      </c>
      <c r="U576" t="str">
        <f t="shared" si="150"/>
        <v>2500-12-31 00:00:00.0</v>
      </c>
      <c r="V576" t="s">
        <v>837</v>
      </c>
      <c r="W576" t="str">
        <f>"048314-070417-**-**"</f>
        <v>048314-070417-**-**</v>
      </c>
      <c r="X576" t="s">
        <v>838</v>
      </c>
      <c r="Y576">
        <v>1125</v>
      </c>
      <c r="Z576">
        <v>1125</v>
      </c>
      <c r="AA576" t="str">
        <f t="shared" si="144"/>
        <v>06/08/2016</v>
      </c>
    </row>
    <row r="577" spans="1:27" x14ac:dyDescent="0.3">
      <c r="A577" t="str">
        <f t="shared" si="139"/>
        <v>048314</v>
      </c>
      <c r="B577" t="str">
        <f t="shared" si="140"/>
        <v>004697</v>
      </c>
      <c r="C577" t="s">
        <v>3205</v>
      </c>
      <c r="D577" t="s">
        <v>3839</v>
      </c>
      <c r="E577" t="s">
        <v>3840</v>
      </c>
      <c r="F577" t="s">
        <v>3841</v>
      </c>
      <c r="G577" t="s">
        <v>3842</v>
      </c>
      <c r="H577" t="str">
        <f t="shared" si="142"/>
        <v>048314</v>
      </c>
      <c r="I577" t="s">
        <v>833</v>
      </c>
      <c r="J577" t="str">
        <f>"2015-07-01 00:00:00.0"</f>
        <v>2015-07-01 00:00:00.0</v>
      </c>
      <c r="K577" t="s">
        <v>834</v>
      </c>
      <c r="L577" t="s">
        <v>0</v>
      </c>
      <c r="M577" t="str">
        <f t="shared" si="151"/>
        <v>048314</v>
      </c>
      <c r="N577">
        <v>1</v>
      </c>
      <c r="O577">
        <v>1</v>
      </c>
      <c r="P577" t="str">
        <f>"02"</f>
        <v>02</v>
      </c>
      <c r="Q577" t="s">
        <v>835</v>
      </c>
      <c r="S577" t="s">
        <v>836</v>
      </c>
      <c r="T577" t="s">
        <v>836</v>
      </c>
      <c r="U577" t="str">
        <f t="shared" si="150"/>
        <v>2500-12-31 00:00:00.0</v>
      </c>
      <c r="V577" t="s">
        <v>837</v>
      </c>
      <c r="W577" t="str">
        <f t="shared" ref="W577:W584" si="152">"048314-004697-**-**"</f>
        <v>048314-004697-**-**</v>
      </c>
      <c r="X577" t="s">
        <v>838</v>
      </c>
      <c r="Y577">
        <v>1206.25</v>
      </c>
      <c r="Z577">
        <v>1206.25</v>
      </c>
      <c r="AA577" t="str">
        <f t="shared" si="144"/>
        <v>06/08/2016</v>
      </c>
    </row>
    <row r="578" spans="1:27" x14ac:dyDescent="0.3">
      <c r="A578" t="str">
        <f t="shared" ref="A578:A641" si="153">"048314"</f>
        <v>048314</v>
      </c>
      <c r="B578" t="str">
        <f t="shared" si="140"/>
        <v>004697</v>
      </c>
      <c r="C578" t="s">
        <v>1000</v>
      </c>
      <c r="D578" t="s">
        <v>3839</v>
      </c>
      <c r="E578" t="s">
        <v>3840</v>
      </c>
      <c r="F578" t="s">
        <v>3841</v>
      </c>
      <c r="G578" t="s">
        <v>3842</v>
      </c>
      <c r="H578" t="str">
        <f t="shared" si="142"/>
        <v>048314</v>
      </c>
      <c r="I578" t="s">
        <v>833</v>
      </c>
      <c r="J578" t="str">
        <f>"2015-07-01 00:00:00.0"</f>
        <v>2015-07-01 00:00:00.0</v>
      </c>
      <c r="K578" t="s">
        <v>834</v>
      </c>
      <c r="L578" t="s">
        <v>0</v>
      </c>
      <c r="M578" t="str">
        <f t="shared" si="151"/>
        <v>048314</v>
      </c>
      <c r="N578">
        <v>1</v>
      </c>
      <c r="O578">
        <v>1</v>
      </c>
      <c r="P578" t="str">
        <f>"03"</f>
        <v>03</v>
      </c>
      <c r="Q578" t="s">
        <v>835</v>
      </c>
      <c r="S578" t="s">
        <v>836</v>
      </c>
      <c r="T578" t="s">
        <v>836</v>
      </c>
      <c r="U578" t="str">
        <f t="shared" si="150"/>
        <v>2500-12-31 00:00:00.0</v>
      </c>
      <c r="V578" t="s">
        <v>837</v>
      </c>
      <c r="W578" t="str">
        <f t="shared" si="152"/>
        <v>048314-004697-**-**</v>
      </c>
      <c r="X578" t="s">
        <v>838</v>
      </c>
      <c r="Y578">
        <v>1206.25</v>
      </c>
      <c r="Z578">
        <v>1206.25</v>
      </c>
      <c r="AA578" t="str">
        <f t="shared" si="144"/>
        <v>06/08/2016</v>
      </c>
    </row>
    <row r="579" spans="1:27" x14ac:dyDescent="0.3">
      <c r="A579" t="str">
        <f t="shared" si="153"/>
        <v>048314</v>
      </c>
      <c r="B579" t="str">
        <f t="shared" si="140"/>
        <v>004697</v>
      </c>
      <c r="C579" t="s">
        <v>3584</v>
      </c>
      <c r="D579" t="s">
        <v>3839</v>
      </c>
      <c r="E579" t="s">
        <v>3840</v>
      </c>
      <c r="F579" t="s">
        <v>3841</v>
      </c>
      <c r="G579" t="s">
        <v>3842</v>
      </c>
      <c r="H579" t="str">
        <f t="shared" si="142"/>
        <v>048314</v>
      </c>
      <c r="I579" t="s">
        <v>833</v>
      </c>
      <c r="J579" t="str">
        <f>"2015-07-01 00:00:00.0"</f>
        <v>2015-07-01 00:00:00.0</v>
      </c>
      <c r="K579" t="s">
        <v>834</v>
      </c>
      <c r="L579" t="s">
        <v>0</v>
      </c>
      <c r="M579" t="str">
        <f t="shared" si="151"/>
        <v>048314</v>
      </c>
      <c r="N579">
        <v>1</v>
      </c>
      <c r="O579">
        <v>1</v>
      </c>
      <c r="P579" t="str">
        <f>"04"</f>
        <v>04</v>
      </c>
      <c r="Q579" t="s">
        <v>835</v>
      </c>
      <c r="S579" t="s">
        <v>836</v>
      </c>
      <c r="T579" t="s">
        <v>836</v>
      </c>
      <c r="U579" t="str">
        <f t="shared" si="150"/>
        <v>2500-12-31 00:00:00.0</v>
      </c>
      <c r="V579" t="s">
        <v>837</v>
      </c>
      <c r="W579" t="str">
        <f t="shared" si="152"/>
        <v>048314-004697-**-**</v>
      </c>
      <c r="X579" t="s">
        <v>838</v>
      </c>
      <c r="Y579">
        <v>1206.25</v>
      </c>
      <c r="Z579">
        <v>1206.25</v>
      </c>
      <c r="AA579" t="str">
        <f t="shared" si="144"/>
        <v>06/08/2016</v>
      </c>
    </row>
    <row r="580" spans="1:27" x14ac:dyDescent="0.3">
      <c r="A580" t="str">
        <f t="shared" si="153"/>
        <v>048314</v>
      </c>
      <c r="B580" t="str">
        <f t="shared" si="140"/>
        <v>004697</v>
      </c>
      <c r="C580" t="s">
        <v>1641</v>
      </c>
      <c r="D580" t="s">
        <v>3839</v>
      </c>
      <c r="E580" t="s">
        <v>3840</v>
      </c>
      <c r="F580" t="s">
        <v>3841</v>
      </c>
      <c r="G580" t="s">
        <v>3842</v>
      </c>
      <c r="H580" t="str">
        <f t="shared" si="142"/>
        <v>048314</v>
      </c>
      <c r="I580" t="s">
        <v>833</v>
      </c>
      <c r="J580" t="str">
        <f>"2015-08-01 00:00:00.0"</f>
        <v>2015-08-01 00:00:00.0</v>
      </c>
      <c r="K580" t="s">
        <v>834</v>
      </c>
      <c r="L580" t="s">
        <v>0</v>
      </c>
      <c r="M580" t="str">
        <f t="shared" si="151"/>
        <v>048314</v>
      </c>
      <c r="N580">
        <v>1</v>
      </c>
      <c r="O580">
        <v>1</v>
      </c>
      <c r="P580" t="s">
        <v>764</v>
      </c>
      <c r="Q580" t="s">
        <v>835</v>
      </c>
      <c r="S580" t="s">
        <v>836</v>
      </c>
      <c r="T580" t="s">
        <v>836</v>
      </c>
      <c r="U580" t="str">
        <f t="shared" si="150"/>
        <v>2500-12-31 00:00:00.0</v>
      </c>
      <c r="V580" t="s">
        <v>837</v>
      </c>
      <c r="W580" t="str">
        <f t="shared" si="152"/>
        <v>048314-004697-**-**</v>
      </c>
      <c r="X580" t="s">
        <v>838</v>
      </c>
      <c r="Y580">
        <v>1206.25</v>
      </c>
      <c r="Z580">
        <v>1206.25</v>
      </c>
      <c r="AA580" t="str">
        <f t="shared" si="144"/>
        <v>06/08/2016</v>
      </c>
    </row>
    <row r="581" spans="1:27" x14ac:dyDescent="0.3">
      <c r="A581" t="str">
        <f t="shared" si="153"/>
        <v>048314</v>
      </c>
      <c r="B581" t="str">
        <f t="shared" si="140"/>
        <v>004697</v>
      </c>
      <c r="C581" t="s">
        <v>3354</v>
      </c>
      <c r="D581" t="s">
        <v>3839</v>
      </c>
      <c r="E581" t="s">
        <v>3840</v>
      </c>
      <c r="F581" t="s">
        <v>3841</v>
      </c>
      <c r="G581" t="s">
        <v>3842</v>
      </c>
      <c r="H581" t="str">
        <f t="shared" si="142"/>
        <v>048314</v>
      </c>
      <c r="I581" t="s">
        <v>833</v>
      </c>
      <c r="J581" t="str">
        <f t="shared" ref="J581:J588" si="154">"2015-07-01 00:00:00.0"</f>
        <v>2015-07-01 00:00:00.0</v>
      </c>
      <c r="K581" t="s">
        <v>834</v>
      </c>
      <c r="L581" t="s">
        <v>0</v>
      </c>
      <c r="M581" t="str">
        <f t="shared" si="151"/>
        <v>048314</v>
      </c>
      <c r="N581">
        <v>1</v>
      </c>
      <c r="O581">
        <v>1</v>
      </c>
      <c r="P581" t="str">
        <f>"04"</f>
        <v>04</v>
      </c>
      <c r="Q581" t="s">
        <v>835</v>
      </c>
      <c r="S581" t="s">
        <v>836</v>
      </c>
      <c r="T581" t="s">
        <v>836</v>
      </c>
      <c r="U581" t="str">
        <f t="shared" si="150"/>
        <v>2500-12-31 00:00:00.0</v>
      </c>
      <c r="V581" t="s">
        <v>837</v>
      </c>
      <c r="W581" t="str">
        <f t="shared" si="152"/>
        <v>048314-004697-**-**</v>
      </c>
      <c r="X581" t="s">
        <v>838</v>
      </c>
      <c r="Y581">
        <v>1206.25</v>
      </c>
      <c r="Z581">
        <v>1206.25</v>
      </c>
      <c r="AA581" t="str">
        <f t="shared" si="144"/>
        <v>06/08/2016</v>
      </c>
    </row>
    <row r="582" spans="1:27" x14ac:dyDescent="0.3">
      <c r="A582" t="str">
        <f t="shared" si="153"/>
        <v>048314</v>
      </c>
      <c r="B582" t="str">
        <f t="shared" si="140"/>
        <v>004697</v>
      </c>
      <c r="C582" t="s">
        <v>3564</v>
      </c>
      <c r="D582" t="s">
        <v>3839</v>
      </c>
      <c r="E582" t="s">
        <v>3840</v>
      </c>
      <c r="F582" t="s">
        <v>3841</v>
      </c>
      <c r="G582" t="s">
        <v>3842</v>
      </c>
      <c r="H582" t="str">
        <f t="shared" si="142"/>
        <v>048314</v>
      </c>
      <c r="I582" t="s">
        <v>833</v>
      </c>
      <c r="J582" t="str">
        <f t="shared" si="154"/>
        <v>2015-07-01 00:00:00.0</v>
      </c>
      <c r="K582" t="s">
        <v>834</v>
      </c>
      <c r="L582" t="s">
        <v>0</v>
      </c>
      <c r="M582" t="str">
        <f t="shared" si="151"/>
        <v>048314</v>
      </c>
      <c r="N582">
        <v>1</v>
      </c>
      <c r="O582">
        <v>1</v>
      </c>
      <c r="P582" t="str">
        <f>"03"</f>
        <v>03</v>
      </c>
      <c r="Q582" t="s">
        <v>835</v>
      </c>
      <c r="S582" t="s">
        <v>836</v>
      </c>
      <c r="T582" t="s">
        <v>836</v>
      </c>
      <c r="U582" t="str">
        <f t="shared" si="150"/>
        <v>2500-12-31 00:00:00.0</v>
      </c>
      <c r="V582" t="s">
        <v>837</v>
      </c>
      <c r="W582" t="str">
        <f t="shared" si="152"/>
        <v>048314-004697-**-**</v>
      </c>
      <c r="X582" t="s">
        <v>838</v>
      </c>
      <c r="Y582">
        <v>1206.25</v>
      </c>
      <c r="Z582">
        <v>1206.25</v>
      </c>
      <c r="AA582" t="str">
        <f t="shared" si="144"/>
        <v>06/08/2016</v>
      </c>
    </row>
    <row r="583" spans="1:27" x14ac:dyDescent="0.3">
      <c r="A583" t="str">
        <f t="shared" si="153"/>
        <v>048314</v>
      </c>
      <c r="B583" t="str">
        <f t="shared" si="140"/>
        <v>004697</v>
      </c>
      <c r="C583" t="s">
        <v>2797</v>
      </c>
      <c r="D583" t="s">
        <v>3839</v>
      </c>
      <c r="E583" t="s">
        <v>3840</v>
      </c>
      <c r="F583" t="s">
        <v>3841</v>
      </c>
      <c r="G583" t="s">
        <v>3842</v>
      </c>
      <c r="H583" t="str">
        <f t="shared" si="142"/>
        <v>048314</v>
      </c>
      <c r="I583" t="s">
        <v>833</v>
      </c>
      <c r="J583" t="str">
        <f t="shared" si="154"/>
        <v>2015-07-01 00:00:00.0</v>
      </c>
      <c r="K583" t="s">
        <v>834</v>
      </c>
      <c r="L583" t="s">
        <v>0</v>
      </c>
      <c r="M583" t="str">
        <f t="shared" si="151"/>
        <v>048314</v>
      </c>
      <c r="N583">
        <v>1</v>
      </c>
      <c r="O583">
        <v>1</v>
      </c>
      <c r="P583" t="str">
        <f>"02"</f>
        <v>02</v>
      </c>
      <c r="Q583" t="s">
        <v>835</v>
      </c>
      <c r="S583" t="s">
        <v>836</v>
      </c>
      <c r="T583" t="s">
        <v>836</v>
      </c>
      <c r="U583" t="str">
        <f t="shared" si="150"/>
        <v>2500-12-31 00:00:00.0</v>
      </c>
      <c r="V583" t="s">
        <v>837</v>
      </c>
      <c r="W583" t="str">
        <f t="shared" si="152"/>
        <v>048314-004697-**-**</v>
      </c>
      <c r="X583" t="s">
        <v>838</v>
      </c>
      <c r="Y583">
        <v>1206.25</v>
      </c>
      <c r="Z583">
        <v>1206.25</v>
      </c>
      <c r="AA583" t="str">
        <f t="shared" si="144"/>
        <v>06/08/2016</v>
      </c>
    </row>
    <row r="584" spans="1:27" x14ac:dyDescent="0.3">
      <c r="A584" t="str">
        <f t="shared" si="153"/>
        <v>048314</v>
      </c>
      <c r="B584" t="str">
        <f t="shared" si="140"/>
        <v>004697</v>
      </c>
      <c r="C584" t="s">
        <v>3607</v>
      </c>
      <c r="D584" t="s">
        <v>3839</v>
      </c>
      <c r="E584" t="s">
        <v>3840</v>
      </c>
      <c r="F584" t="s">
        <v>3841</v>
      </c>
      <c r="G584" t="s">
        <v>3842</v>
      </c>
      <c r="H584" t="str">
        <f t="shared" si="142"/>
        <v>048314</v>
      </c>
      <c r="I584" t="s">
        <v>833</v>
      </c>
      <c r="J584" t="str">
        <f t="shared" si="154"/>
        <v>2015-07-01 00:00:00.0</v>
      </c>
      <c r="K584" t="s">
        <v>834</v>
      </c>
      <c r="L584" t="s">
        <v>0</v>
      </c>
      <c r="M584" t="str">
        <f t="shared" si="151"/>
        <v>048314</v>
      </c>
      <c r="N584">
        <v>1</v>
      </c>
      <c r="O584">
        <v>1</v>
      </c>
      <c r="P584" t="str">
        <f>"04"</f>
        <v>04</v>
      </c>
      <c r="Q584" t="s">
        <v>835</v>
      </c>
      <c r="S584" t="s">
        <v>836</v>
      </c>
      <c r="T584" t="s">
        <v>836</v>
      </c>
      <c r="U584" t="str">
        <f t="shared" si="150"/>
        <v>2500-12-31 00:00:00.0</v>
      </c>
      <c r="V584" t="s">
        <v>837</v>
      </c>
      <c r="W584" t="str">
        <f t="shared" si="152"/>
        <v>048314-004697-**-**</v>
      </c>
      <c r="X584" t="s">
        <v>838</v>
      </c>
      <c r="Y584">
        <v>1206.25</v>
      </c>
      <c r="Z584">
        <v>1206.25</v>
      </c>
      <c r="AA584" t="str">
        <f t="shared" si="144"/>
        <v>06/08/2016</v>
      </c>
    </row>
    <row r="585" spans="1:27" x14ac:dyDescent="0.3">
      <c r="A585" t="str">
        <f t="shared" si="153"/>
        <v>048314</v>
      </c>
      <c r="B585" t="str">
        <f t="shared" si="140"/>
        <v>004697</v>
      </c>
      <c r="C585" t="s">
        <v>3291</v>
      </c>
      <c r="D585" t="s">
        <v>3839</v>
      </c>
      <c r="E585" t="s">
        <v>3840</v>
      </c>
      <c r="F585" t="s">
        <v>3841</v>
      </c>
      <c r="G585" t="s">
        <v>3842</v>
      </c>
      <c r="H585" t="str">
        <f t="shared" si="142"/>
        <v>048314</v>
      </c>
      <c r="I585" t="s">
        <v>833</v>
      </c>
      <c r="J585" t="str">
        <f t="shared" si="154"/>
        <v>2015-07-01 00:00:00.0</v>
      </c>
      <c r="K585" t="s">
        <v>834</v>
      </c>
      <c r="L585" t="s">
        <v>0</v>
      </c>
      <c r="M585" t="str">
        <f t="shared" si="151"/>
        <v>048314</v>
      </c>
      <c r="N585">
        <v>1</v>
      </c>
      <c r="O585">
        <v>1</v>
      </c>
      <c r="P585" t="str">
        <f>"05"</f>
        <v>05</v>
      </c>
      <c r="Q585" t="s">
        <v>835</v>
      </c>
      <c r="S585" t="s">
        <v>836</v>
      </c>
      <c r="T585" t="s">
        <v>836</v>
      </c>
      <c r="U585" t="str">
        <f t="shared" si="150"/>
        <v>2500-12-31 00:00:00.0</v>
      </c>
      <c r="V585" t="s">
        <v>837</v>
      </c>
      <c r="W585" t="str">
        <f>"048314-070417-**-**"</f>
        <v>048314-070417-**-**</v>
      </c>
      <c r="X585" t="s">
        <v>838</v>
      </c>
      <c r="Y585">
        <v>1125</v>
      </c>
      <c r="Z585">
        <v>1125</v>
      </c>
      <c r="AA585" t="str">
        <f t="shared" si="144"/>
        <v>06/08/2016</v>
      </c>
    </row>
    <row r="586" spans="1:27" x14ac:dyDescent="0.3">
      <c r="A586" t="str">
        <f t="shared" si="153"/>
        <v>048314</v>
      </c>
      <c r="B586" t="str">
        <f t="shared" si="140"/>
        <v>004697</v>
      </c>
      <c r="C586" t="s">
        <v>1249</v>
      </c>
      <c r="D586" t="s">
        <v>3839</v>
      </c>
      <c r="E586" t="s">
        <v>3840</v>
      </c>
      <c r="F586" t="s">
        <v>3841</v>
      </c>
      <c r="G586" t="s">
        <v>3842</v>
      </c>
      <c r="H586" t="str">
        <f t="shared" si="142"/>
        <v>048314</v>
      </c>
      <c r="I586" t="s">
        <v>833</v>
      </c>
      <c r="J586" t="str">
        <f t="shared" si="154"/>
        <v>2015-07-01 00:00:00.0</v>
      </c>
      <c r="K586" t="s">
        <v>834</v>
      </c>
      <c r="L586" t="s">
        <v>0</v>
      </c>
      <c r="M586" t="str">
        <f t="shared" si="151"/>
        <v>048314</v>
      </c>
      <c r="N586">
        <v>1</v>
      </c>
      <c r="O586">
        <v>1</v>
      </c>
      <c r="P586" t="str">
        <f>"03"</f>
        <v>03</v>
      </c>
      <c r="Q586" t="s">
        <v>835</v>
      </c>
      <c r="S586" t="s">
        <v>836</v>
      </c>
      <c r="T586" t="s">
        <v>836</v>
      </c>
      <c r="U586" t="str">
        <f t="shared" si="150"/>
        <v>2500-12-31 00:00:00.0</v>
      </c>
      <c r="V586" t="s">
        <v>837</v>
      </c>
      <c r="W586" t="str">
        <f>"048314-004697-**-**"</f>
        <v>048314-004697-**-**</v>
      </c>
      <c r="X586" t="s">
        <v>838</v>
      </c>
      <c r="Y586">
        <v>1206.25</v>
      </c>
      <c r="Z586">
        <v>1206.25</v>
      </c>
      <c r="AA586" t="str">
        <f t="shared" si="144"/>
        <v>06/08/2016</v>
      </c>
    </row>
    <row r="587" spans="1:27" x14ac:dyDescent="0.3">
      <c r="A587" t="str">
        <f t="shared" si="153"/>
        <v>048314</v>
      </c>
      <c r="B587" t="str">
        <f t="shared" si="140"/>
        <v>004697</v>
      </c>
      <c r="C587" t="s">
        <v>856</v>
      </c>
      <c r="D587" t="s">
        <v>3839</v>
      </c>
      <c r="E587" t="s">
        <v>3840</v>
      </c>
      <c r="F587" t="s">
        <v>3841</v>
      </c>
      <c r="G587" t="s">
        <v>3842</v>
      </c>
      <c r="H587" t="str">
        <f t="shared" si="142"/>
        <v>048314</v>
      </c>
      <c r="I587" t="s">
        <v>833</v>
      </c>
      <c r="J587" t="str">
        <f t="shared" si="154"/>
        <v>2015-07-01 00:00:00.0</v>
      </c>
      <c r="K587" t="s">
        <v>834</v>
      </c>
      <c r="L587" t="s">
        <v>0</v>
      </c>
      <c r="M587" t="str">
        <f t="shared" si="151"/>
        <v>048314</v>
      </c>
      <c r="N587">
        <v>1</v>
      </c>
      <c r="O587">
        <v>1</v>
      </c>
      <c r="P587" t="str">
        <f>"05"</f>
        <v>05</v>
      </c>
      <c r="Q587" t="s">
        <v>835</v>
      </c>
      <c r="S587" t="s">
        <v>836</v>
      </c>
      <c r="T587" t="s">
        <v>836</v>
      </c>
      <c r="U587" t="str">
        <f t="shared" si="150"/>
        <v>2500-12-31 00:00:00.0</v>
      </c>
      <c r="V587" t="s">
        <v>837</v>
      </c>
      <c r="W587" t="str">
        <f>"048314-070417-**-**"</f>
        <v>048314-070417-**-**</v>
      </c>
      <c r="X587" t="s">
        <v>838</v>
      </c>
      <c r="Y587">
        <v>1125</v>
      </c>
      <c r="Z587">
        <v>1125</v>
      </c>
      <c r="AA587" t="str">
        <f t="shared" si="144"/>
        <v>06/08/2016</v>
      </c>
    </row>
    <row r="588" spans="1:27" x14ac:dyDescent="0.3">
      <c r="A588" t="str">
        <f t="shared" si="153"/>
        <v>048314</v>
      </c>
      <c r="B588" t="str">
        <f t="shared" si="140"/>
        <v>004697</v>
      </c>
      <c r="C588" t="s">
        <v>3422</v>
      </c>
      <c r="D588" t="s">
        <v>3839</v>
      </c>
      <c r="E588" t="s">
        <v>3840</v>
      </c>
      <c r="F588" t="s">
        <v>3841</v>
      </c>
      <c r="G588" t="s">
        <v>3842</v>
      </c>
      <c r="H588" t="str">
        <f t="shared" si="142"/>
        <v>048314</v>
      </c>
      <c r="I588" t="s">
        <v>833</v>
      </c>
      <c r="J588" t="str">
        <f t="shared" si="154"/>
        <v>2015-07-01 00:00:00.0</v>
      </c>
      <c r="K588" t="s">
        <v>834</v>
      </c>
      <c r="L588" t="s">
        <v>0</v>
      </c>
      <c r="M588" t="str">
        <f t="shared" si="151"/>
        <v>048314</v>
      </c>
      <c r="N588">
        <v>1</v>
      </c>
      <c r="O588">
        <v>1</v>
      </c>
      <c r="P588" t="str">
        <f>"04"</f>
        <v>04</v>
      </c>
      <c r="Q588" t="str">
        <f>"08"</f>
        <v>08</v>
      </c>
      <c r="R588" t="str">
        <f>"3"</f>
        <v>3</v>
      </c>
      <c r="S588" t="s">
        <v>836</v>
      </c>
      <c r="T588" t="s">
        <v>836</v>
      </c>
      <c r="U588" t="str">
        <f t="shared" si="150"/>
        <v>2500-12-31 00:00:00.0</v>
      </c>
      <c r="V588" t="s">
        <v>837</v>
      </c>
      <c r="W588" t="str">
        <f>"048314-004697-**-**"</f>
        <v>048314-004697-**-**</v>
      </c>
      <c r="X588" t="s">
        <v>838</v>
      </c>
      <c r="Y588">
        <v>1206.25</v>
      </c>
      <c r="Z588">
        <v>1206.25</v>
      </c>
      <c r="AA588" t="str">
        <f t="shared" si="144"/>
        <v>06/08/2016</v>
      </c>
    </row>
    <row r="589" spans="1:27" x14ac:dyDescent="0.3">
      <c r="A589" t="str">
        <f t="shared" si="153"/>
        <v>048314</v>
      </c>
      <c r="B589" t="str">
        <f t="shared" si="140"/>
        <v>004697</v>
      </c>
      <c r="C589" t="s">
        <v>1054</v>
      </c>
      <c r="D589" t="s">
        <v>3839</v>
      </c>
      <c r="E589" t="s">
        <v>3840</v>
      </c>
      <c r="F589" t="s">
        <v>3841</v>
      </c>
      <c r="G589" t="s">
        <v>3842</v>
      </c>
      <c r="H589" t="str">
        <f t="shared" si="142"/>
        <v>048314</v>
      </c>
      <c r="I589" t="s">
        <v>833</v>
      </c>
      <c r="J589" t="str">
        <f>"2015-08-01 00:00:00.0"</f>
        <v>2015-08-01 00:00:00.0</v>
      </c>
      <c r="K589" t="s">
        <v>834</v>
      </c>
      <c r="L589" t="s">
        <v>0</v>
      </c>
      <c r="M589" t="str">
        <f t="shared" si="151"/>
        <v>048314</v>
      </c>
      <c r="N589">
        <v>0.21243500000000001</v>
      </c>
      <c r="O589">
        <v>0.21243500000000001</v>
      </c>
      <c r="P589" t="s">
        <v>764</v>
      </c>
      <c r="Q589" t="s">
        <v>835</v>
      </c>
      <c r="S589" t="s">
        <v>836</v>
      </c>
      <c r="T589" t="s">
        <v>836</v>
      </c>
      <c r="U589" t="str">
        <f>"2015-10-27 00:00:00.0"</f>
        <v>2015-10-27 00:00:00.0</v>
      </c>
      <c r="V589" t="s">
        <v>837</v>
      </c>
      <c r="W589" t="str">
        <f>"048314-004697-**-**"</f>
        <v>048314-004697-**-**</v>
      </c>
      <c r="X589" t="s">
        <v>838</v>
      </c>
      <c r="Y589">
        <v>256.25</v>
      </c>
      <c r="Z589">
        <v>1206.25</v>
      </c>
      <c r="AA589" t="str">
        <f t="shared" si="144"/>
        <v>06/08/2016</v>
      </c>
    </row>
    <row r="590" spans="1:27" x14ac:dyDescent="0.3">
      <c r="A590" t="str">
        <f t="shared" si="153"/>
        <v>048314</v>
      </c>
      <c r="B590" t="str">
        <f t="shared" si="140"/>
        <v>004697</v>
      </c>
      <c r="C590" t="s">
        <v>1054</v>
      </c>
      <c r="D590" t="s">
        <v>3839</v>
      </c>
      <c r="E590" t="s">
        <v>3840</v>
      </c>
      <c r="F590" t="s">
        <v>3841</v>
      </c>
      <c r="G590" t="s">
        <v>3842</v>
      </c>
      <c r="H590" t="str">
        <f t="shared" si="142"/>
        <v>048314</v>
      </c>
      <c r="I590" t="s">
        <v>833</v>
      </c>
      <c r="J590" t="str">
        <f>"2015-10-28 00:00:00.0"</f>
        <v>2015-10-28 00:00:00.0</v>
      </c>
      <c r="K590" t="s">
        <v>834</v>
      </c>
      <c r="L590" t="s">
        <v>0</v>
      </c>
      <c r="M590" t="str">
        <f t="shared" si="151"/>
        <v>048314</v>
      </c>
      <c r="N590">
        <v>0.78756499999999996</v>
      </c>
      <c r="O590">
        <v>0.78756499999999996</v>
      </c>
      <c r="P590" t="s">
        <v>764</v>
      </c>
      <c r="Q590" t="s">
        <v>835</v>
      </c>
      <c r="S590" t="s">
        <v>860</v>
      </c>
      <c r="T590" t="s">
        <v>836</v>
      </c>
      <c r="U590" t="str">
        <f t="shared" ref="U590:U615" si="155">"2500-12-31 00:00:00.0"</f>
        <v>2500-12-31 00:00:00.0</v>
      </c>
      <c r="V590" t="s">
        <v>837</v>
      </c>
      <c r="W590" t="str">
        <f>"048314-004697-**-**"</f>
        <v>048314-004697-**-**</v>
      </c>
      <c r="X590" t="s">
        <v>838</v>
      </c>
      <c r="Y590">
        <v>950</v>
      </c>
      <c r="Z590">
        <v>1206.25</v>
      </c>
      <c r="AA590" t="str">
        <f t="shared" si="144"/>
        <v>06/08/2016</v>
      </c>
    </row>
    <row r="591" spans="1:27" x14ac:dyDescent="0.3">
      <c r="A591" t="str">
        <f t="shared" si="153"/>
        <v>048314</v>
      </c>
      <c r="B591" t="str">
        <f t="shared" si="140"/>
        <v>004697</v>
      </c>
      <c r="C591" t="s">
        <v>3685</v>
      </c>
      <c r="D591" t="s">
        <v>3839</v>
      </c>
      <c r="E591" t="s">
        <v>3840</v>
      </c>
      <c r="F591" t="s">
        <v>3841</v>
      </c>
      <c r="G591" t="s">
        <v>3842</v>
      </c>
      <c r="H591" t="str">
        <f t="shared" si="142"/>
        <v>048314</v>
      </c>
      <c r="I591" t="s">
        <v>833</v>
      </c>
      <c r="J591" t="str">
        <f>"2015-08-01 00:00:00.0"</f>
        <v>2015-08-01 00:00:00.0</v>
      </c>
      <c r="K591" t="s">
        <v>834</v>
      </c>
      <c r="L591" t="s">
        <v>0</v>
      </c>
      <c r="M591" t="str">
        <f t="shared" si="151"/>
        <v>048314</v>
      </c>
      <c r="N591">
        <v>1</v>
      </c>
      <c r="O591">
        <v>1</v>
      </c>
      <c r="P591" t="s">
        <v>764</v>
      </c>
      <c r="Q591" t="s">
        <v>835</v>
      </c>
      <c r="S591" t="s">
        <v>836</v>
      </c>
      <c r="T591" t="s">
        <v>836</v>
      </c>
      <c r="U591" t="str">
        <f t="shared" si="155"/>
        <v>2500-12-31 00:00:00.0</v>
      </c>
      <c r="V591" t="s">
        <v>837</v>
      </c>
      <c r="W591" t="str">
        <f>"048314-004697-**-**"</f>
        <v>048314-004697-**-**</v>
      </c>
      <c r="X591" t="s">
        <v>838</v>
      </c>
      <c r="Y591">
        <v>1206.25</v>
      </c>
      <c r="Z591">
        <v>1206.25</v>
      </c>
      <c r="AA591" t="str">
        <f t="shared" si="144"/>
        <v>06/08/2016</v>
      </c>
    </row>
    <row r="592" spans="1:27" x14ac:dyDescent="0.3">
      <c r="A592" t="str">
        <f t="shared" si="153"/>
        <v>048314</v>
      </c>
      <c r="B592" t="str">
        <f t="shared" si="140"/>
        <v>004697</v>
      </c>
      <c r="C592" t="s">
        <v>3467</v>
      </c>
      <c r="D592" t="s">
        <v>3839</v>
      </c>
      <c r="E592" t="s">
        <v>3840</v>
      </c>
      <c r="F592" t="s">
        <v>3841</v>
      </c>
      <c r="G592" t="s">
        <v>3842</v>
      </c>
      <c r="H592" t="str">
        <f>"048280"</f>
        <v>048280</v>
      </c>
      <c r="I592" t="s">
        <v>833</v>
      </c>
      <c r="J592" t="str">
        <f>"2015-11-17 00:00:00.0"</f>
        <v>2015-11-17 00:00:00.0</v>
      </c>
      <c r="K592" t="s">
        <v>834</v>
      </c>
      <c r="L592" t="s">
        <v>142</v>
      </c>
      <c r="M592" t="str">
        <f t="shared" si="151"/>
        <v>048314</v>
      </c>
      <c r="N592">
        <v>0.70860900000000004</v>
      </c>
      <c r="O592">
        <v>0.70860900000000004</v>
      </c>
      <c r="P592" t="s">
        <v>841</v>
      </c>
      <c r="Q592" t="str">
        <f>"05"</f>
        <v>05</v>
      </c>
      <c r="R592" t="str">
        <f>"1"</f>
        <v>1</v>
      </c>
      <c r="S592" t="s">
        <v>836</v>
      </c>
      <c r="T592" t="s">
        <v>836</v>
      </c>
      <c r="U592" t="str">
        <f t="shared" si="155"/>
        <v>2500-12-31 00:00:00.0</v>
      </c>
      <c r="V592" t="s">
        <v>837</v>
      </c>
      <c r="W592" t="str">
        <f>"048280-048280-PS-FA"</f>
        <v>048280-048280-PS-FA</v>
      </c>
      <c r="X592" t="s">
        <v>838</v>
      </c>
      <c r="Y592">
        <v>107</v>
      </c>
      <c r="Z592">
        <v>151</v>
      </c>
      <c r="AA592" t="str">
        <f>"06/15/2016"</f>
        <v>06/15/2016</v>
      </c>
    </row>
    <row r="593" spans="1:27" x14ac:dyDescent="0.3">
      <c r="A593" t="str">
        <f t="shared" si="153"/>
        <v>048314</v>
      </c>
      <c r="B593" t="str">
        <f t="shared" si="140"/>
        <v>004697</v>
      </c>
      <c r="C593" t="s">
        <v>2803</v>
      </c>
      <c r="D593" t="s">
        <v>3839</v>
      </c>
      <c r="E593" t="s">
        <v>3840</v>
      </c>
      <c r="F593" t="s">
        <v>3841</v>
      </c>
      <c r="G593" t="s">
        <v>3842</v>
      </c>
      <c r="H593" t="str">
        <f t="shared" ref="H593:H608" si="156">"048314"</f>
        <v>048314</v>
      </c>
      <c r="I593" t="s">
        <v>833</v>
      </c>
      <c r="J593" t="str">
        <f>"2015-07-01 00:00:00.0"</f>
        <v>2015-07-01 00:00:00.0</v>
      </c>
      <c r="K593" t="s">
        <v>834</v>
      </c>
      <c r="L593" t="s">
        <v>0</v>
      </c>
      <c r="M593" t="str">
        <f t="shared" si="151"/>
        <v>048314</v>
      </c>
      <c r="N593">
        <v>1</v>
      </c>
      <c r="O593">
        <v>1</v>
      </c>
      <c r="P593" t="str">
        <f>"03"</f>
        <v>03</v>
      </c>
      <c r="Q593" t="s">
        <v>835</v>
      </c>
      <c r="S593" t="s">
        <v>836</v>
      </c>
      <c r="T593" t="s">
        <v>836</v>
      </c>
      <c r="U593" t="str">
        <f t="shared" si="155"/>
        <v>2500-12-31 00:00:00.0</v>
      </c>
      <c r="V593" t="s">
        <v>837</v>
      </c>
      <c r="W593" t="str">
        <f>"048314-004697-**-**"</f>
        <v>048314-004697-**-**</v>
      </c>
      <c r="X593" t="s">
        <v>838</v>
      </c>
      <c r="Y593">
        <v>1206.25</v>
      </c>
      <c r="Z593">
        <v>1206.25</v>
      </c>
      <c r="AA593" t="str">
        <f t="shared" ref="AA593:AA608" si="157">"06/08/2016"</f>
        <v>06/08/2016</v>
      </c>
    </row>
    <row r="594" spans="1:27" x14ac:dyDescent="0.3">
      <c r="A594" t="str">
        <f t="shared" si="153"/>
        <v>048314</v>
      </c>
      <c r="B594" t="str">
        <f t="shared" si="140"/>
        <v>004697</v>
      </c>
      <c r="C594" t="s">
        <v>3372</v>
      </c>
      <c r="D594" t="s">
        <v>3839</v>
      </c>
      <c r="E594" t="s">
        <v>3840</v>
      </c>
      <c r="F594" t="s">
        <v>3841</v>
      </c>
      <c r="G594" t="s">
        <v>3842</v>
      </c>
      <c r="H594" t="str">
        <f t="shared" si="156"/>
        <v>048314</v>
      </c>
      <c r="I594" t="s">
        <v>833</v>
      </c>
      <c r="J594" t="str">
        <f>"2015-07-01 00:00:00.0"</f>
        <v>2015-07-01 00:00:00.0</v>
      </c>
      <c r="K594" t="s">
        <v>834</v>
      </c>
      <c r="L594" t="s">
        <v>0</v>
      </c>
      <c r="M594" t="str">
        <f t="shared" si="151"/>
        <v>048314</v>
      </c>
      <c r="N594">
        <v>1</v>
      </c>
      <c r="O594">
        <v>1</v>
      </c>
      <c r="P594" t="str">
        <f>"04"</f>
        <v>04</v>
      </c>
      <c r="Q594" t="s">
        <v>835</v>
      </c>
      <c r="S594" t="s">
        <v>836</v>
      </c>
      <c r="T594" t="s">
        <v>836</v>
      </c>
      <c r="U594" t="str">
        <f t="shared" si="155"/>
        <v>2500-12-31 00:00:00.0</v>
      </c>
      <c r="V594" t="s">
        <v>837</v>
      </c>
      <c r="W594" t="str">
        <f>"048314-004697-**-**"</f>
        <v>048314-004697-**-**</v>
      </c>
      <c r="X594" t="s">
        <v>838</v>
      </c>
      <c r="Y594">
        <v>1206.25</v>
      </c>
      <c r="Z594">
        <v>1206.25</v>
      </c>
      <c r="AA594" t="str">
        <f t="shared" si="157"/>
        <v>06/08/2016</v>
      </c>
    </row>
    <row r="595" spans="1:27" x14ac:dyDescent="0.3">
      <c r="A595" t="str">
        <f t="shared" si="153"/>
        <v>048314</v>
      </c>
      <c r="B595" t="str">
        <f t="shared" si="140"/>
        <v>004697</v>
      </c>
      <c r="C595" t="s">
        <v>2943</v>
      </c>
      <c r="D595" t="s">
        <v>3839</v>
      </c>
      <c r="E595" t="s">
        <v>3840</v>
      </c>
      <c r="F595" t="s">
        <v>3841</v>
      </c>
      <c r="G595" t="s">
        <v>3842</v>
      </c>
      <c r="H595" t="str">
        <f t="shared" si="156"/>
        <v>048314</v>
      </c>
      <c r="I595" t="s">
        <v>833</v>
      </c>
      <c r="J595" t="str">
        <f>"2015-07-01 00:00:00.0"</f>
        <v>2015-07-01 00:00:00.0</v>
      </c>
      <c r="K595" t="s">
        <v>834</v>
      </c>
      <c r="L595" t="s">
        <v>0</v>
      </c>
      <c r="M595" t="str">
        <f t="shared" si="151"/>
        <v>048314</v>
      </c>
      <c r="N595">
        <v>1</v>
      </c>
      <c r="O595">
        <v>1</v>
      </c>
      <c r="P595" t="str">
        <f>"05"</f>
        <v>05</v>
      </c>
      <c r="Q595" t="s">
        <v>835</v>
      </c>
      <c r="S595" t="s">
        <v>836</v>
      </c>
      <c r="T595" t="s">
        <v>836</v>
      </c>
      <c r="U595" t="str">
        <f t="shared" si="155"/>
        <v>2500-12-31 00:00:00.0</v>
      </c>
      <c r="V595" t="s">
        <v>837</v>
      </c>
      <c r="W595" t="str">
        <f>"048314-070417-**-**"</f>
        <v>048314-070417-**-**</v>
      </c>
      <c r="X595" t="s">
        <v>838</v>
      </c>
      <c r="Y595">
        <v>1125</v>
      </c>
      <c r="Z595">
        <v>1125</v>
      </c>
      <c r="AA595" t="str">
        <f t="shared" si="157"/>
        <v>06/08/2016</v>
      </c>
    </row>
    <row r="596" spans="1:27" x14ac:dyDescent="0.3">
      <c r="A596" t="str">
        <f t="shared" si="153"/>
        <v>048314</v>
      </c>
      <c r="B596" t="str">
        <f t="shared" ref="B596:B620" si="158">"004697"</f>
        <v>004697</v>
      </c>
      <c r="C596" t="s">
        <v>3044</v>
      </c>
      <c r="D596" t="s">
        <v>3839</v>
      </c>
      <c r="E596" t="s">
        <v>3840</v>
      </c>
      <c r="F596" t="s">
        <v>3841</v>
      </c>
      <c r="G596" t="s">
        <v>3842</v>
      </c>
      <c r="H596" t="str">
        <f t="shared" si="156"/>
        <v>048314</v>
      </c>
      <c r="I596" t="s">
        <v>833</v>
      </c>
      <c r="J596" t="str">
        <f>"2015-07-01 00:00:00.0"</f>
        <v>2015-07-01 00:00:00.0</v>
      </c>
      <c r="K596" t="s">
        <v>834</v>
      </c>
      <c r="L596" t="s">
        <v>0</v>
      </c>
      <c r="M596" t="str">
        <f t="shared" si="151"/>
        <v>048314</v>
      </c>
      <c r="N596">
        <v>1</v>
      </c>
      <c r="O596">
        <v>1</v>
      </c>
      <c r="P596" t="str">
        <f>"01"</f>
        <v>01</v>
      </c>
      <c r="Q596" t="s">
        <v>835</v>
      </c>
      <c r="S596" t="s">
        <v>836</v>
      </c>
      <c r="T596" t="s">
        <v>836</v>
      </c>
      <c r="U596" t="str">
        <f t="shared" si="155"/>
        <v>2500-12-31 00:00:00.0</v>
      </c>
      <c r="V596" t="s">
        <v>837</v>
      </c>
      <c r="W596" t="str">
        <f>"048314-004697-**-**"</f>
        <v>048314-004697-**-**</v>
      </c>
      <c r="X596" t="s">
        <v>838</v>
      </c>
      <c r="Y596">
        <v>1206.25</v>
      </c>
      <c r="Z596">
        <v>1206.25</v>
      </c>
      <c r="AA596" t="str">
        <f t="shared" si="157"/>
        <v>06/08/2016</v>
      </c>
    </row>
    <row r="597" spans="1:27" x14ac:dyDescent="0.3">
      <c r="A597" t="str">
        <f t="shared" si="153"/>
        <v>048314</v>
      </c>
      <c r="B597" t="str">
        <f t="shared" si="158"/>
        <v>004697</v>
      </c>
      <c r="C597" t="s">
        <v>3592</v>
      </c>
      <c r="D597" t="s">
        <v>3839</v>
      </c>
      <c r="E597" t="s">
        <v>3840</v>
      </c>
      <c r="F597" t="s">
        <v>3841</v>
      </c>
      <c r="G597" t="s">
        <v>3842</v>
      </c>
      <c r="H597" t="str">
        <f t="shared" si="156"/>
        <v>048314</v>
      </c>
      <c r="I597" t="s">
        <v>833</v>
      </c>
      <c r="J597" t="str">
        <f>"2015-07-01 00:00:00.0"</f>
        <v>2015-07-01 00:00:00.0</v>
      </c>
      <c r="K597" t="s">
        <v>834</v>
      </c>
      <c r="L597" t="s">
        <v>0</v>
      </c>
      <c r="M597" t="str">
        <f t="shared" si="151"/>
        <v>048314</v>
      </c>
      <c r="N597">
        <v>1</v>
      </c>
      <c r="O597">
        <v>1</v>
      </c>
      <c r="P597" t="str">
        <f>"04"</f>
        <v>04</v>
      </c>
      <c r="Q597" t="s">
        <v>835</v>
      </c>
      <c r="S597" t="s">
        <v>836</v>
      </c>
      <c r="T597" t="s">
        <v>836</v>
      </c>
      <c r="U597" t="str">
        <f t="shared" si="155"/>
        <v>2500-12-31 00:00:00.0</v>
      </c>
      <c r="V597" t="s">
        <v>837</v>
      </c>
      <c r="W597" t="str">
        <f>"048314-004697-**-**"</f>
        <v>048314-004697-**-**</v>
      </c>
      <c r="X597" t="s">
        <v>838</v>
      </c>
      <c r="Y597">
        <v>1206.25</v>
      </c>
      <c r="Z597">
        <v>1206.25</v>
      </c>
      <c r="AA597" t="str">
        <f t="shared" si="157"/>
        <v>06/08/2016</v>
      </c>
    </row>
    <row r="598" spans="1:27" x14ac:dyDescent="0.3">
      <c r="A598" t="str">
        <f t="shared" si="153"/>
        <v>048314</v>
      </c>
      <c r="B598" t="str">
        <f t="shared" si="158"/>
        <v>004697</v>
      </c>
      <c r="C598" t="s">
        <v>1513</v>
      </c>
      <c r="D598" t="s">
        <v>3839</v>
      </c>
      <c r="E598" t="s">
        <v>3840</v>
      </c>
      <c r="F598" t="s">
        <v>3841</v>
      </c>
      <c r="G598" t="s">
        <v>3842</v>
      </c>
      <c r="H598" t="str">
        <f t="shared" si="156"/>
        <v>048314</v>
      </c>
      <c r="I598" t="s">
        <v>833</v>
      </c>
      <c r="J598" t="str">
        <f>"2015-08-01 00:00:00.0"</f>
        <v>2015-08-01 00:00:00.0</v>
      </c>
      <c r="K598" t="s">
        <v>834</v>
      </c>
      <c r="L598" t="s">
        <v>0</v>
      </c>
      <c r="M598" t="str">
        <f t="shared" si="151"/>
        <v>048314</v>
      </c>
      <c r="N598">
        <v>1</v>
      </c>
      <c r="O598">
        <v>1</v>
      </c>
      <c r="P598" t="str">
        <f>"01"</f>
        <v>01</v>
      </c>
      <c r="Q598" t="s">
        <v>835</v>
      </c>
      <c r="S598" t="s">
        <v>836</v>
      </c>
      <c r="T598" t="s">
        <v>836</v>
      </c>
      <c r="U598" t="str">
        <f t="shared" si="155"/>
        <v>2500-12-31 00:00:00.0</v>
      </c>
      <c r="V598" t="s">
        <v>837</v>
      </c>
      <c r="W598" t="str">
        <f>"048314-004697-**-**"</f>
        <v>048314-004697-**-**</v>
      </c>
      <c r="X598" t="s">
        <v>838</v>
      </c>
      <c r="Y598">
        <v>1206.25</v>
      </c>
      <c r="Z598">
        <v>1206.25</v>
      </c>
      <c r="AA598" t="str">
        <f t="shared" si="157"/>
        <v>06/08/2016</v>
      </c>
    </row>
    <row r="599" spans="1:27" x14ac:dyDescent="0.3">
      <c r="A599" t="str">
        <f t="shared" si="153"/>
        <v>048314</v>
      </c>
      <c r="B599" t="str">
        <f t="shared" si="158"/>
        <v>004697</v>
      </c>
      <c r="C599" t="s">
        <v>1050</v>
      </c>
      <c r="D599" t="s">
        <v>3839</v>
      </c>
      <c r="E599" t="s">
        <v>3840</v>
      </c>
      <c r="F599" t="s">
        <v>3841</v>
      </c>
      <c r="G599" t="s">
        <v>3842</v>
      </c>
      <c r="H599" t="str">
        <f t="shared" si="156"/>
        <v>048314</v>
      </c>
      <c r="I599" t="s">
        <v>833</v>
      </c>
      <c r="J599" t="str">
        <f>"2015-07-01 00:00:00.0"</f>
        <v>2015-07-01 00:00:00.0</v>
      </c>
      <c r="K599" t="s">
        <v>834</v>
      </c>
      <c r="L599" t="s">
        <v>0</v>
      </c>
      <c r="M599" t="str">
        <f t="shared" si="151"/>
        <v>048314</v>
      </c>
      <c r="N599">
        <v>1</v>
      </c>
      <c r="O599">
        <v>1</v>
      </c>
      <c r="P599" t="str">
        <f>"05"</f>
        <v>05</v>
      </c>
      <c r="Q599" t="s">
        <v>835</v>
      </c>
      <c r="S599" t="s">
        <v>836</v>
      </c>
      <c r="T599" t="s">
        <v>836</v>
      </c>
      <c r="U599" t="str">
        <f t="shared" si="155"/>
        <v>2500-12-31 00:00:00.0</v>
      </c>
      <c r="V599" t="s">
        <v>837</v>
      </c>
      <c r="W599" t="str">
        <f>"048314-070417-**-**"</f>
        <v>048314-070417-**-**</v>
      </c>
      <c r="X599" t="s">
        <v>838</v>
      </c>
      <c r="Y599">
        <v>1125</v>
      </c>
      <c r="Z599">
        <v>1125</v>
      </c>
      <c r="AA599" t="str">
        <f t="shared" si="157"/>
        <v>06/08/2016</v>
      </c>
    </row>
    <row r="600" spans="1:27" x14ac:dyDescent="0.3">
      <c r="A600" t="str">
        <f t="shared" si="153"/>
        <v>048314</v>
      </c>
      <c r="B600" t="str">
        <f t="shared" si="158"/>
        <v>004697</v>
      </c>
      <c r="C600" t="s">
        <v>1017</v>
      </c>
      <c r="D600" t="s">
        <v>3839</v>
      </c>
      <c r="E600" t="s">
        <v>3840</v>
      </c>
      <c r="F600" t="s">
        <v>3841</v>
      </c>
      <c r="G600" t="s">
        <v>3842</v>
      </c>
      <c r="H600" t="str">
        <f t="shared" si="156"/>
        <v>048314</v>
      </c>
      <c r="I600" t="s">
        <v>833</v>
      </c>
      <c r="J600" t="str">
        <f>"2015-08-01 00:00:00.0"</f>
        <v>2015-08-01 00:00:00.0</v>
      </c>
      <c r="K600" t="s">
        <v>834</v>
      </c>
      <c r="L600" t="s">
        <v>0</v>
      </c>
      <c r="M600" t="str">
        <f t="shared" si="151"/>
        <v>048314</v>
      </c>
      <c r="N600">
        <v>1</v>
      </c>
      <c r="O600">
        <v>1</v>
      </c>
      <c r="P600" t="str">
        <f>"02"</f>
        <v>02</v>
      </c>
      <c r="Q600" t="s">
        <v>835</v>
      </c>
      <c r="S600" t="s">
        <v>836</v>
      </c>
      <c r="T600" t="s">
        <v>836</v>
      </c>
      <c r="U600" t="str">
        <f t="shared" si="155"/>
        <v>2500-12-31 00:00:00.0</v>
      </c>
      <c r="V600" t="s">
        <v>837</v>
      </c>
      <c r="W600" t="str">
        <f>"048314-004697-**-**"</f>
        <v>048314-004697-**-**</v>
      </c>
      <c r="X600" t="s">
        <v>838</v>
      </c>
      <c r="Y600">
        <v>1206.25</v>
      </c>
      <c r="Z600">
        <v>1206.25</v>
      </c>
      <c r="AA600" t="str">
        <f t="shared" si="157"/>
        <v>06/08/2016</v>
      </c>
    </row>
    <row r="601" spans="1:27" x14ac:dyDescent="0.3">
      <c r="A601" t="str">
        <f t="shared" si="153"/>
        <v>048314</v>
      </c>
      <c r="B601" t="str">
        <f t="shared" si="158"/>
        <v>004697</v>
      </c>
      <c r="C601" t="s">
        <v>3576</v>
      </c>
      <c r="D601" t="s">
        <v>3839</v>
      </c>
      <c r="E601" t="s">
        <v>3840</v>
      </c>
      <c r="F601" t="s">
        <v>3841</v>
      </c>
      <c r="G601" t="s">
        <v>3842</v>
      </c>
      <c r="H601" t="str">
        <f t="shared" si="156"/>
        <v>048314</v>
      </c>
      <c r="I601" t="s">
        <v>833</v>
      </c>
      <c r="J601" t="str">
        <f>"2015-07-01 00:00:00.0"</f>
        <v>2015-07-01 00:00:00.0</v>
      </c>
      <c r="K601" t="s">
        <v>834</v>
      </c>
      <c r="L601" t="s">
        <v>0</v>
      </c>
      <c r="M601" t="str">
        <f t="shared" si="151"/>
        <v>048314</v>
      </c>
      <c r="N601">
        <v>1</v>
      </c>
      <c r="O601">
        <v>1</v>
      </c>
      <c r="P601" t="str">
        <f>"04"</f>
        <v>04</v>
      </c>
      <c r="Q601" t="str">
        <f>"05"</f>
        <v>05</v>
      </c>
      <c r="R601" t="str">
        <f>"1"</f>
        <v>1</v>
      </c>
      <c r="S601" t="s">
        <v>836</v>
      </c>
      <c r="T601" t="s">
        <v>836</v>
      </c>
      <c r="U601" t="str">
        <f t="shared" si="155"/>
        <v>2500-12-31 00:00:00.0</v>
      </c>
      <c r="V601" t="s">
        <v>837</v>
      </c>
      <c r="W601" t="str">
        <f>"048314-004697-**-**"</f>
        <v>048314-004697-**-**</v>
      </c>
      <c r="X601" t="s">
        <v>838</v>
      </c>
      <c r="Y601">
        <v>1206.25</v>
      </c>
      <c r="Z601">
        <v>1206.25</v>
      </c>
      <c r="AA601" t="str">
        <f t="shared" si="157"/>
        <v>06/08/2016</v>
      </c>
    </row>
    <row r="602" spans="1:27" x14ac:dyDescent="0.3">
      <c r="A602" t="str">
        <f t="shared" si="153"/>
        <v>048314</v>
      </c>
      <c r="B602" t="str">
        <f t="shared" si="158"/>
        <v>004697</v>
      </c>
      <c r="C602" t="s">
        <v>3067</v>
      </c>
      <c r="D602" t="s">
        <v>3839</v>
      </c>
      <c r="E602" t="s">
        <v>3840</v>
      </c>
      <c r="F602" t="s">
        <v>3841</v>
      </c>
      <c r="G602" t="s">
        <v>3842</v>
      </c>
      <c r="H602" t="str">
        <f t="shared" si="156"/>
        <v>048314</v>
      </c>
      <c r="I602" t="s">
        <v>833</v>
      </c>
      <c r="J602" t="str">
        <f>"2015-07-01 00:00:00.0"</f>
        <v>2015-07-01 00:00:00.0</v>
      </c>
      <c r="K602" t="s">
        <v>834</v>
      </c>
      <c r="L602" t="s">
        <v>0</v>
      </c>
      <c r="M602" t="str">
        <f t="shared" si="151"/>
        <v>048314</v>
      </c>
      <c r="N602">
        <v>1</v>
      </c>
      <c r="O602">
        <v>1</v>
      </c>
      <c r="P602" t="str">
        <f>"05"</f>
        <v>05</v>
      </c>
      <c r="Q602" t="s">
        <v>835</v>
      </c>
      <c r="S602" t="s">
        <v>836</v>
      </c>
      <c r="T602" t="s">
        <v>836</v>
      </c>
      <c r="U602" t="str">
        <f t="shared" si="155"/>
        <v>2500-12-31 00:00:00.0</v>
      </c>
      <c r="V602" t="s">
        <v>837</v>
      </c>
      <c r="W602" t="str">
        <f>"048314-070417-**-**"</f>
        <v>048314-070417-**-**</v>
      </c>
      <c r="X602" t="s">
        <v>838</v>
      </c>
      <c r="Y602">
        <v>1125</v>
      </c>
      <c r="Z602">
        <v>1125</v>
      </c>
      <c r="AA602" t="str">
        <f t="shared" si="157"/>
        <v>06/08/2016</v>
      </c>
    </row>
    <row r="603" spans="1:27" x14ac:dyDescent="0.3">
      <c r="A603" t="str">
        <f t="shared" si="153"/>
        <v>048314</v>
      </c>
      <c r="B603" t="str">
        <f t="shared" si="158"/>
        <v>004697</v>
      </c>
      <c r="C603" t="s">
        <v>1476</v>
      </c>
      <c r="D603" t="s">
        <v>3839</v>
      </c>
      <c r="E603" t="s">
        <v>3840</v>
      </c>
      <c r="F603" t="s">
        <v>3841</v>
      </c>
      <c r="G603" t="s">
        <v>3842</v>
      </c>
      <c r="H603" t="str">
        <f t="shared" si="156"/>
        <v>048314</v>
      </c>
      <c r="I603" t="s">
        <v>833</v>
      </c>
      <c r="J603" t="str">
        <f>"2016-01-05 00:00:00.0"</f>
        <v>2016-01-05 00:00:00.0</v>
      </c>
      <c r="K603" t="s">
        <v>834</v>
      </c>
      <c r="L603" t="s">
        <v>0</v>
      </c>
      <c r="M603" t="str">
        <f t="shared" si="151"/>
        <v>048314</v>
      </c>
      <c r="N603">
        <v>0.55440400000000001</v>
      </c>
      <c r="O603">
        <v>0.55440400000000001</v>
      </c>
      <c r="P603" t="s">
        <v>764</v>
      </c>
      <c r="Q603" t="s">
        <v>835</v>
      </c>
      <c r="S603" t="s">
        <v>836</v>
      </c>
      <c r="T603" t="s">
        <v>836</v>
      </c>
      <c r="U603" t="str">
        <f t="shared" si="155"/>
        <v>2500-12-31 00:00:00.0</v>
      </c>
      <c r="V603" t="s">
        <v>837</v>
      </c>
      <c r="W603" t="str">
        <f t="shared" ref="W603:W608" si="159">"048314-004697-**-**"</f>
        <v>048314-004697-**-**</v>
      </c>
      <c r="X603" t="s">
        <v>838</v>
      </c>
      <c r="Y603">
        <v>668.75</v>
      </c>
      <c r="Z603">
        <v>1206.25</v>
      </c>
      <c r="AA603" t="str">
        <f t="shared" si="157"/>
        <v>06/08/2016</v>
      </c>
    </row>
    <row r="604" spans="1:27" x14ac:dyDescent="0.3">
      <c r="A604" t="str">
        <f t="shared" si="153"/>
        <v>048314</v>
      </c>
      <c r="B604" t="str">
        <f t="shared" si="158"/>
        <v>004697</v>
      </c>
      <c r="C604" t="s">
        <v>3616</v>
      </c>
      <c r="D604" t="s">
        <v>3839</v>
      </c>
      <c r="E604" t="s">
        <v>3840</v>
      </c>
      <c r="F604" t="s">
        <v>3841</v>
      </c>
      <c r="G604" t="s">
        <v>3842</v>
      </c>
      <c r="H604" t="str">
        <f t="shared" si="156"/>
        <v>048314</v>
      </c>
      <c r="I604" t="s">
        <v>833</v>
      </c>
      <c r="J604" t="str">
        <f t="shared" ref="J604:J611" si="160">"2015-07-01 00:00:00.0"</f>
        <v>2015-07-01 00:00:00.0</v>
      </c>
      <c r="K604" t="s">
        <v>834</v>
      </c>
      <c r="L604" t="s">
        <v>0</v>
      </c>
      <c r="M604" t="str">
        <f t="shared" si="151"/>
        <v>048314</v>
      </c>
      <c r="N604">
        <v>1</v>
      </c>
      <c r="O604">
        <v>1</v>
      </c>
      <c r="P604" t="str">
        <f>"04"</f>
        <v>04</v>
      </c>
      <c r="Q604" t="s">
        <v>835</v>
      </c>
      <c r="S604" t="s">
        <v>836</v>
      </c>
      <c r="T604" t="s">
        <v>836</v>
      </c>
      <c r="U604" t="str">
        <f t="shared" si="155"/>
        <v>2500-12-31 00:00:00.0</v>
      </c>
      <c r="V604" t="s">
        <v>837</v>
      </c>
      <c r="W604" t="str">
        <f t="shared" si="159"/>
        <v>048314-004697-**-**</v>
      </c>
      <c r="X604" t="s">
        <v>838</v>
      </c>
      <c r="Y604">
        <v>1206.25</v>
      </c>
      <c r="Z604">
        <v>1206.25</v>
      </c>
      <c r="AA604" t="str">
        <f t="shared" si="157"/>
        <v>06/08/2016</v>
      </c>
    </row>
    <row r="605" spans="1:27" x14ac:dyDescent="0.3">
      <c r="A605" t="str">
        <f t="shared" si="153"/>
        <v>048314</v>
      </c>
      <c r="B605" t="str">
        <f t="shared" si="158"/>
        <v>004697</v>
      </c>
      <c r="C605" t="s">
        <v>2343</v>
      </c>
      <c r="D605" t="s">
        <v>3839</v>
      </c>
      <c r="E605" t="s">
        <v>3840</v>
      </c>
      <c r="F605" t="s">
        <v>3841</v>
      </c>
      <c r="G605" t="s">
        <v>3842</v>
      </c>
      <c r="H605" t="str">
        <f t="shared" si="156"/>
        <v>048314</v>
      </c>
      <c r="I605" t="s">
        <v>833</v>
      </c>
      <c r="J605" t="str">
        <f t="shared" si="160"/>
        <v>2015-07-01 00:00:00.0</v>
      </c>
      <c r="K605" t="s">
        <v>834</v>
      </c>
      <c r="L605" t="s">
        <v>0</v>
      </c>
      <c r="M605" t="str">
        <f t="shared" si="151"/>
        <v>048314</v>
      </c>
      <c r="N605">
        <v>1</v>
      </c>
      <c r="O605">
        <v>1</v>
      </c>
      <c r="P605" t="str">
        <f>"04"</f>
        <v>04</v>
      </c>
      <c r="Q605" t="s">
        <v>835</v>
      </c>
      <c r="S605" t="s">
        <v>836</v>
      </c>
      <c r="T605" t="s">
        <v>836</v>
      </c>
      <c r="U605" t="str">
        <f t="shared" si="155"/>
        <v>2500-12-31 00:00:00.0</v>
      </c>
      <c r="V605" t="s">
        <v>837</v>
      </c>
      <c r="W605" t="str">
        <f t="shared" si="159"/>
        <v>048314-004697-**-**</v>
      </c>
      <c r="X605" t="s">
        <v>838</v>
      </c>
      <c r="Y605">
        <v>1206.25</v>
      </c>
      <c r="Z605">
        <v>1206.25</v>
      </c>
      <c r="AA605" t="str">
        <f t="shared" si="157"/>
        <v>06/08/2016</v>
      </c>
    </row>
    <row r="606" spans="1:27" x14ac:dyDescent="0.3">
      <c r="A606" t="str">
        <f t="shared" si="153"/>
        <v>048314</v>
      </c>
      <c r="B606" t="str">
        <f t="shared" si="158"/>
        <v>004697</v>
      </c>
      <c r="C606" t="s">
        <v>3219</v>
      </c>
      <c r="D606" t="s">
        <v>3839</v>
      </c>
      <c r="E606" t="s">
        <v>3840</v>
      </c>
      <c r="F606" t="s">
        <v>3841</v>
      </c>
      <c r="G606" t="s">
        <v>3842</v>
      </c>
      <c r="H606" t="str">
        <f t="shared" si="156"/>
        <v>048314</v>
      </c>
      <c r="I606" t="s">
        <v>833</v>
      </c>
      <c r="J606" t="str">
        <f t="shared" si="160"/>
        <v>2015-07-01 00:00:00.0</v>
      </c>
      <c r="K606" t="s">
        <v>834</v>
      </c>
      <c r="L606" t="s">
        <v>0</v>
      </c>
      <c r="M606" t="str">
        <f t="shared" si="151"/>
        <v>048314</v>
      </c>
      <c r="N606">
        <v>1</v>
      </c>
      <c r="O606">
        <v>1</v>
      </c>
      <c r="P606" t="str">
        <f>"03"</f>
        <v>03</v>
      </c>
      <c r="Q606" t="s">
        <v>835</v>
      </c>
      <c r="S606" t="s">
        <v>836</v>
      </c>
      <c r="T606" t="s">
        <v>836</v>
      </c>
      <c r="U606" t="str">
        <f t="shared" si="155"/>
        <v>2500-12-31 00:00:00.0</v>
      </c>
      <c r="V606" t="s">
        <v>837</v>
      </c>
      <c r="W606" t="str">
        <f t="shared" si="159"/>
        <v>048314-004697-**-**</v>
      </c>
      <c r="X606" t="s">
        <v>838</v>
      </c>
      <c r="Y606">
        <v>1206.25</v>
      </c>
      <c r="Z606">
        <v>1206.25</v>
      </c>
      <c r="AA606" t="str">
        <f t="shared" si="157"/>
        <v>06/08/2016</v>
      </c>
    </row>
    <row r="607" spans="1:27" x14ac:dyDescent="0.3">
      <c r="A607" t="str">
        <f t="shared" si="153"/>
        <v>048314</v>
      </c>
      <c r="B607" t="str">
        <f t="shared" si="158"/>
        <v>004697</v>
      </c>
      <c r="C607" t="s">
        <v>1028</v>
      </c>
      <c r="D607" t="s">
        <v>3839</v>
      </c>
      <c r="E607" t="s">
        <v>3840</v>
      </c>
      <c r="F607" t="s">
        <v>3841</v>
      </c>
      <c r="G607" t="s">
        <v>3842</v>
      </c>
      <c r="H607" t="str">
        <f t="shared" si="156"/>
        <v>048314</v>
      </c>
      <c r="I607" t="s">
        <v>833</v>
      </c>
      <c r="J607" t="str">
        <f t="shared" si="160"/>
        <v>2015-07-01 00:00:00.0</v>
      </c>
      <c r="K607" t="s">
        <v>834</v>
      </c>
      <c r="L607" t="s">
        <v>0</v>
      </c>
      <c r="M607" t="str">
        <f t="shared" si="151"/>
        <v>048314</v>
      </c>
      <c r="N607">
        <v>1</v>
      </c>
      <c r="O607">
        <v>1</v>
      </c>
      <c r="P607" t="str">
        <f>"04"</f>
        <v>04</v>
      </c>
      <c r="Q607" t="s">
        <v>835</v>
      </c>
      <c r="S607" t="s">
        <v>836</v>
      </c>
      <c r="T607" t="s">
        <v>836</v>
      </c>
      <c r="U607" t="str">
        <f t="shared" si="155"/>
        <v>2500-12-31 00:00:00.0</v>
      </c>
      <c r="V607" t="s">
        <v>837</v>
      </c>
      <c r="W607" t="str">
        <f t="shared" si="159"/>
        <v>048314-004697-**-**</v>
      </c>
      <c r="X607" t="s">
        <v>838</v>
      </c>
      <c r="Y607">
        <v>1206.25</v>
      </c>
      <c r="Z607">
        <v>1206.25</v>
      </c>
      <c r="AA607" t="str">
        <f t="shared" si="157"/>
        <v>06/08/2016</v>
      </c>
    </row>
    <row r="608" spans="1:27" x14ac:dyDescent="0.3">
      <c r="A608" t="str">
        <f t="shared" si="153"/>
        <v>048314</v>
      </c>
      <c r="B608" t="str">
        <f t="shared" si="158"/>
        <v>004697</v>
      </c>
      <c r="C608" t="s">
        <v>922</v>
      </c>
      <c r="D608" t="s">
        <v>3839</v>
      </c>
      <c r="E608" t="s">
        <v>3840</v>
      </c>
      <c r="F608" t="s">
        <v>3841</v>
      </c>
      <c r="G608" t="s">
        <v>3842</v>
      </c>
      <c r="H608" t="str">
        <f t="shared" si="156"/>
        <v>048314</v>
      </c>
      <c r="I608" t="s">
        <v>833</v>
      </c>
      <c r="J608" t="str">
        <f t="shared" si="160"/>
        <v>2015-07-01 00:00:00.0</v>
      </c>
      <c r="K608" t="s">
        <v>834</v>
      </c>
      <c r="L608" t="s">
        <v>0</v>
      </c>
      <c r="M608" t="str">
        <f t="shared" si="151"/>
        <v>048314</v>
      </c>
      <c r="N608">
        <v>1</v>
      </c>
      <c r="O608">
        <v>1</v>
      </c>
      <c r="P608" t="str">
        <f>"02"</f>
        <v>02</v>
      </c>
      <c r="Q608" t="s">
        <v>835</v>
      </c>
      <c r="S608" t="s">
        <v>836</v>
      </c>
      <c r="T608" t="s">
        <v>836</v>
      </c>
      <c r="U608" t="str">
        <f t="shared" si="155"/>
        <v>2500-12-31 00:00:00.0</v>
      </c>
      <c r="V608" t="s">
        <v>837</v>
      </c>
      <c r="W608" t="str">
        <f t="shared" si="159"/>
        <v>048314-004697-**-**</v>
      </c>
      <c r="X608" t="s">
        <v>838</v>
      </c>
      <c r="Y608">
        <v>1206.25</v>
      </c>
      <c r="Z608">
        <v>1206.25</v>
      </c>
      <c r="AA608" t="str">
        <f t="shared" si="157"/>
        <v>06/08/2016</v>
      </c>
    </row>
    <row r="609" spans="1:27" x14ac:dyDescent="0.3">
      <c r="A609" t="str">
        <f t="shared" si="153"/>
        <v>048314</v>
      </c>
      <c r="B609" t="str">
        <f t="shared" si="158"/>
        <v>004697</v>
      </c>
      <c r="C609" t="s">
        <v>992</v>
      </c>
      <c r="D609" t="s">
        <v>3839</v>
      </c>
      <c r="E609" t="s">
        <v>3840</v>
      </c>
      <c r="F609" t="s">
        <v>3841</v>
      </c>
      <c r="G609" t="s">
        <v>3842</v>
      </c>
      <c r="H609" t="str">
        <f>"048280"</f>
        <v>048280</v>
      </c>
      <c r="I609" t="s">
        <v>833</v>
      </c>
      <c r="J609" t="str">
        <f t="shared" si="160"/>
        <v>2015-07-01 00:00:00.0</v>
      </c>
      <c r="K609" t="s">
        <v>834</v>
      </c>
      <c r="L609" t="s">
        <v>142</v>
      </c>
      <c r="M609" t="str">
        <f t="shared" si="151"/>
        <v>048314</v>
      </c>
      <c r="N609">
        <v>1</v>
      </c>
      <c r="O609">
        <v>1</v>
      </c>
      <c r="P609" t="s">
        <v>841</v>
      </c>
      <c r="Q609" t="str">
        <f>"05"</f>
        <v>05</v>
      </c>
      <c r="R609" t="str">
        <f>"1"</f>
        <v>1</v>
      </c>
      <c r="S609" t="s">
        <v>860</v>
      </c>
      <c r="T609" t="s">
        <v>836</v>
      </c>
      <c r="U609" t="str">
        <f t="shared" si="155"/>
        <v>2500-12-31 00:00:00.0</v>
      </c>
      <c r="V609" t="s">
        <v>837</v>
      </c>
      <c r="W609" t="str">
        <f>"048280-048280-PS-FA"</f>
        <v>048280-048280-PS-FA</v>
      </c>
      <c r="X609" t="s">
        <v>838</v>
      </c>
      <c r="Y609">
        <v>151</v>
      </c>
      <c r="Z609">
        <v>151</v>
      </c>
      <c r="AA609" t="str">
        <f>"06/15/2016"</f>
        <v>06/15/2016</v>
      </c>
    </row>
    <row r="610" spans="1:27" x14ac:dyDescent="0.3">
      <c r="A610" t="str">
        <f t="shared" si="153"/>
        <v>048314</v>
      </c>
      <c r="B610" t="str">
        <f t="shared" si="158"/>
        <v>004697</v>
      </c>
      <c r="C610" t="s">
        <v>3357</v>
      </c>
      <c r="D610" t="s">
        <v>3839</v>
      </c>
      <c r="E610" t="s">
        <v>3840</v>
      </c>
      <c r="F610" t="s">
        <v>3841</v>
      </c>
      <c r="G610" t="s">
        <v>3842</v>
      </c>
      <c r="H610" t="str">
        <f t="shared" ref="H610:H621" si="161">"048314"</f>
        <v>048314</v>
      </c>
      <c r="I610" t="s">
        <v>833</v>
      </c>
      <c r="J610" t="str">
        <f t="shared" si="160"/>
        <v>2015-07-01 00:00:00.0</v>
      </c>
      <c r="K610" t="s">
        <v>834</v>
      </c>
      <c r="L610" t="s">
        <v>0</v>
      </c>
      <c r="M610" t="str">
        <f t="shared" si="151"/>
        <v>048314</v>
      </c>
      <c r="N610">
        <v>1</v>
      </c>
      <c r="O610">
        <v>1</v>
      </c>
      <c r="P610" t="str">
        <f>"04"</f>
        <v>04</v>
      </c>
      <c r="Q610" t="s">
        <v>835</v>
      </c>
      <c r="S610" t="s">
        <v>836</v>
      </c>
      <c r="T610" t="s">
        <v>836</v>
      </c>
      <c r="U610" t="str">
        <f t="shared" si="155"/>
        <v>2500-12-31 00:00:00.0</v>
      </c>
      <c r="V610" t="s">
        <v>837</v>
      </c>
      <c r="W610" t="str">
        <f>"048314-004697-**-**"</f>
        <v>048314-004697-**-**</v>
      </c>
      <c r="X610" t="s">
        <v>838</v>
      </c>
      <c r="Y610">
        <v>1206.25</v>
      </c>
      <c r="Z610">
        <v>1206.25</v>
      </c>
      <c r="AA610" t="str">
        <f t="shared" ref="AA610:AA621" si="162">"06/08/2016"</f>
        <v>06/08/2016</v>
      </c>
    </row>
    <row r="611" spans="1:27" x14ac:dyDescent="0.3">
      <c r="A611" t="str">
        <f t="shared" si="153"/>
        <v>048314</v>
      </c>
      <c r="B611" t="str">
        <f t="shared" si="158"/>
        <v>004697</v>
      </c>
      <c r="C611" t="s">
        <v>944</v>
      </c>
      <c r="D611" t="s">
        <v>3839</v>
      </c>
      <c r="E611" t="s">
        <v>3840</v>
      </c>
      <c r="F611" t="s">
        <v>3841</v>
      </c>
      <c r="G611" t="s">
        <v>3842</v>
      </c>
      <c r="H611" t="str">
        <f t="shared" si="161"/>
        <v>048314</v>
      </c>
      <c r="I611" t="s">
        <v>833</v>
      </c>
      <c r="J611" t="str">
        <f t="shared" si="160"/>
        <v>2015-07-01 00:00:00.0</v>
      </c>
      <c r="K611" t="s">
        <v>834</v>
      </c>
      <c r="L611" t="s">
        <v>0</v>
      </c>
      <c r="M611" t="str">
        <f t="shared" si="151"/>
        <v>048314</v>
      </c>
      <c r="N611">
        <v>1</v>
      </c>
      <c r="O611">
        <v>1</v>
      </c>
      <c r="P611" t="str">
        <f>"03"</f>
        <v>03</v>
      </c>
      <c r="Q611" t="s">
        <v>835</v>
      </c>
      <c r="S611" t="s">
        <v>836</v>
      </c>
      <c r="T611" t="s">
        <v>836</v>
      </c>
      <c r="U611" t="str">
        <f t="shared" si="155"/>
        <v>2500-12-31 00:00:00.0</v>
      </c>
      <c r="V611" t="s">
        <v>837</v>
      </c>
      <c r="W611" t="str">
        <f>"048314-004697-**-**"</f>
        <v>048314-004697-**-**</v>
      </c>
      <c r="X611" t="s">
        <v>838</v>
      </c>
      <c r="Y611">
        <v>1206.25</v>
      </c>
      <c r="Z611">
        <v>1206.25</v>
      </c>
      <c r="AA611" t="str">
        <f t="shared" si="162"/>
        <v>06/08/2016</v>
      </c>
    </row>
    <row r="612" spans="1:27" x14ac:dyDescent="0.3">
      <c r="A612" t="str">
        <f t="shared" si="153"/>
        <v>048314</v>
      </c>
      <c r="B612" t="str">
        <f t="shared" si="158"/>
        <v>004697</v>
      </c>
      <c r="C612" t="s">
        <v>3464</v>
      </c>
      <c r="D612" t="s">
        <v>3839</v>
      </c>
      <c r="E612" t="s">
        <v>3840</v>
      </c>
      <c r="F612" t="s">
        <v>3841</v>
      </c>
      <c r="G612" t="s">
        <v>3842</v>
      </c>
      <c r="H612" t="str">
        <f t="shared" si="161"/>
        <v>048314</v>
      </c>
      <c r="I612" t="s">
        <v>833</v>
      </c>
      <c r="J612" t="str">
        <f>"2015-08-04 00:00:00.0"</f>
        <v>2015-08-04 00:00:00.0</v>
      </c>
      <c r="K612" t="s">
        <v>834</v>
      </c>
      <c r="L612" t="s">
        <v>0</v>
      </c>
      <c r="M612" t="str">
        <f t="shared" si="151"/>
        <v>048314</v>
      </c>
      <c r="N612">
        <v>1</v>
      </c>
      <c r="O612">
        <v>1</v>
      </c>
      <c r="P612" t="s">
        <v>764</v>
      </c>
      <c r="Q612" t="s">
        <v>835</v>
      </c>
      <c r="S612" t="s">
        <v>860</v>
      </c>
      <c r="T612" t="s">
        <v>836</v>
      </c>
      <c r="U612" t="str">
        <f t="shared" si="155"/>
        <v>2500-12-31 00:00:00.0</v>
      </c>
      <c r="V612" t="s">
        <v>837</v>
      </c>
      <c r="W612" t="str">
        <f>"048314-004697-**-**"</f>
        <v>048314-004697-**-**</v>
      </c>
      <c r="X612" t="s">
        <v>838</v>
      </c>
      <c r="Y612">
        <v>1206.25</v>
      </c>
      <c r="Z612">
        <v>1206.25</v>
      </c>
      <c r="AA612" t="str">
        <f t="shared" si="162"/>
        <v>06/08/2016</v>
      </c>
    </row>
    <row r="613" spans="1:27" x14ac:dyDescent="0.3">
      <c r="A613" t="str">
        <f t="shared" si="153"/>
        <v>048314</v>
      </c>
      <c r="B613" t="str">
        <f t="shared" si="158"/>
        <v>004697</v>
      </c>
      <c r="C613" t="s">
        <v>3494</v>
      </c>
      <c r="D613" t="s">
        <v>3839</v>
      </c>
      <c r="E613" t="s">
        <v>3840</v>
      </c>
      <c r="F613" t="s">
        <v>3841</v>
      </c>
      <c r="G613" t="s">
        <v>3842</v>
      </c>
      <c r="H613" t="str">
        <f t="shared" si="161"/>
        <v>048314</v>
      </c>
      <c r="I613" t="s">
        <v>833</v>
      </c>
      <c r="J613" t="str">
        <f>"2015-07-01 00:00:00.0"</f>
        <v>2015-07-01 00:00:00.0</v>
      </c>
      <c r="K613" t="s">
        <v>834</v>
      </c>
      <c r="L613" t="s">
        <v>0</v>
      </c>
      <c r="M613" t="str">
        <f t="shared" si="151"/>
        <v>048314</v>
      </c>
      <c r="N613">
        <v>1</v>
      </c>
      <c r="O613">
        <v>1</v>
      </c>
      <c r="P613" t="str">
        <f>"03"</f>
        <v>03</v>
      </c>
      <c r="Q613" t="s">
        <v>835</v>
      </c>
      <c r="S613" t="s">
        <v>836</v>
      </c>
      <c r="T613" t="s">
        <v>836</v>
      </c>
      <c r="U613" t="str">
        <f t="shared" si="155"/>
        <v>2500-12-31 00:00:00.0</v>
      </c>
      <c r="V613" t="s">
        <v>837</v>
      </c>
      <c r="W613" t="str">
        <f>"048314-004697-**-**"</f>
        <v>048314-004697-**-**</v>
      </c>
      <c r="X613" t="s">
        <v>838</v>
      </c>
      <c r="Y613">
        <v>1206.25</v>
      </c>
      <c r="Z613">
        <v>1206.25</v>
      </c>
      <c r="AA613" t="str">
        <f t="shared" si="162"/>
        <v>06/08/2016</v>
      </c>
    </row>
    <row r="614" spans="1:27" x14ac:dyDescent="0.3">
      <c r="A614" t="str">
        <f t="shared" si="153"/>
        <v>048314</v>
      </c>
      <c r="B614" t="str">
        <f t="shared" si="158"/>
        <v>004697</v>
      </c>
      <c r="C614" t="s">
        <v>2946</v>
      </c>
      <c r="D614" t="s">
        <v>3839</v>
      </c>
      <c r="E614" t="s">
        <v>3840</v>
      </c>
      <c r="F614" t="s">
        <v>3841</v>
      </c>
      <c r="G614" t="s">
        <v>3842</v>
      </c>
      <c r="H614" t="str">
        <f t="shared" si="161"/>
        <v>048314</v>
      </c>
      <c r="I614" t="s">
        <v>833</v>
      </c>
      <c r="J614" t="str">
        <f>"2015-07-01 00:00:00.0"</f>
        <v>2015-07-01 00:00:00.0</v>
      </c>
      <c r="K614" t="s">
        <v>834</v>
      </c>
      <c r="L614" t="s">
        <v>0</v>
      </c>
      <c r="M614" t="str">
        <f t="shared" si="151"/>
        <v>048314</v>
      </c>
      <c r="N614">
        <v>1</v>
      </c>
      <c r="O614">
        <v>1</v>
      </c>
      <c r="P614" t="str">
        <f>"05"</f>
        <v>05</v>
      </c>
      <c r="Q614" t="s">
        <v>835</v>
      </c>
      <c r="S614" t="s">
        <v>836</v>
      </c>
      <c r="T614" t="s">
        <v>836</v>
      </c>
      <c r="U614" t="str">
        <f t="shared" si="155"/>
        <v>2500-12-31 00:00:00.0</v>
      </c>
      <c r="V614" t="s">
        <v>837</v>
      </c>
      <c r="W614" t="str">
        <f>"048314-070417-**-**"</f>
        <v>048314-070417-**-**</v>
      </c>
      <c r="X614" t="s">
        <v>838</v>
      </c>
      <c r="Y614">
        <v>1125</v>
      </c>
      <c r="Z614">
        <v>1125</v>
      </c>
      <c r="AA614" t="str">
        <f t="shared" si="162"/>
        <v>06/08/2016</v>
      </c>
    </row>
    <row r="615" spans="1:27" x14ac:dyDescent="0.3">
      <c r="A615" t="str">
        <f t="shared" si="153"/>
        <v>048314</v>
      </c>
      <c r="B615" t="str">
        <f t="shared" si="158"/>
        <v>004697</v>
      </c>
      <c r="C615" t="s">
        <v>3557</v>
      </c>
      <c r="D615" t="s">
        <v>3839</v>
      </c>
      <c r="E615" t="s">
        <v>3840</v>
      </c>
      <c r="F615" t="s">
        <v>3841</v>
      </c>
      <c r="G615" t="s">
        <v>3842</v>
      </c>
      <c r="H615" t="str">
        <f t="shared" si="161"/>
        <v>048314</v>
      </c>
      <c r="I615" t="s">
        <v>833</v>
      </c>
      <c r="J615" t="str">
        <f>"2016-02-04 00:00:00.0"</f>
        <v>2016-02-04 00:00:00.0</v>
      </c>
      <c r="K615" t="s">
        <v>834</v>
      </c>
      <c r="L615" t="s">
        <v>0</v>
      </c>
      <c r="M615" t="str">
        <f t="shared" si="151"/>
        <v>048314</v>
      </c>
      <c r="N615">
        <v>0.44559599999999999</v>
      </c>
      <c r="O615">
        <v>0.44559599999999999</v>
      </c>
      <c r="P615" t="str">
        <f>"03"</f>
        <v>03</v>
      </c>
      <c r="Q615" t="s">
        <v>835</v>
      </c>
      <c r="S615" t="s">
        <v>836</v>
      </c>
      <c r="T615" t="s">
        <v>836</v>
      </c>
      <c r="U615" t="str">
        <f t="shared" si="155"/>
        <v>2500-12-31 00:00:00.0</v>
      </c>
      <c r="V615" t="s">
        <v>837</v>
      </c>
      <c r="W615" t="str">
        <f t="shared" ref="W615:W620" si="163">"048314-004697-**-**"</f>
        <v>048314-004697-**-**</v>
      </c>
      <c r="X615" t="s">
        <v>838</v>
      </c>
      <c r="Y615">
        <v>537.5</v>
      </c>
      <c r="Z615">
        <v>1206.25</v>
      </c>
      <c r="AA615" t="str">
        <f t="shared" si="162"/>
        <v>06/08/2016</v>
      </c>
    </row>
    <row r="616" spans="1:27" x14ac:dyDescent="0.3">
      <c r="A616" t="str">
        <f t="shared" si="153"/>
        <v>048314</v>
      </c>
      <c r="B616" t="str">
        <f t="shared" si="158"/>
        <v>004697</v>
      </c>
      <c r="C616" t="s">
        <v>3557</v>
      </c>
      <c r="D616" t="s">
        <v>3839</v>
      </c>
      <c r="E616" t="s">
        <v>3840</v>
      </c>
      <c r="F616" t="s">
        <v>3841</v>
      </c>
      <c r="G616" t="s">
        <v>3842</v>
      </c>
      <c r="H616" t="str">
        <f t="shared" si="161"/>
        <v>048314</v>
      </c>
      <c r="I616" t="s">
        <v>833</v>
      </c>
      <c r="J616" t="str">
        <f t="shared" ref="J616:J622" si="164">"2015-07-01 00:00:00.0"</f>
        <v>2015-07-01 00:00:00.0</v>
      </c>
      <c r="K616" t="s">
        <v>834</v>
      </c>
      <c r="L616" t="s">
        <v>0</v>
      </c>
      <c r="M616" t="str">
        <f t="shared" si="151"/>
        <v>048314</v>
      </c>
      <c r="N616">
        <v>0.55440400000000001</v>
      </c>
      <c r="O616">
        <v>0.55440400000000001</v>
      </c>
      <c r="P616" t="str">
        <f>"03"</f>
        <v>03</v>
      </c>
      <c r="Q616" t="s">
        <v>835</v>
      </c>
      <c r="S616" t="s">
        <v>836</v>
      </c>
      <c r="T616" t="s">
        <v>836</v>
      </c>
      <c r="U616" t="str">
        <f>"2016-02-03 00:00:00.0"</f>
        <v>2016-02-03 00:00:00.0</v>
      </c>
      <c r="V616" t="s">
        <v>837</v>
      </c>
      <c r="W616" t="str">
        <f t="shared" si="163"/>
        <v>048314-004697-**-**</v>
      </c>
      <c r="X616" t="s">
        <v>838</v>
      </c>
      <c r="Y616">
        <v>668.75</v>
      </c>
      <c r="Z616">
        <v>1206.25</v>
      </c>
      <c r="AA616" t="str">
        <f t="shared" si="162"/>
        <v>06/08/2016</v>
      </c>
    </row>
    <row r="617" spans="1:27" x14ac:dyDescent="0.3">
      <c r="A617" t="str">
        <f t="shared" si="153"/>
        <v>048314</v>
      </c>
      <c r="B617" t="str">
        <f t="shared" si="158"/>
        <v>004697</v>
      </c>
      <c r="C617" t="s">
        <v>1286</v>
      </c>
      <c r="D617" t="s">
        <v>3839</v>
      </c>
      <c r="E617" t="s">
        <v>3840</v>
      </c>
      <c r="F617" t="s">
        <v>3841</v>
      </c>
      <c r="G617" t="s">
        <v>3842</v>
      </c>
      <c r="H617" t="str">
        <f t="shared" si="161"/>
        <v>048314</v>
      </c>
      <c r="I617" t="s">
        <v>833</v>
      </c>
      <c r="J617" t="str">
        <f t="shared" si="164"/>
        <v>2015-07-01 00:00:00.0</v>
      </c>
      <c r="K617" t="s">
        <v>834</v>
      </c>
      <c r="L617" t="s">
        <v>0</v>
      </c>
      <c r="M617" t="str">
        <f t="shared" si="151"/>
        <v>048314</v>
      </c>
      <c r="N617">
        <v>1</v>
      </c>
      <c r="O617">
        <v>1</v>
      </c>
      <c r="P617" t="str">
        <f>"01"</f>
        <v>01</v>
      </c>
      <c r="Q617" t="s">
        <v>835</v>
      </c>
      <c r="S617" t="s">
        <v>836</v>
      </c>
      <c r="T617" t="s">
        <v>836</v>
      </c>
      <c r="U617" t="str">
        <f>"2500-12-31 00:00:00.0"</f>
        <v>2500-12-31 00:00:00.0</v>
      </c>
      <c r="V617" t="s">
        <v>837</v>
      </c>
      <c r="W617" t="str">
        <f t="shared" si="163"/>
        <v>048314-004697-**-**</v>
      </c>
      <c r="X617" t="s">
        <v>838</v>
      </c>
      <c r="Y617">
        <v>1206.25</v>
      </c>
      <c r="Z617">
        <v>1206.25</v>
      </c>
      <c r="AA617" t="str">
        <f t="shared" si="162"/>
        <v>06/08/2016</v>
      </c>
    </row>
    <row r="618" spans="1:27" x14ac:dyDescent="0.3">
      <c r="A618" t="str">
        <f t="shared" si="153"/>
        <v>048314</v>
      </c>
      <c r="B618" t="str">
        <f t="shared" si="158"/>
        <v>004697</v>
      </c>
      <c r="C618" t="s">
        <v>3045</v>
      </c>
      <c r="D618" t="s">
        <v>3839</v>
      </c>
      <c r="E618" t="s">
        <v>3840</v>
      </c>
      <c r="F618" t="s">
        <v>3841</v>
      </c>
      <c r="G618" t="s">
        <v>3842</v>
      </c>
      <c r="H618" t="str">
        <f t="shared" si="161"/>
        <v>048314</v>
      </c>
      <c r="I618" t="s">
        <v>833</v>
      </c>
      <c r="J618" t="str">
        <f t="shared" si="164"/>
        <v>2015-07-01 00:00:00.0</v>
      </c>
      <c r="K618" t="s">
        <v>834</v>
      </c>
      <c r="L618" t="s">
        <v>0</v>
      </c>
      <c r="M618" t="str">
        <f t="shared" si="151"/>
        <v>048314</v>
      </c>
      <c r="N618">
        <v>1</v>
      </c>
      <c r="O618">
        <v>1</v>
      </c>
      <c r="P618" t="str">
        <f>"01"</f>
        <v>01</v>
      </c>
      <c r="Q618" t="s">
        <v>835</v>
      </c>
      <c r="S618" t="s">
        <v>836</v>
      </c>
      <c r="T618" t="s">
        <v>836</v>
      </c>
      <c r="U618" t="str">
        <f>"2500-12-31 00:00:00.0"</f>
        <v>2500-12-31 00:00:00.0</v>
      </c>
      <c r="V618" t="s">
        <v>837</v>
      </c>
      <c r="W618" t="str">
        <f t="shared" si="163"/>
        <v>048314-004697-**-**</v>
      </c>
      <c r="X618" t="s">
        <v>838</v>
      </c>
      <c r="Y618">
        <v>1206.25</v>
      </c>
      <c r="Z618">
        <v>1206.25</v>
      </c>
      <c r="AA618" t="str">
        <f t="shared" si="162"/>
        <v>06/08/2016</v>
      </c>
    </row>
    <row r="619" spans="1:27" x14ac:dyDescent="0.3">
      <c r="A619" t="str">
        <f t="shared" si="153"/>
        <v>048314</v>
      </c>
      <c r="B619" t="str">
        <f t="shared" si="158"/>
        <v>004697</v>
      </c>
      <c r="C619" t="s">
        <v>1452</v>
      </c>
      <c r="D619" t="s">
        <v>3839</v>
      </c>
      <c r="E619" t="s">
        <v>3840</v>
      </c>
      <c r="F619" t="s">
        <v>3841</v>
      </c>
      <c r="G619" t="s">
        <v>3842</v>
      </c>
      <c r="H619" t="str">
        <f t="shared" si="161"/>
        <v>048314</v>
      </c>
      <c r="I619" t="s">
        <v>833</v>
      </c>
      <c r="J619" t="str">
        <f t="shared" si="164"/>
        <v>2015-07-01 00:00:00.0</v>
      </c>
      <c r="K619" t="s">
        <v>834</v>
      </c>
      <c r="L619" t="s">
        <v>0</v>
      </c>
      <c r="M619" t="str">
        <f t="shared" si="151"/>
        <v>048314</v>
      </c>
      <c r="N619">
        <v>1</v>
      </c>
      <c r="O619">
        <v>1</v>
      </c>
      <c r="P619" t="str">
        <f>"04"</f>
        <v>04</v>
      </c>
      <c r="Q619" t="s">
        <v>835</v>
      </c>
      <c r="S619" t="s">
        <v>836</v>
      </c>
      <c r="T619" t="s">
        <v>836</v>
      </c>
      <c r="U619" t="str">
        <f>"2500-12-31 00:00:00.0"</f>
        <v>2500-12-31 00:00:00.0</v>
      </c>
      <c r="V619" t="s">
        <v>837</v>
      </c>
      <c r="W619" t="str">
        <f t="shared" si="163"/>
        <v>048314-004697-**-**</v>
      </c>
      <c r="X619" t="s">
        <v>838</v>
      </c>
      <c r="Y619">
        <v>1206.25</v>
      </c>
      <c r="Z619">
        <v>1206.25</v>
      </c>
      <c r="AA619" t="str">
        <f t="shared" si="162"/>
        <v>06/08/2016</v>
      </c>
    </row>
    <row r="620" spans="1:27" x14ac:dyDescent="0.3">
      <c r="A620" t="str">
        <f t="shared" si="153"/>
        <v>048314</v>
      </c>
      <c r="B620" t="str">
        <f t="shared" si="158"/>
        <v>004697</v>
      </c>
      <c r="C620" t="s">
        <v>946</v>
      </c>
      <c r="D620" t="s">
        <v>3839</v>
      </c>
      <c r="E620" t="s">
        <v>3840</v>
      </c>
      <c r="F620" t="s">
        <v>3841</v>
      </c>
      <c r="G620" t="s">
        <v>3842</v>
      </c>
      <c r="H620" t="str">
        <f t="shared" si="161"/>
        <v>048314</v>
      </c>
      <c r="I620" t="s">
        <v>833</v>
      </c>
      <c r="J620" t="str">
        <f t="shared" si="164"/>
        <v>2015-07-01 00:00:00.0</v>
      </c>
      <c r="K620" t="s">
        <v>834</v>
      </c>
      <c r="L620" t="s">
        <v>0</v>
      </c>
      <c r="M620" t="str">
        <f t="shared" si="151"/>
        <v>048314</v>
      </c>
      <c r="N620">
        <v>1</v>
      </c>
      <c r="O620">
        <v>1</v>
      </c>
      <c r="P620" t="str">
        <f>"03"</f>
        <v>03</v>
      </c>
      <c r="Q620" t="s">
        <v>835</v>
      </c>
      <c r="S620" t="s">
        <v>836</v>
      </c>
      <c r="T620" t="s">
        <v>836</v>
      </c>
      <c r="U620" t="str">
        <f>"2500-12-31 00:00:00.0"</f>
        <v>2500-12-31 00:00:00.0</v>
      </c>
      <c r="V620" t="s">
        <v>837</v>
      </c>
      <c r="W620" t="str">
        <f t="shared" si="163"/>
        <v>048314-004697-**-**</v>
      </c>
      <c r="X620" t="s">
        <v>838</v>
      </c>
      <c r="Y620">
        <v>1206.25</v>
      </c>
      <c r="Z620">
        <v>1206.25</v>
      </c>
      <c r="AA620" t="str">
        <f t="shared" si="162"/>
        <v>06/08/2016</v>
      </c>
    </row>
    <row r="621" spans="1:27" x14ac:dyDescent="0.3">
      <c r="A621" t="str">
        <f t="shared" si="153"/>
        <v>048314</v>
      </c>
      <c r="B621" t="str">
        <f t="shared" ref="B621:B684" si="165">"004796"</f>
        <v>004796</v>
      </c>
      <c r="C621" t="s">
        <v>1567</v>
      </c>
      <c r="D621" t="s">
        <v>3839</v>
      </c>
      <c r="E621" t="s">
        <v>3840</v>
      </c>
      <c r="F621" t="s">
        <v>3841</v>
      </c>
      <c r="G621" t="s">
        <v>3842</v>
      </c>
      <c r="H621" t="str">
        <f t="shared" si="161"/>
        <v>048314</v>
      </c>
      <c r="I621" t="s">
        <v>833</v>
      </c>
      <c r="J621" t="str">
        <f t="shared" si="164"/>
        <v>2015-07-01 00:00:00.0</v>
      </c>
      <c r="K621" t="s">
        <v>834</v>
      </c>
      <c r="L621" t="s">
        <v>0</v>
      </c>
      <c r="M621" t="str">
        <f t="shared" si="151"/>
        <v>048314</v>
      </c>
      <c r="N621">
        <v>1</v>
      </c>
      <c r="O621">
        <v>1</v>
      </c>
      <c r="P621" t="str">
        <f>"10"</f>
        <v>10</v>
      </c>
      <c r="Q621" t="s">
        <v>835</v>
      </c>
      <c r="S621" t="s">
        <v>836</v>
      </c>
      <c r="T621" t="s">
        <v>836</v>
      </c>
      <c r="U621" t="str">
        <f>"2500-12-31 00:00:00.0"</f>
        <v>2500-12-31 00:00:00.0</v>
      </c>
      <c r="V621" t="s">
        <v>837</v>
      </c>
      <c r="W621" t="str">
        <f>"048314-004796-**-**"</f>
        <v>048314-004796-**-**</v>
      </c>
      <c r="X621" t="s">
        <v>838</v>
      </c>
      <c r="Y621">
        <v>1254.5</v>
      </c>
      <c r="Z621">
        <v>1254.5</v>
      </c>
      <c r="AA621" t="str">
        <f t="shared" si="162"/>
        <v>06/08/2016</v>
      </c>
    </row>
    <row r="622" spans="1:27" x14ac:dyDescent="0.3">
      <c r="A622" t="str">
        <f t="shared" si="153"/>
        <v>048314</v>
      </c>
      <c r="B622" t="str">
        <f t="shared" si="165"/>
        <v>004796</v>
      </c>
      <c r="C622" t="s">
        <v>1104</v>
      </c>
      <c r="D622" t="s">
        <v>3839</v>
      </c>
      <c r="E622" t="s">
        <v>3840</v>
      </c>
      <c r="F622" t="s">
        <v>3841</v>
      </c>
      <c r="G622" t="s">
        <v>3842</v>
      </c>
      <c r="H622" t="str">
        <f>"051243"</f>
        <v>051243</v>
      </c>
      <c r="I622" t="s">
        <v>833</v>
      </c>
      <c r="J622" t="str">
        <f t="shared" si="164"/>
        <v>2015-07-01 00:00:00.0</v>
      </c>
      <c r="K622" t="s">
        <v>834</v>
      </c>
      <c r="L622" t="s">
        <v>100</v>
      </c>
      <c r="M622" t="str">
        <f t="shared" si="151"/>
        <v>048314</v>
      </c>
      <c r="N622">
        <v>9.4117999999999993E-2</v>
      </c>
      <c r="O622">
        <v>9.4117999999999993E-2</v>
      </c>
      <c r="P622" t="str">
        <f>"12"</f>
        <v>12</v>
      </c>
      <c r="Q622" t="str">
        <f>"10"</f>
        <v>10</v>
      </c>
      <c r="R622" t="str">
        <f>"2"</f>
        <v>2</v>
      </c>
      <c r="S622" t="s">
        <v>860</v>
      </c>
      <c r="T622" t="s">
        <v>836</v>
      </c>
      <c r="U622" t="str">
        <f>"2015-09-20 00:00:00.0"</f>
        <v>2015-09-20 00:00:00.0</v>
      </c>
      <c r="V622" t="s">
        <v>886</v>
      </c>
      <c r="W622" t="str">
        <f>"051243-051250-12-SE"</f>
        <v>051243-051250-12-SE</v>
      </c>
      <c r="X622" t="s">
        <v>838</v>
      </c>
      <c r="Y622">
        <v>104</v>
      </c>
      <c r="Z622">
        <v>1105</v>
      </c>
      <c r="AA622" t="str">
        <f>"05/21/2016"</f>
        <v>05/21/2016</v>
      </c>
    </row>
    <row r="623" spans="1:27" x14ac:dyDescent="0.3">
      <c r="A623" t="str">
        <f t="shared" si="153"/>
        <v>048314</v>
      </c>
      <c r="B623" t="str">
        <f t="shared" si="165"/>
        <v>004796</v>
      </c>
      <c r="C623" t="s">
        <v>1104</v>
      </c>
      <c r="D623" t="s">
        <v>3839</v>
      </c>
      <c r="E623" t="s">
        <v>3840</v>
      </c>
      <c r="F623" t="s">
        <v>3841</v>
      </c>
      <c r="G623" t="s">
        <v>3842</v>
      </c>
      <c r="H623" t="str">
        <f>"051243"</f>
        <v>051243</v>
      </c>
      <c r="I623" t="s">
        <v>833</v>
      </c>
      <c r="J623" t="str">
        <f>"2015-09-21 00:00:00.0"</f>
        <v>2015-09-21 00:00:00.0</v>
      </c>
      <c r="K623" t="s">
        <v>834</v>
      </c>
      <c r="L623" t="s">
        <v>100</v>
      </c>
      <c r="M623" t="str">
        <f t="shared" si="151"/>
        <v>048314</v>
      </c>
      <c r="N623">
        <v>0.90588199999999997</v>
      </c>
      <c r="O623">
        <v>0.90588199999999997</v>
      </c>
      <c r="P623" t="str">
        <f>"12"</f>
        <v>12</v>
      </c>
      <c r="Q623" t="str">
        <f>"10"</f>
        <v>10</v>
      </c>
      <c r="R623" t="str">
        <f>"2"</f>
        <v>2</v>
      </c>
      <c r="S623" t="s">
        <v>836</v>
      </c>
      <c r="T623" t="s">
        <v>836</v>
      </c>
      <c r="U623" t="str">
        <f>"2500-12-31 00:00:00.0"</f>
        <v>2500-12-31 00:00:00.0</v>
      </c>
      <c r="V623" t="s">
        <v>886</v>
      </c>
      <c r="W623" t="str">
        <f>"051243-051250-12-SE"</f>
        <v>051243-051250-12-SE</v>
      </c>
      <c r="X623" t="s">
        <v>838</v>
      </c>
      <c r="Y623">
        <v>1001</v>
      </c>
      <c r="Z623">
        <v>1105</v>
      </c>
      <c r="AA623" t="str">
        <f>"05/21/2016"</f>
        <v>05/21/2016</v>
      </c>
    </row>
    <row r="624" spans="1:27" x14ac:dyDescent="0.3">
      <c r="A624" t="str">
        <f t="shared" si="153"/>
        <v>048314</v>
      </c>
      <c r="B624" t="str">
        <f t="shared" si="165"/>
        <v>004796</v>
      </c>
      <c r="C624" t="s">
        <v>2011</v>
      </c>
      <c r="D624" t="s">
        <v>3839</v>
      </c>
      <c r="E624" t="s">
        <v>3840</v>
      </c>
      <c r="F624" t="s">
        <v>3841</v>
      </c>
      <c r="G624" t="s">
        <v>3842</v>
      </c>
      <c r="H624" t="str">
        <f t="shared" ref="H624:H632" si="166">"048314"</f>
        <v>048314</v>
      </c>
      <c r="I624" t="s">
        <v>833</v>
      </c>
      <c r="J624" t="str">
        <f>"2015-07-01 00:00:00.0"</f>
        <v>2015-07-01 00:00:00.0</v>
      </c>
      <c r="K624" t="s">
        <v>834</v>
      </c>
      <c r="L624" t="s">
        <v>0</v>
      </c>
      <c r="M624" t="str">
        <f t="shared" si="151"/>
        <v>048314</v>
      </c>
      <c r="N624">
        <v>0.87564799999999998</v>
      </c>
      <c r="O624">
        <v>0.87564799999999998</v>
      </c>
      <c r="P624" t="str">
        <f>"10"</f>
        <v>10</v>
      </c>
      <c r="Q624" t="str">
        <f>"10"</f>
        <v>10</v>
      </c>
      <c r="R624" t="str">
        <f>"2"</f>
        <v>2</v>
      </c>
      <c r="S624" t="s">
        <v>836</v>
      </c>
      <c r="T624" t="s">
        <v>836</v>
      </c>
      <c r="U624" t="str">
        <f>"2016-05-04 00:00:00.0"</f>
        <v>2016-05-04 00:00:00.0</v>
      </c>
      <c r="V624" t="s">
        <v>837</v>
      </c>
      <c r="W624" t="str">
        <f>"048314-004796-**-**"</f>
        <v>048314-004796-**-**</v>
      </c>
      <c r="X624" t="s">
        <v>838</v>
      </c>
      <c r="Y624">
        <v>1098.5</v>
      </c>
      <c r="Z624">
        <v>1254.5</v>
      </c>
      <c r="AA624" t="str">
        <f t="shared" ref="AA624:AA632" si="167">"06/08/2016"</f>
        <v>06/08/2016</v>
      </c>
    </row>
    <row r="625" spans="1:27" x14ac:dyDescent="0.3">
      <c r="A625" t="str">
        <f t="shared" si="153"/>
        <v>048314</v>
      </c>
      <c r="B625" t="str">
        <f t="shared" si="165"/>
        <v>004796</v>
      </c>
      <c r="C625" t="s">
        <v>2011</v>
      </c>
      <c r="D625" t="s">
        <v>3839</v>
      </c>
      <c r="E625" t="s">
        <v>3840</v>
      </c>
      <c r="F625" t="s">
        <v>3841</v>
      </c>
      <c r="G625" t="s">
        <v>3842</v>
      </c>
      <c r="H625" t="str">
        <f t="shared" si="166"/>
        <v>048314</v>
      </c>
      <c r="I625" t="s">
        <v>833</v>
      </c>
      <c r="J625" t="str">
        <f>"2016-05-05 00:00:00.0"</f>
        <v>2016-05-05 00:00:00.0</v>
      </c>
      <c r="K625" t="s">
        <v>834</v>
      </c>
      <c r="L625" t="s">
        <v>0</v>
      </c>
      <c r="M625" t="str">
        <f t="shared" si="151"/>
        <v>048314</v>
      </c>
      <c r="N625">
        <v>0.124352</v>
      </c>
      <c r="O625">
        <v>0.124352</v>
      </c>
      <c r="P625" t="str">
        <f>"10"</f>
        <v>10</v>
      </c>
      <c r="Q625" t="s">
        <v>835</v>
      </c>
      <c r="S625" t="s">
        <v>836</v>
      </c>
      <c r="T625" t="s">
        <v>836</v>
      </c>
      <c r="U625" t="str">
        <f t="shared" ref="U625:U635" si="168">"2500-12-31 00:00:00.0"</f>
        <v>2500-12-31 00:00:00.0</v>
      </c>
      <c r="V625" t="s">
        <v>837</v>
      </c>
      <c r="W625" t="str">
        <f>"048314-004796-**-**"</f>
        <v>048314-004796-**-**</v>
      </c>
      <c r="X625" t="s">
        <v>838</v>
      </c>
      <c r="Y625">
        <v>156</v>
      </c>
      <c r="Z625">
        <v>1254.5</v>
      </c>
      <c r="AA625" t="str">
        <f t="shared" si="167"/>
        <v>06/08/2016</v>
      </c>
    </row>
    <row r="626" spans="1:27" x14ac:dyDescent="0.3">
      <c r="A626" t="str">
        <f t="shared" si="153"/>
        <v>048314</v>
      </c>
      <c r="B626" t="str">
        <f t="shared" si="165"/>
        <v>004796</v>
      </c>
      <c r="C626" t="s">
        <v>1413</v>
      </c>
      <c r="D626" t="s">
        <v>3839</v>
      </c>
      <c r="E626" t="s">
        <v>3840</v>
      </c>
      <c r="F626" t="s">
        <v>3841</v>
      </c>
      <c r="G626" t="s">
        <v>3842</v>
      </c>
      <c r="H626" t="str">
        <f t="shared" si="166"/>
        <v>048314</v>
      </c>
      <c r="I626" t="s">
        <v>833</v>
      </c>
      <c r="J626" t="str">
        <f>"2015-07-01 00:00:00.0"</f>
        <v>2015-07-01 00:00:00.0</v>
      </c>
      <c r="K626" t="s">
        <v>834</v>
      </c>
      <c r="L626" t="s">
        <v>0</v>
      </c>
      <c r="M626" t="str">
        <f t="shared" si="151"/>
        <v>048314</v>
      </c>
      <c r="N626">
        <v>1</v>
      </c>
      <c r="O626">
        <v>1</v>
      </c>
      <c r="P626" t="str">
        <f>"12"</f>
        <v>12</v>
      </c>
      <c r="Q626" t="s">
        <v>835</v>
      </c>
      <c r="S626" t="s">
        <v>836</v>
      </c>
      <c r="T626" t="s">
        <v>836</v>
      </c>
      <c r="U626" t="str">
        <f t="shared" si="168"/>
        <v>2500-12-31 00:00:00.0</v>
      </c>
      <c r="V626" t="s">
        <v>837</v>
      </c>
      <c r="W626" t="str">
        <f>"048314-004796-12-SE"</f>
        <v>048314-004796-12-SE</v>
      </c>
      <c r="X626" t="s">
        <v>838</v>
      </c>
      <c r="Y626">
        <v>1254.5</v>
      </c>
      <c r="Z626">
        <v>1254.5</v>
      </c>
      <c r="AA626" t="str">
        <f t="shared" si="167"/>
        <v>06/08/2016</v>
      </c>
    </row>
    <row r="627" spans="1:27" x14ac:dyDescent="0.3">
      <c r="A627" t="str">
        <f t="shared" si="153"/>
        <v>048314</v>
      </c>
      <c r="B627" t="str">
        <f t="shared" si="165"/>
        <v>004796</v>
      </c>
      <c r="C627" t="s">
        <v>1465</v>
      </c>
      <c r="D627" t="s">
        <v>3839</v>
      </c>
      <c r="E627" t="s">
        <v>3840</v>
      </c>
      <c r="F627" t="s">
        <v>3841</v>
      </c>
      <c r="G627" t="s">
        <v>3842</v>
      </c>
      <c r="H627" t="str">
        <f t="shared" si="166"/>
        <v>048314</v>
      </c>
      <c r="I627" t="s">
        <v>833</v>
      </c>
      <c r="J627" t="str">
        <f>"2015-07-01 00:00:00.0"</f>
        <v>2015-07-01 00:00:00.0</v>
      </c>
      <c r="K627" t="s">
        <v>834</v>
      </c>
      <c r="L627" t="s">
        <v>0</v>
      </c>
      <c r="M627" t="str">
        <f t="shared" si="151"/>
        <v>048314</v>
      </c>
      <c r="N627">
        <v>1</v>
      </c>
      <c r="O627">
        <v>1</v>
      </c>
      <c r="P627" t="str">
        <f>"11"</f>
        <v>11</v>
      </c>
      <c r="Q627" t="s">
        <v>835</v>
      </c>
      <c r="S627" t="s">
        <v>836</v>
      </c>
      <c r="T627" t="s">
        <v>836</v>
      </c>
      <c r="U627" t="str">
        <f t="shared" si="168"/>
        <v>2500-12-31 00:00:00.0</v>
      </c>
      <c r="V627" t="s">
        <v>837</v>
      </c>
      <c r="W627" t="str">
        <f t="shared" ref="W627:W632" si="169">"048314-004796-**-**"</f>
        <v>048314-004796-**-**</v>
      </c>
      <c r="X627" t="s">
        <v>838</v>
      </c>
      <c r="Y627">
        <v>1254.5</v>
      </c>
      <c r="Z627">
        <v>1254.5</v>
      </c>
      <c r="AA627" t="str">
        <f t="shared" si="167"/>
        <v>06/08/2016</v>
      </c>
    </row>
    <row r="628" spans="1:27" x14ac:dyDescent="0.3">
      <c r="A628" t="str">
        <f t="shared" si="153"/>
        <v>048314</v>
      </c>
      <c r="B628" t="str">
        <f t="shared" si="165"/>
        <v>004796</v>
      </c>
      <c r="C628" t="s">
        <v>1570</v>
      </c>
      <c r="D628" t="s">
        <v>3839</v>
      </c>
      <c r="E628" t="s">
        <v>3840</v>
      </c>
      <c r="F628" t="s">
        <v>3841</v>
      </c>
      <c r="G628" t="s">
        <v>3842</v>
      </c>
      <c r="H628" t="str">
        <f t="shared" si="166"/>
        <v>048314</v>
      </c>
      <c r="I628" t="s">
        <v>833</v>
      </c>
      <c r="J628" t="str">
        <f>"2015-07-01 00:00:00.0"</f>
        <v>2015-07-01 00:00:00.0</v>
      </c>
      <c r="K628" t="s">
        <v>834</v>
      </c>
      <c r="L628" t="s">
        <v>0</v>
      </c>
      <c r="M628" t="str">
        <f t="shared" si="151"/>
        <v>048314</v>
      </c>
      <c r="N628">
        <v>1</v>
      </c>
      <c r="O628">
        <v>1</v>
      </c>
      <c r="P628" t="str">
        <f>"10"</f>
        <v>10</v>
      </c>
      <c r="Q628" t="s">
        <v>835</v>
      </c>
      <c r="S628" t="s">
        <v>836</v>
      </c>
      <c r="T628" t="s">
        <v>836</v>
      </c>
      <c r="U628" t="str">
        <f t="shared" si="168"/>
        <v>2500-12-31 00:00:00.0</v>
      </c>
      <c r="V628" t="s">
        <v>837</v>
      </c>
      <c r="W628" t="str">
        <f t="shared" si="169"/>
        <v>048314-004796-**-**</v>
      </c>
      <c r="X628" t="s">
        <v>838</v>
      </c>
      <c r="Y628">
        <v>1254.5</v>
      </c>
      <c r="Z628">
        <v>1254.5</v>
      </c>
      <c r="AA628" t="str">
        <f t="shared" si="167"/>
        <v>06/08/2016</v>
      </c>
    </row>
    <row r="629" spans="1:27" x14ac:dyDescent="0.3">
      <c r="A629" t="str">
        <f t="shared" si="153"/>
        <v>048314</v>
      </c>
      <c r="B629" t="str">
        <f t="shared" si="165"/>
        <v>004796</v>
      </c>
      <c r="C629" t="s">
        <v>1794</v>
      </c>
      <c r="D629" t="s">
        <v>3839</v>
      </c>
      <c r="E629" t="s">
        <v>3840</v>
      </c>
      <c r="F629" t="s">
        <v>3841</v>
      </c>
      <c r="G629" t="s">
        <v>3842</v>
      </c>
      <c r="H629" t="str">
        <f t="shared" si="166"/>
        <v>048314</v>
      </c>
      <c r="I629" t="s">
        <v>833</v>
      </c>
      <c r="J629" t="str">
        <f>"2015-09-09 00:00:00.0"</f>
        <v>2015-09-09 00:00:00.0</v>
      </c>
      <c r="K629" t="s">
        <v>834</v>
      </c>
      <c r="L629" t="s">
        <v>0</v>
      </c>
      <c r="M629" t="str">
        <f t="shared" si="151"/>
        <v>048314</v>
      </c>
      <c r="N629">
        <v>0.968912</v>
      </c>
      <c r="O629">
        <v>0.968912</v>
      </c>
      <c r="P629" t="str">
        <f>"10"</f>
        <v>10</v>
      </c>
      <c r="Q629" t="s">
        <v>835</v>
      </c>
      <c r="S629" t="s">
        <v>860</v>
      </c>
      <c r="T629" t="s">
        <v>836</v>
      </c>
      <c r="U629" t="str">
        <f t="shared" si="168"/>
        <v>2500-12-31 00:00:00.0</v>
      </c>
      <c r="V629" t="s">
        <v>837</v>
      </c>
      <c r="W629" t="str">
        <f t="shared" si="169"/>
        <v>048314-004796-**-**</v>
      </c>
      <c r="X629" t="s">
        <v>838</v>
      </c>
      <c r="Y629">
        <v>1215.5</v>
      </c>
      <c r="Z629">
        <v>1254.5</v>
      </c>
      <c r="AA629" t="str">
        <f t="shared" si="167"/>
        <v>06/08/2016</v>
      </c>
    </row>
    <row r="630" spans="1:27" x14ac:dyDescent="0.3">
      <c r="A630" t="str">
        <f t="shared" si="153"/>
        <v>048314</v>
      </c>
      <c r="B630" t="str">
        <f t="shared" si="165"/>
        <v>004796</v>
      </c>
      <c r="C630" t="s">
        <v>1075</v>
      </c>
      <c r="D630" t="s">
        <v>3839</v>
      </c>
      <c r="E630" t="s">
        <v>3840</v>
      </c>
      <c r="F630" t="s">
        <v>3841</v>
      </c>
      <c r="G630" t="s">
        <v>3842</v>
      </c>
      <c r="H630" t="str">
        <f t="shared" si="166"/>
        <v>048314</v>
      </c>
      <c r="I630" t="s">
        <v>833</v>
      </c>
      <c r="J630" t="str">
        <f>"2015-07-01 00:00:00.0"</f>
        <v>2015-07-01 00:00:00.0</v>
      </c>
      <c r="K630" t="s">
        <v>834</v>
      </c>
      <c r="L630" t="s">
        <v>0</v>
      </c>
      <c r="M630" t="str">
        <f t="shared" si="151"/>
        <v>048314</v>
      </c>
      <c r="N630">
        <v>1</v>
      </c>
      <c r="O630">
        <v>1</v>
      </c>
      <c r="P630" t="str">
        <f>"10"</f>
        <v>10</v>
      </c>
      <c r="Q630" t="str">
        <f>"09"</f>
        <v>09</v>
      </c>
      <c r="R630" t="str">
        <f>"2"</f>
        <v>2</v>
      </c>
      <c r="S630" t="s">
        <v>860</v>
      </c>
      <c r="T630" t="s">
        <v>836</v>
      </c>
      <c r="U630" t="str">
        <f t="shared" si="168"/>
        <v>2500-12-31 00:00:00.0</v>
      </c>
      <c r="V630" t="s">
        <v>837</v>
      </c>
      <c r="W630" t="str">
        <f t="shared" si="169"/>
        <v>048314-004796-**-**</v>
      </c>
      <c r="X630" t="s">
        <v>838</v>
      </c>
      <c r="Y630">
        <v>1254.5</v>
      </c>
      <c r="Z630">
        <v>1254.5</v>
      </c>
      <c r="AA630" t="str">
        <f t="shared" si="167"/>
        <v>06/08/2016</v>
      </c>
    </row>
    <row r="631" spans="1:27" x14ac:dyDescent="0.3">
      <c r="A631" t="str">
        <f t="shared" si="153"/>
        <v>048314</v>
      </c>
      <c r="B631" t="str">
        <f t="shared" si="165"/>
        <v>004796</v>
      </c>
      <c r="C631" t="s">
        <v>1076</v>
      </c>
      <c r="D631" t="s">
        <v>3839</v>
      </c>
      <c r="E631" t="s">
        <v>3840</v>
      </c>
      <c r="F631" t="s">
        <v>3841</v>
      </c>
      <c r="G631" t="s">
        <v>3842</v>
      </c>
      <c r="H631" t="str">
        <f t="shared" si="166"/>
        <v>048314</v>
      </c>
      <c r="I631" t="s">
        <v>833</v>
      </c>
      <c r="J631" t="str">
        <f>"2015-07-01 00:00:00.0"</f>
        <v>2015-07-01 00:00:00.0</v>
      </c>
      <c r="K631" t="s">
        <v>834</v>
      </c>
      <c r="L631" t="s">
        <v>0</v>
      </c>
      <c r="M631" t="str">
        <f t="shared" si="151"/>
        <v>048314</v>
      </c>
      <c r="N631">
        <v>1</v>
      </c>
      <c r="O631">
        <v>1</v>
      </c>
      <c r="P631" t="str">
        <f>"10"</f>
        <v>10</v>
      </c>
      <c r="Q631" t="str">
        <f>"09"</f>
        <v>09</v>
      </c>
      <c r="R631" t="str">
        <f>"2"</f>
        <v>2</v>
      </c>
      <c r="S631" t="s">
        <v>860</v>
      </c>
      <c r="T631" t="s">
        <v>836</v>
      </c>
      <c r="U631" t="str">
        <f t="shared" si="168"/>
        <v>2500-12-31 00:00:00.0</v>
      </c>
      <c r="V631" t="s">
        <v>837</v>
      </c>
      <c r="W631" t="str">
        <f t="shared" si="169"/>
        <v>048314-004796-**-**</v>
      </c>
      <c r="X631" t="s">
        <v>838</v>
      </c>
      <c r="Y631">
        <v>1254.5</v>
      </c>
      <c r="Z631">
        <v>1254.5</v>
      </c>
      <c r="AA631" t="str">
        <f t="shared" si="167"/>
        <v>06/08/2016</v>
      </c>
    </row>
    <row r="632" spans="1:27" x14ac:dyDescent="0.3">
      <c r="A632" t="str">
        <f t="shared" si="153"/>
        <v>048314</v>
      </c>
      <c r="B632" t="str">
        <f t="shared" si="165"/>
        <v>004796</v>
      </c>
      <c r="C632" t="s">
        <v>1521</v>
      </c>
      <c r="D632" t="s">
        <v>3839</v>
      </c>
      <c r="E632" t="s">
        <v>3840</v>
      </c>
      <c r="F632" t="s">
        <v>3841</v>
      </c>
      <c r="G632" t="s">
        <v>3842</v>
      </c>
      <c r="H632" t="str">
        <f t="shared" si="166"/>
        <v>048314</v>
      </c>
      <c r="I632" t="s">
        <v>833</v>
      </c>
      <c r="J632" t="str">
        <f>"2015-08-31 00:00:00.0"</f>
        <v>2015-08-31 00:00:00.0</v>
      </c>
      <c r="K632" t="s">
        <v>834</v>
      </c>
      <c r="L632" t="s">
        <v>0</v>
      </c>
      <c r="M632" t="str">
        <f t="shared" si="151"/>
        <v>048314</v>
      </c>
      <c r="N632">
        <v>1</v>
      </c>
      <c r="O632">
        <v>1</v>
      </c>
      <c r="P632" t="str">
        <f>"10"</f>
        <v>10</v>
      </c>
      <c r="Q632" t="s">
        <v>835</v>
      </c>
      <c r="S632" t="s">
        <v>860</v>
      </c>
      <c r="T632" t="s">
        <v>836</v>
      </c>
      <c r="U632" t="str">
        <f t="shared" si="168"/>
        <v>2500-12-31 00:00:00.0</v>
      </c>
      <c r="V632" t="s">
        <v>837</v>
      </c>
      <c r="W632" t="str">
        <f t="shared" si="169"/>
        <v>048314-004796-**-**</v>
      </c>
      <c r="X632" t="s">
        <v>838</v>
      </c>
      <c r="Y632">
        <v>1254.5</v>
      </c>
      <c r="Z632">
        <v>1254.5</v>
      </c>
      <c r="AA632" t="str">
        <f t="shared" si="167"/>
        <v>06/08/2016</v>
      </c>
    </row>
    <row r="633" spans="1:27" x14ac:dyDescent="0.3">
      <c r="A633" t="str">
        <f t="shared" si="153"/>
        <v>048314</v>
      </c>
      <c r="B633" t="str">
        <f t="shared" si="165"/>
        <v>004796</v>
      </c>
      <c r="C633" t="s">
        <v>1242</v>
      </c>
      <c r="D633" t="s">
        <v>3839</v>
      </c>
      <c r="E633" t="s">
        <v>3840</v>
      </c>
      <c r="F633" t="s">
        <v>3841</v>
      </c>
      <c r="G633" t="s">
        <v>3842</v>
      </c>
      <c r="H633" t="str">
        <f>"048363"</f>
        <v>048363</v>
      </c>
      <c r="I633" t="s">
        <v>833</v>
      </c>
      <c r="J633" t="str">
        <f>"2015-07-01 00:00:00.0"</f>
        <v>2015-07-01 00:00:00.0</v>
      </c>
      <c r="K633" t="s">
        <v>834</v>
      </c>
      <c r="L633" t="s">
        <v>1</v>
      </c>
      <c r="M633" t="str">
        <f t="shared" si="151"/>
        <v>048314</v>
      </c>
      <c r="N633">
        <v>1</v>
      </c>
      <c r="O633">
        <v>1</v>
      </c>
      <c r="P633" t="str">
        <f>"11"</f>
        <v>11</v>
      </c>
      <c r="Q633" t="s">
        <v>835</v>
      </c>
      <c r="S633" t="s">
        <v>836</v>
      </c>
      <c r="T633" t="s">
        <v>836</v>
      </c>
      <c r="U633" t="str">
        <f t="shared" si="168"/>
        <v>2500-12-31 00:00:00.0</v>
      </c>
      <c r="V633" t="s">
        <v>837</v>
      </c>
      <c r="W633" t="str">
        <f>"048363-026229-**-**"</f>
        <v>048363-026229-**-**</v>
      </c>
      <c r="X633" t="s">
        <v>838</v>
      </c>
      <c r="Y633">
        <v>1127</v>
      </c>
      <c r="Z633">
        <v>1127</v>
      </c>
      <c r="AA633" t="str">
        <f>"06/15/2016"</f>
        <v>06/15/2016</v>
      </c>
    </row>
    <row r="634" spans="1:27" x14ac:dyDescent="0.3">
      <c r="A634" t="str">
        <f t="shared" si="153"/>
        <v>048314</v>
      </c>
      <c r="B634" t="str">
        <f t="shared" si="165"/>
        <v>004796</v>
      </c>
      <c r="C634" t="s">
        <v>1402</v>
      </c>
      <c r="D634" t="s">
        <v>3839</v>
      </c>
      <c r="E634" t="s">
        <v>3840</v>
      </c>
      <c r="F634" t="s">
        <v>3841</v>
      </c>
      <c r="G634" t="s">
        <v>3842</v>
      </c>
      <c r="H634" t="str">
        <f>"048314"</f>
        <v>048314</v>
      </c>
      <c r="I634" t="s">
        <v>833</v>
      </c>
      <c r="J634" t="str">
        <f>"2015-07-01 00:00:00.0"</f>
        <v>2015-07-01 00:00:00.0</v>
      </c>
      <c r="K634" t="s">
        <v>834</v>
      </c>
      <c r="L634" t="s">
        <v>0</v>
      </c>
      <c r="M634" t="str">
        <f t="shared" si="151"/>
        <v>048314</v>
      </c>
      <c r="N634">
        <v>1</v>
      </c>
      <c r="O634">
        <v>1</v>
      </c>
      <c r="P634" t="str">
        <f>"11"</f>
        <v>11</v>
      </c>
      <c r="Q634" t="s">
        <v>835</v>
      </c>
      <c r="S634" t="s">
        <v>836</v>
      </c>
      <c r="T634" t="s">
        <v>836</v>
      </c>
      <c r="U634" t="str">
        <f t="shared" si="168"/>
        <v>2500-12-31 00:00:00.0</v>
      </c>
      <c r="V634" t="s">
        <v>837</v>
      </c>
      <c r="W634" t="str">
        <f>"048314-004796-**-**"</f>
        <v>048314-004796-**-**</v>
      </c>
      <c r="X634" t="s">
        <v>838</v>
      </c>
      <c r="Y634">
        <v>1254.5</v>
      </c>
      <c r="Z634">
        <v>1254.5</v>
      </c>
      <c r="AA634" t="str">
        <f>"06/08/2016"</f>
        <v>06/08/2016</v>
      </c>
    </row>
    <row r="635" spans="1:27" x14ac:dyDescent="0.3">
      <c r="A635" t="str">
        <f t="shared" si="153"/>
        <v>048314</v>
      </c>
      <c r="B635" t="str">
        <f t="shared" si="165"/>
        <v>004796</v>
      </c>
      <c r="C635" t="s">
        <v>1116</v>
      </c>
      <c r="D635" t="s">
        <v>3839</v>
      </c>
      <c r="E635" t="s">
        <v>3840</v>
      </c>
      <c r="F635" t="s">
        <v>3841</v>
      </c>
      <c r="G635" t="s">
        <v>3842</v>
      </c>
      <c r="H635" t="str">
        <f>"048314"</f>
        <v>048314</v>
      </c>
      <c r="I635" t="s">
        <v>833</v>
      </c>
      <c r="J635" t="str">
        <f>"2015-07-01 00:00:00.0"</f>
        <v>2015-07-01 00:00:00.0</v>
      </c>
      <c r="K635" t="s">
        <v>834</v>
      </c>
      <c r="L635" t="s">
        <v>0</v>
      </c>
      <c r="M635" t="str">
        <f t="shared" si="151"/>
        <v>048314</v>
      </c>
      <c r="N635">
        <v>1</v>
      </c>
      <c r="O635">
        <v>1</v>
      </c>
      <c r="P635" t="str">
        <f>"12"</f>
        <v>12</v>
      </c>
      <c r="Q635" t="s">
        <v>835</v>
      </c>
      <c r="S635" t="s">
        <v>836</v>
      </c>
      <c r="T635" t="s">
        <v>836</v>
      </c>
      <c r="U635" t="str">
        <f t="shared" si="168"/>
        <v>2500-12-31 00:00:00.0</v>
      </c>
      <c r="V635" t="s">
        <v>837</v>
      </c>
      <c r="W635" t="str">
        <f>"048314-004796-12-SE"</f>
        <v>048314-004796-12-SE</v>
      </c>
      <c r="X635" t="s">
        <v>838</v>
      </c>
      <c r="Y635">
        <v>1254.5</v>
      </c>
      <c r="Z635">
        <v>1254.5</v>
      </c>
      <c r="AA635" t="str">
        <f>"06/08/2016"</f>
        <v>06/08/2016</v>
      </c>
    </row>
    <row r="636" spans="1:27" x14ac:dyDescent="0.3">
      <c r="A636" t="str">
        <f t="shared" si="153"/>
        <v>048314</v>
      </c>
      <c r="B636" t="str">
        <f t="shared" si="165"/>
        <v>004796</v>
      </c>
      <c r="C636" t="s">
        <v>889</v>
      </c>
      <c r="D636" t="s">
        <v>3839</v>
      </c>
      <c r="E636" t="s">
        <v>3840</v>
      </c>
      <c r="F636" t="s">
        <v>3841</v>
      </c>
      <c r="G636" t="s">
        <v>3842</v>
      </c>
      <c r="H636" t="str">
        <f>"046441"</f>
        <v>046441</v>
      </c>
      <c r="I636" t="s">
        <v>833</v>
      </c>
      <c r="J636" t="str">
        <f>"2016-02-03 00:00:00.0"</f>
        <v>2016-02-03 00:00:00.0</v>
      </c>
      <c r="K636" t="s">
        <v>834</v>
      </c>
      <c r="L636" t="s">
        <v>1</v>
      </c>
      <c r="M636" t="str">
        <f t="shared" si="151"/>
        <v>048314</v>
      </c>
      <c r="N636">
        <v>0.28550900000000001</v>
      </c>
      <c r="O636">
        <v>0.28550900000000001</v>
      </c>
      <c r="P636" t="str">
        <f>"10"</f>
        <v>10</v>
      </c>
      <c r="Q636" t="s">
        <v>835</v>
      </c>
      <c r="S636" t="s">
        <v>836</v>
      </c>
      <c r="T636" t="s">
        <v>836</v>
      </c>
      <c r="U636" t="str">
        <f>"2016-04-25 00:00:00.0"</f>
        <v>2016-04-25 00:00:00.0</v>
      </c>
      <c r="V636" t="s">
        <v>837</v>
      </c>
      <c r="W636" t="str">
        <f>"046441-036095-**-**"</f>
        <v>046441-036095-**-**</v>
      </c>
      <c r="X636" t="s">
        <v>838</v>
      </c>
      <c r="Y636">
        <v>298.5</v>
      </c>
      <c r="Z636">
        <v>1045.5</v>
      </c>
      <c r="AA636" t="str">
        <f>"06/06/2016"</f>
        <v>06/06/2016</v>
      </c>
    </row>
    <row r="637" spans="1:27" x14ac:dyDescent="0.3">
      <c r="A637" t="str">
        <f t="shared" si="153"/>
        <v>048314</v>
      </c>
      <c r="B637" t="str">
        <f t="shared" si="165"/>
        <v>004796</v>
      </c>
      <c r="C637" t="s">
        <v>888</v>
      </c>
      <c r="D637" t="s">
        <v>3839</v>
      </c>
      <c r="E637" t="s">
        <v>3840</v>
      </c>
      <c r="F637" t="s">
        <v>3841</v>
      </c>
      <c r="G637" t="s">
        <v>3842</v>
      </c>
      <c r="H637" t="str">
        <f>"048314"</f>
        <v>048314</v>
      </c>
      <c r="I637" t="s">
        <v>833</v>
      </c>
      <c r="J637" t="str">
        <f>"2015-07-01 00:00:00.0"</f>
        <v>2015-07-01 00:00:00.0</v>
      </c>
      <c r="K637" t="s">
        <v>834</v>
      </c>
      <c r="L637" t="s">
        <v>0</v>
      </c>
      <c r="M637" t="str">
        <f t="shared" si="151"/>
        <v>048314</v>
      </c>
      <c r="N637">
        <v>0.22797899999999999</v>
      </c>
      <c r="O637">
        <v>0.22797899999999999</v>
      </c>
      <c r="P637" t="str">
        <f>"23"</f>
        <v>23</v>
      </c>
      <c r="Q637" t="str">
        <f>"12"</f>
        <v>12</v>
      </c>
      <c r="R637" t="str">
        <f>"6"</f>
        <v>6</v>
      </c>
      <c r="S637" t="s">
        <v>836</v>
      </c>
      <c r="T637" t="s">
        <v>836</v>
      </c>
      <c r="U637" t="str">
        <f>"2015-10-30 00:00:00.0"</f>
        <v>2015-10-30 00:00:00.0</v>
      </c>
      <c r="V637" t="s">
        <v>837</v>
      </c>
      <c r="W637" t="str">
        <f>"048314-004796-**-**"</f>
        <v>048314-004796-**-**</v>
      </c>
      <c r="X637" t="s">
        <v>838</v>
      </c>
      <c r="Y637">
        <v>286</v>
      </c>
      <c r="Z637">
        <v>1254.5</v>
      </c>
      <c r="AA637" t="str">
        <f>"06/08/2016"</f>
        <v>06/08/2016</v>
      </c>
    </row>
    <row r="638" spans="1:27" x14ac:dyDescent="0.3">
      <c r="A638" t="str">
        <f t="shared" si="153"/>
        <v>048314</v>
      </c>
      <c r="B638" t="str">
        <f t="shared" si="165"/>
        <v>004796</v>
      </c>
      <c r="C638" t="s">
        <v>1999</v>
      </c>
      <c r="D638" t="s">
        <v>3839</v>
      </c>
      <c r="E638" t="s">
        <v>3840</v>
      </c>
      <c r="F638" t="s">
        <v>3841</v>
      </c>
      <c r="G638" t="s">
        <v>3842</v>
      </c>
      <c r="H638" t="str">
        <f>"048314"</f>
        <v>048314</v>
      </c>
      <c r="I638" t="s">
        <v>833</v>
      </c>
      <c r="J638" t="str">
        <f>"2015-08-31 00:00:00.0"</f>
        <v>2015-08-31 00:00:00.0</v>
      </c>
      <c r="K638" t="s">
        <v>834</v>
      </c>
      <c r="L638" t="s">
        <v>0</v>
      </c>
      <c r="M638" t="str">
        <f t="shared" ref="M638:M701" si="170">"048314"</f>
        <v>048314</v>
      </c>
      <c r="N638">
        <v>1</v>
      </c>
      <c r="O638">
        <v>1</v>
      </c>
      <c r="P638" t="str">
        <f>"11"</f>
        <v>11</v>
      </c>
      <c r="Q638" t="s">
        <v>835</v>
      </c>
      <c r="S638" t="s">
        <v>836</v>
      </c>
      <c r="T638" t="s">
        <v>836</v>
      </c>
      <c r="U638" t="str">
        <f t="shared" ref="U638:U648" si="171">"2500-12-31 00:00:00.0"</f>
        <v>2500-12-31 00:00:00.0</v>
      </c>
      <c r="V638" t="s">
        <v>837</v>
      </c>
      <c r="W638" t="str">
        <f>"048314-004796-**-**"</f>
        <v>048314-004796-**-**</v>
      </c>
      <c r="X638" t="s">
        <v>838</v>
      </c>
      <c r="Y638">
        <v>1254.5</v>
      </c>
      <c r="Z638">
        <v>1254.5</v>
      </c>
      <c r="AA638" t="str">
        <f>"06/08/2016"</f>
        <v>06/08/2016</v>
      </c>
    </row>
    <row r="639" spans="1:27" x14ac:dyDescent="0.3">
      <c r="A639" t="str">
        <f t="shared" si="153"/>
        <v>048314</v>
      </c>
      <c r="B639" t="str">
        <f t="shared" si="165"/>
        <v>004796</v>
      </c>
      <c r="C639" t="s">
        <v>885</v>
      </c>
      <c r="D639" t="s">
        <v>3839</v>
      </c>
      <c r="E639" t="s">
        <v>3840</v>
      </c>
      <c r="F639" t="s">
        <v>3841</v>
      </c>
      <c r="G639" t="s">
        <v>3842</v>
      </c>
      <c r="H639" t="str">
        <f>"051243"</f>
        <v>051243</v>
      </c>
      <c r="I639" t="s">
        <v>833</v>
      </c>
      <c r="J639" t="str">
        <f t="shared" ref="J639:J647" si="172">"2015-07-01 00:00:00.0"</f>
        <v>2015-07-01 00:00:00.0</v>
      </c>
      <c r="K639" t="s">
        <v>834</v>
      </c>
      <c r="L639" t="s">
        <v>0</v>
      </c>
      <c r="M639" t="str">
        <f t="shared" si="170"/>
        <v>048314</v>
      </c>
      <c r="N639">
        <v>1</v>
      </c>
      <c r="O639">
        <v>1</v>
      </c>
      <c r="P639" t="str">
        <f>"12"</f>
        <v>12</v>
      </c>
      <c r="Q639" t="str">
        <f>"15"</f>
        <v>15</v>
      </c>
      <c r="R639" t="str">
        <f>"2"</f>
        <v>2</v>
      </c>
      <c r="S639" t="s">
        <v>860</v>
      </c>
      <c r="T639" t="s">
        <v>836</v>
      </c>
      <c r="U639" t="str">
        <f t="shared" si="171"/>
        <v>2500-12-31 00:00:00.0</v>
      </c>
      <c r="V639" t="s">
        <v>886</v>
      </c>
      <c r="W639" t="str">
        <f>"051243-051250-12-SE"</f>
        <v>051243-051250-12-SE</v>
      </c>
      <c r="X639" t="s">
        <v>838</v>
      </c>
      <c r="Y639">
        <v>1105</v>
      </c>
      <c r="Z639">
        <v>1105</v>
      </c>
      <c r="AA639" t="str">
        <f>"05/21/2016"</f>
        <v>05/21/2016</v>
      </c>
    </row>
    <row r="640" spans="1:27" x14ac:dyDescent="0.3">
      <c r="A640" t="str">
        <f t="shared" si="153"/>
        <v>048314</v>
      </c>
      <c r="B640" t="str">
        <f t="shared" si="165"/>
        <v>004796</v>
      </c>
      <c r="C640" t="s">
        <v>2195</v>
      </c>
      <c r="D640" t="s">
        <v>3839</v>
      </c>
      <c r="E640" t="s">
        <v>3840</v>
      </c>
      <c r="F640" t="s">
        <v>3841</v>
      </c>
      <c r="G640" t="s">
        <v>3842</v>
      </c>
      <c r="H640" t="str">
        <f t="shared" ref="H640:H647" si="173">"048314"</f>
        <v>048314</v>
      </c>
      <c r="I640" t="s">
        <v>833</v>
      </c>
      <c r="J640" t="str">
        <f t="shared" si="172"/>
        <v>2015-07-01 00:00:00.0</v>
      </c>
      <c r="K640" t="s">
        <v>834</v>
      </c>
      <c r="L640" t="s">
        <v>0</v>
      </c>
      <c r="M640" t="str">
        <f t="shared" si="170"/>
        <v>048314</v>
      </c>
      <c r="N640">
        <v>1</v>
      </c>
      <c r="O640">
        <v>1</v>
      </c>
      <c r="P640" t="str">
        <f>"11"</f>
        <v>11</v>
      </c>
      <c r="Q640" t="s">
        <v>835</v>
      </c>
      <c r="S640" t="s">
        <v>836</v>
      </c>
      <c r="T640" t="s">
        <v>836</v>
      </c>
      <c r="U640" t="str">
        <f t="shared" si="171"/>
        <v>2500-12-31 00:00:00.0</v>
      </c>
      <c r="V640" t="s">
        <v>837</v>
      </c>
      <c r="W640" t="str">
        <f t="shared" ref="W640:W645" si="174">"048314-004796-**-**"</f>
        <v>048314-004796-**-**</v>
      </c>
      <c r="X640" t="s">
        <v>838</v>
      </c>
      <c r="Y640">
        <v>1254.5</v>
      </c>
      <c r="Z640">
        <v>1254.5</v>
      </c>
      <c r="AA640" t="str">
        <f t="shared" ref="AA640:AA647" si="175">"06/08/2016"</f>
        <v>06/08/2016</v>
      </c>
    </row>
    <row r="641" spans="1:27" x14ac:dyDescent="0.3">
      <c r="A641" t="str">
        <f t="shared" si="153"/>
        <v>048314</v>
      </c>
      <c r="B641" t="str">
        <f t="shared" si="165"/>
        <v>004796</v>
      </c>
      <c r="C641" t="s">
        <v>1810</v>
      </c>
      <c r="D641" t="s">
        <v>3839</v>
      </c>
      <c r="E641" t="s">
        <v>3840</v>
      </c>
      <c r="F641" t="s">
        <v>3841</v>
      </c>
      <c r="G641" t="s">
        <v>3842</v>
      </c>
      <c r="H641" t="str">
        <f t="shared" si="173"/>
        <v>048314</v>
      </c>
      <c r="I641" t="s">
        <v>833</v>
      </c>
      <c r="J641" t="str">
        <f t="shared" si="172"/>
        <v>2015-07-01 00:00:00.0</v>
      </c>
      <c r="K641" t="s">
        <v>834</v>
      </c>
      <c r="L641" t="s">
        <v>0</v>
      </c>
      <c r="M641" t="str">
        <f t="shared" si="170"/>
        <v>048314</v>
      </c>
      <c r="N641">
        <v>1</v>
      </c>
      <c r="O641">
        <v>1</v>
      </c>
      <c r="P641" t="str">
        <f>"10"</f>
        <v>10</v>
      </c>
      <c r="Q641" t="s">
        <v>835</v>
      </c>
      <c r="S641" t="s">
        <v>836</v>
      </c>
      <c r="T641" t="s">
        <v>836</v>
      </c>
      <c r="U641" t="str">
        <f t="shared" si="171"/>
        <v>2500-12-31 00:00:00.0</v>
      </c>
      <c r="V641" t="s">
        <v>837</v>
      </c>
      <c r="W641" t="str">
        <f t="shared" si="174"/>
        <v>048314-004796-**-**</v>
      </c>
      <c r="X641" t="s">
        <v>838</v>
      </c>
      <c r="Y641">
        <v>1254.5</v>
      </c>
      <c r="Z641">
        <v>1254.5</v>
      </c>
      <c r="AA641" t="str">
        <f t="shared" si="175"/>
        <v>06/08/2016</v>
      </c>
    </row>
    <row r="642" spans="1:27" x14ac:dyDescent="0.3">
      <c r="A642" t="str">
        <f t="shared" ref="A642:A705" si="176">"048314"</f>
        <v>048314</v>
      </c>
      <c r="B642" t="str">
        <f t="shared" si="165"/>
        <v>004796</v>
      </c>
      <c r="C642" t="s">
        <v>1766</v>
      </c>
      <c r="D642" t="s">
        <v>3839</v>
      </c>
      <c r="E642" t="s">
        <v>3840</v>
      </c>
      <c r="F642" t="s">
        <v>3841</v>
      </c>
      <c r="G642" t="s">
        <v>3842</v>
      </c>
      <c r="H642" t="str">
        <f t="shared" si="173"/>
        <v>048314</v>
      </c>
      <c r="I642" t="s">
        <v>833</v>
      </c>
      <c r="J642" t="str">
        <f t="shared" si="172"/>
        <v>2015-07-01 00:00:00.0</v>
      </c>
      <c r="K642" t="s">
        <v>834</v>
      </c>
      <c r="L642" t="s">
        <v>0</v>
      </c>
      <c r="M642" t="str">
        <f t="shared" si="170"/>
        <v>048314</v>
      </c>
      <c r="N642">
        <v>1</v>
      </c>
      <c r="O642">
        <v>1</v>
      </c>
      <c r="P642" t="str">
        <f>"10"</f>
        <v>10</v>
      </c>
      <c r="Q642" t="s">
        <v>835</v>
      </c>
      <c r="S642" t="s">
        <v>836</v>
      </c>
      <c r="T642" t="s">
        <v>836</v>
      </c>
      <c r="U642" t="str">
        <f t="shared" si="171"/>
        <v>2500-12-31 00:00:00.0</v>
      </c>
      <c r="V642" t="s">
        <v>837</v>
      </c>
      <c r="W642" t="str">
        <f t="shared" si="174"/>
        <v>048314-004796-**-**</v>
      </c>
      <c r="X642" t="s">
        <v>838</v>
      </c>
      <c r="Y642">
        <v>1254.5</v>
      </c>
      <c r="Z642">
        <v>1254.5</v>
      </c>
      <c r="AA642" t="str">
        <f t="shared" si="175"/>
        <v>06/08/2016</v>
      </c>
    </row>
    <row r="643" spans="1:27" x14ac:dyDescent="0.3">
      <c r="A643" t="str">
        <f t="shared" si="176"/>
        <v>048314</v>
      </c>
      <c r="B643" t="str">
        <f t="shared" si="165"/>
        <v>004796</v>
      </c>
      <c r="C643" t="s">
        <v>977</v>
      </c>
      <c r="D643" t="s">
        <v>3839</v>
      </c>
      <c r="E643" t="s">
        <v>3840</v>
      </c>
      <c r="F643" t="s">
        <v>3841</v>
      </c>
      <c r="G643" t="s">
        <v>3842</v>
      </c>
      <c r="H643" t="str">
        <f t="shared" si="173"/>
        <v>048314</v>
      </c>
      <c r="I643" t="s">
        <v>833</v>
      </c>
      <c r="J643" t="str">
        <f t="shared" si="172"/>
        <v>2015-07-01 00:00:00.0</v>
      </c>
      <c r="K643" t="s">
        <v>834</v>
      </c>
      <c r="L643" t="s">
        <v>0</v>
      </c>
      <c r="M643" t="str">
        <f t="shared" si="170"/>
        <v>048314</v>
      </c>
      <c r="N643">
        <v>1</v>
      </c>
      <c r="O643">
        <v>1</v>
      </c>
      <c r="P643" t="str">
        <f>"11"</f>
        <v>11</v>
      </c>
      <c r="Q643" t="s">
        <v>835</v>
      </c>
      <c r="S643" t="s">
        <v>836</v>
      </c>
      <c r="T643" t="s">
        <v>836</v>
      </c>
      <c r="U643" t="str">
        <f t="shared" si="171"/>
        <v>2500-12-31 00:00:00.0</v>
      </c>
      <c r="V643" t="s">
        <v>837</v>
      </c>
      <c r="W643" t="str">
        <f t="shared" si="174"/>
        <v>048314-004796-**-**</v>
      </c>
      <c r="X643" t="s">
        <v>838</v>
      </c>
      <c r="Y643">
        <v>1254.5</v>
      </c>
      <c r="Z643">
        <v>1254.5</v>
      </c>
      <c r="AA643" t="str">
        <f t="shared" si="175"/>
        <v>06/08/2016</v>
      </c>
    </row>
    <row r="644" spans="1:27" x14ac:dyDescent="0.3">
      <c r="A644" t="str">
        <f t="shared" si="176"/>
        <v>048314</v>
      </c>
      <c r="B644" t="str">
        <f t="shared" si="165"/>
        <v>004796</v>
      </c>
      <c r="C644" t="s">
        <v>2293</v>
      </c>
      <c r="D644" t="s">
        <v>3839</v>
      </c>
      <c r="E644" t="s">
        <v>3840</v>
      </c>
      <c r="F644" t="s">
        <v>3841</v>
      </c>
      <c r="G644" t="s">
        <v>3842</v>
      </c>
      <c r="H644" t="str">
        <f t="shared" si="173"/>
        <v>048314</v>
      </c>
      <c r="I644" t="s">
        <v>833</v>
      </c>
      <c r="J644" t="str">
        <f t="shared" si="172"/>
        <v>2015-07-01 00:00:00.0</v>
      </c>
      <c r="K644" t="s">
        <v>834</v>
      </c>
      <c r="L644" t="s">
        <v>0</v>
      </c>
      <c r="M644" t="str">
        <f t="shared" si="170"/>
        <v>048314</v>
      </c>
      <c r="N644">
        <v>1</v>
      </c>
      <c r="O644">
        <v>1</v>
      </c>
      <c r="P644" t="str">
        <f>"11"</f>
        <v>11</v>
      </c>
      <c r="Q644" t="s">
        <v>835</v>
      </c>
      <c r="S644" t="s">
        <v>836</v>
      </c>
      <c r="T644" t="s">
        <v>836</v>
      </c>
      <c r="U644" t="str">
        <f t="shared" si="171"/>
        <v>2500-12-31 00:00:00.0</v>
      </c>
      <c r="V644" t="s">
        <v>837</v>
      </c>
      <c r="W644" t="str">
        <f t="shared" si="174"/>
        <v>048314-004796-**-**</v>
      </c>
      <c r="X644" t="s">
        <v>838</v>
      </c>
      <c r="Y644">
        <v>1254.5</v>
      </c>
      <c r="Z644">
        <v>1254.5</v>
      </c>
      <c r="AA644" t="str">
        <f t="shared" si="175"/>
        <v>06/08/2016</v>
      </c>
    </row>
    <row r="645" spans="1:27" x14ac:dyDescent="0.3">
      <c r="A645" t="str">
        <f t="shared" si="176"/>
        <v>048314</v>
      </c>
      <c r="B645" t="str">
        <f t="shared" si="165"/>
        <v>004796</v>
      </c>
      <c r="C645" t="s">
        <v>1554</v>
      </c>
      <c r="D645" t="s">
        <v>3839</v>
      </c>
      <c r="E645" t="s">
        <v>3840</v>
      </c>
      <c r="F645" t="s">
        <v>3841</v>
      </c>
      <c r="G645" t="s">
        <v>3842</v>
      </c>
      <c r="H645" t="str">
        <f t="shared" si="173"/>
        <v>048314</v>
      </c>
      <c r="I645" t="s">
        <v>833</v>
      </c>
      <c r="J645" t="str">
        <f t="shared" si="172"/>
        <v>2015-07-01 00:00:00.0</v>
      </c>
      <c r="K645" t="s">
        <v>834</v>
      </c>
      <c r="L645" t="s">
        <v>0</v>
      </c>
      <c r="M645" t="str">
        <f t="shared" si="170"/>
        <v>048314</v>
      </c>
      <c r="N645">
        <v>1</v>
      </c>
      <c r="O645">
        <v>1</v>
      </c>
      <c r="P645" t="str">
        <f>"10"</f>
        <v>10</v>
      </c>
      <c r="Q645" t="s">
        <v>835</v>
      </c>
      <c r="S645" t="s">
        <v>836</v>
      </c>
      <c r="T645" t="s">
        <v>836</v>
      </c>
      <c r="U645" t="str">
        <f t="shared" si="171"/>
        <v>2500-12-31 00:00:00.0</v>
      </c>
      <c r="V645" t="s">
        <v>837</v>
      </c>
      <c r="W645" t="str">
        <f t="shared" si="174"/>
        <v>048314-004796-**-**</v>
      </c>
      <c r="X645" t="s">
        <v>838</v>
      </c>
      <c r="Y645">
        <v>1254.5</v>
      </c>
      <c r="Z645">
        <v>1254.5</v>
      </c>
      <c r="AA645" t="str">
        <f t="shared" si="175"/>
        <v>06/08/2016</v>
      </c>
    </row>
    <row r="646" spans="1:27" x14ac:dyDescent="0.3">
      <c r="A646" t="str">
        <f t="shared" si="176"/>
        <v>048314</v>
      </c>
      <c r="B646" t="str">
        <f t="shared" si="165"/>
        <v>004796</v>
      </c>
      <c r="C646" t="s">
        <v>1414</v>
      </c>
      <c r="D646" t="s">
        <v>3839</v>
      </c>
      <c r="E646" t="s">
        <v>3840</v>
      </c>
      <c r="F646" t="s">
        <v>3841</v>
      </c>
      <c r="G646" t="s">
        <v>3842</v>
      </c>
      <c r="H646" t="str">
        <f t="shared" si="173"/>
        <v>048314</v>
      </c>
      <c r="I646" t="s">
        <v>833</v>
      </c>
      <c r="J646" t="str">
        <f t="shared" si="172"/>
        <v>2015-07-01 00:00:00.0</v>
      </c>
      <c r="K646" t="s">
        <v>834</v>
      </c>
      <c r="L646" t="s">
        <v>0</v>
      </c>
      <c r="M646" t="str">
        <f t="shared" si="170"/>
        <v>048314</v>
      </c>
      <c r="N646">
        <v>1</v>
      </c>
      <c r="O646">
        <v>1</v>
      </c>
      <c r="P646" t="str">
        <f>"12"</f>
        <v>12</v>
      </c>
      <c r="Q646" t="s">
        <v>835</v>
      </c>
      <c r="S646" t="s">
        <v>836</v>
      </c>
      <c r="T646" t="s">
        <v>836</v>
      </c>
      <c r="U646" t="str">
        <f t="shared" si="171"/>
        <v>2500-12-31 00:00:00.0</v>
      </c>
      <c r="V646" t="s">
        <v>837</v>
      </c>
      <c r="W646" t="str">
        <f>"048314-004796-12-SE"</f>
        <v>048314-004796-12-SE</v>
      </c>
      <c r="X646" t="s">
        <v>838</v>
      </c>
      <c r="Y646">
        <v>1254.5</v>
      </c>
      <c r="Z646">
        <v>1254.5</v>
      </c>
      <c r="AA646" t="str">
        <f t="shared" si="175"/>
        <v>06/08/2016</v>
      </c>
    </row>
    <row r="647" spans="1:27" x14ac:dyDescent="0.3">
      <c r="A647" t="str">
        <f t="shared" si="176"/>
        <v>048314</v>
      </c>
      <c r="B647" t="str">
        <f t="shared" si="165"/>
        <v>004796</v>
      </c>
      <c r="C647" t="s">
        <v>1767</v>
      </c>
      <c r="D647" t="s">
        <v>3839</v>
      </c>
      <c r="E647" t="s">
        <v>3840</v>
      </c>
      <c r="F647" t="s">
        <v>3841</v>
      </c>
      <c r="G647" t="s">
        <v>3842</v>
      </c>
      <c r="H647" t="str">
        <f t="shared" si="173"/>
        <v>048314</v>
      </c>
      <c r="I647" t="s">
        <v>833</v>
      </c>
      <c r="J647" t="str">
        <f t="shared" si="172"/>
        <v>2015-07-01 00:00:00.0</v>
      </c>
      <c r="K647" t="s">
        <v>834</v>
      </c>
      <c r="L647" t="s">
        <v>0</v>
      </c>
      <c r="M647" t="str">
        <f t="shared" si="170"/>
        <v>048314</v>
      </c>
      <c r="N647">
        <v>1</v>
      </c>
      <c r="O647">
        <v>1</v>
      </c>
      <c r="P647" t="str">
        <f>"11"</f>
        <v>11</v>
      </c>
      <c r="Q647" t="s">
        <v>835</v>
      </c>
      <c r="S647" t="s">
        <v>836</v>
      </c>
      <c r="T647" t="s">
        <v>836</v>
      </c>
      <c r="U647" t="str">
        <f t="shared" si="171"/>
        <v>2500-12-31 00:00:00.0</v>
      </c>
      <c r="V647" t="s">
        <v>837</v>
      </c>
      <c r="W647" t="str">
        <f>"048314-004796-**-**"</f>
        <v>048314-004796-**-**</v>
      </c>
      <c r="X647" t="s">
        <v>838</v>
      </c>
      <c r="Y647">
        <v>1254.5</v>
      </c>
      <c r="Z647">
        <v>1254.5</v>
      </c>
      <c r="AA647" t="str">
        <f t="shared" si="175"/>
        <v>06/08/2016</v>
      </c>
    </row>
    <row r="648" spans="1:27" x14ac:dyDescent="0.3">
      <c r="A648" t="str">
        <f t="shared" si="176"/>
        <v>048314</v>
      </c>
      <c r="B648" t="str">
        <f t="shared" si="165"/>
        <v>004796</v>
      </c>
      <c r="C648" t="s">
        <v>1302</v>
      </c>
      <c r="D648" t="s">
        <v>3839</v>
      </c>
      <c r="E648" t="s">
        <v>3840</v>
      </c>
      <c r="F648" t="s">
        <v>3841</v>
      </c>
      <c r="G648" t="s">
        <v>3842</v>
      </c>
      <c r="H648" t="str">
        <f>"051243"</f>
        <v>051243</v>
      </c>
      <c r="I648" t="s">
        <v>833</v>
      </c>
      <c r="J648" t="str">
        <f>"2015-09-22 00:00:00.0"</f>
        <v>2015-09-22 00:00:00.0</v>
      </c>
      <c r="K648" t="s">
        <v>834</v>
      </c>
      <c r="L648" t="s">
        <v>0</v>
      </c>
      <c r="M648" t="str">
        <f t="shared" si="170"/>
        <v>048314</v>
      </c>
      <c r="N648">
        <v>0.90340900000000002</v>
      </c>
      <c r="O648">
        <v>0.90340900000000002</v>
      </c>
      <c r="P648" t="str">
        <f>"11"</f>
        <v>11</v>
      </c>
      <c r="Q648" t="str">
        <f>"10"</f>
        <v>10</v>
      </c>
      <c r="R648" t="str">
        <f>"2"</f>
        <v>2</v>
      </c>
      <c r="S648" t="s">
        <v>860</v>
      </c>
      <c r="T648" t="s">
        <v>836</v>
      </c>
      <c r="U648" t="str">
        <f t="shared" si="171"/>
        <v>2500-12-31 00:00:00.0</v>
      </c>
      <c r="V648" t="s">
        <v>886</v>
      </c>
      <c r="W648" t="str">
        <f>"051243-051250-11-**"</f>
        <v>051243-051250-11-**</v>
      </c>
      <c r="X648" t="s">
        <v>838</v>
      </c>
      <c r="Y648">
        <v>1033.5</v>
      </c>
      <c r="Z648">
        <v>1144</v>
      </c>
      <c r="AA648" t="str">
        <f>"05/21/2016"</f>
        <v>05/21/2016</v>
      </c>
    </row>
    <row r="649" spans="1:27" x14ac:dyDescent="0.3">
      <c r="A649" t="str">
        <f t="shared" si="176"/>
        <v>048314</v>
      </c>
      <c r="B649" t="str">
        <f t="shared" si="165"/>
        <v>004796</v>
      </c>
      <c r="C649" t="s">
        <v>1302</v>
      </c>
      <c r="D649" t="s">
        <v>3839</v>
      </c>
      <c r="E649" t="s">
        <v>3840</v>
      </c>
      <c r="F649" t="s">
        <v>3841</v>
      </c>
      <c r="G649" t="s">
        <v>3842</v>
      </c>
      <c r="H649" t="str">
        <f>"051243"</f>
        <v>051243</v>
      </c>
      <c r="I649" t="s">
        <v>833</v>
      </c>
      <c r="J649" t="str">
        <f>"2015-08-03 00:00:00.0"</f>
        <v>2015-08-03 00:00:00.0</v>
      </c>
      <c r="K649" t="s">
        <v>834</v>
      </c>
      <c r="L649" t="s">
        <v>0</v>
      </c>
      <c r="M649" t="str">
        <f t="shared" si="170"/>
        <v>048314</v>
      </c>
      <c r="N649">
        <v>9.6590999999999996E-2</v>
      </c>
      <c r="O649">
        <v>9.6590999999999996E-2</v>
      </c>
      <c r="P649" t="str">
        <f>"11"</f>
        <v>11</v>
      </c>
      <c r="Q649" t="str">
        <f>"10"</f>
        <v>10</v>
      </c>
      <c r="R649" t="str">
        <f>"2"</f>
        <v>2</v>
      </c>
      <c r="S649" t="s">
        <v>836</v>
      </c>
      <c r="T649" t="s">
        <v>836</v>
      </c>
      <c r="U649" t="str">
        <f>"2015-09-21 00:00:00.0"</f>
        <v>2015-09-21 00:00:00.0</v>
      </c>
      <c r="V649" t="s">
        <v>886</v>
      </c>
      <c r="W649" t="str">
        <f>"051243-051250-11-**"</f>
        <v>051243-051250-11-**</v>
      </c>
      <c r="X649" t="s">
        <v>838</v>
      </c>
      <c r="Y649">
        <v>110.5</v>
      </c>
      <c r="Z649">
        <v>1144</v>
      </c>
      <c r="AA649" t="str">
        <f>"05/21/2016"</f>
        <v>05/21/2016</v>
      </c>
    </row>
    <row r="650" spans="1:27" x14ac:dyDescent="0.3">
      <c r="A650" t="str">
        <f t="shared" si="176"/>
        <v>048314</v>
      </c>
      <c r="B650" t="str">
        <f t="shared" si="165"/>
        <v>004796</v>
      </c>
      <c r="C650" t="s">
        <v>1524</v>
      </c>
      <c r="D650" t="s">
        <v>3839</v>
      </c>
      <c r="E650" t="s">
        <v>3840</v>
      </c>
      <c r="F650" t="s">
        <v>3841</v>
      </c>
      <c r="G650" t="s">
        <v>3842</v>
      </c>
      <c r="H650" t="str">
        <f>"048314"</f>
        <v>048314</v>
      </c>
      <c r="I650" t="s">
        <v>833</v>
      </c>
      <c r="J650" t="str">
        <f>"2015-07-01 00:00:00.0"</f>
        <v>2015-07-01 00:00:00.0</v>
      </c>
      <c r="K650" t="s">
        <v>834</v>
      </c>
      <c r="L650" t="s">
        <v>0</v>
      </c>
      <c r="M650" t="str">
        <f t="shared" si="170"/>
        <v>048314</v>
      </c>
      <c r="N650">
        <v>0.559585</v>
      </c>
      <c r="O650">
        <v>0.559585</v>
      </c>
      <c r="P650" t="str">
        <f>"10"</f>
        <v>10</v>
      </c>
      <c r="Q650" t="s">
        <v>835</v>
      </c>
      <c r="S650" t="s">
        <v>836</v>
      </c>
      <c r="T650" t="s">
        <v>836</v>
      </c>
      <c r="U650" t="str">
        <f>"2016-02-04 00:00:00.0"</f>
        <v>2016-02-04 00:00:00.0</v>
      </c>
      <c r="V650" t="s">
        <v>837</v>
      </c>
      <c r="W650" t="str">
        <f>"048314-004796-**-**"</f>
        <v>048314-004796-**-**</v>
      </c>
      <c r="X650" t="s">
        <v>838</v>
      </c>
      <c r="Y650">
        <v>702</v>
      </c>
      <c r="Z650">
        <v>1254.5</v>
      </c>
      <c r="AA650" t="str">
        <f>"06/08/2016"</f>
        <v>06/08/2016</v>
      </c>
    </row>
    <row r="651" spans="1:27" x14ac:dyDescent="0.3">
      <c r="A651" t="str">
        <f t="shared" si="176"/>
        <v>048314</v>
      </c>
      <c r="B651" t="str">
        <f t="shared" si="165"/>
        <v>004796</v>
      </c>
      <c r="C651" t="s">
        <v>1524</v>
      </c>
      <c r="D651" t="s">
        <v>3839</v>
      </c>
      <c r="E651" t="s">
        <v>3840</v>
      </c>
      <c r="F651" t="s">
        <v>3841</v>
      </c>
      <c r="G651" t="s">
        <v>3842</v>
      </c>
      <c r="H651" t="str">
        <f>"048314"</f>
        <v>048314</v>
      </c>
      <c r="I651" t="s">
        <v>833</v>
      </c>
      <c r="J651" t="str">
        <f>"2016-02-05 00:00:00.0"</f>
        <v>2016-02-05 00:00:00.0</v>
      </c>
      <c r="K651" t="s">
        <v>834</v>
      </c>
      <c r="L651" t="s">
        <v>0</v>
      </c>
      <c r="M651" t="str">
        <f t="shared" si="170"/>
        <v>048314</v>
      </c>
      <c r="N651">
        <v>0.440415</v>
      </c>
      <c r="O651">
        <v>0.440415</v>
      </c>
      <c r="P651" t="str">
        <f>"10"</f>
        <v>10</v>
      </c>
      <c r="Q651" t="s">
        <v>835</v>
      </c>
      <c r="S651" t="s">
        <v>860</v>
      </c>
      <c r="T651" t="s">
        <v>836</v>
      </c>
      <c r="U651" t="str">
        <f t="shared" ref="U651:U657" si="177">"2500-12-31 00:00:00.0"</f>
        <v>2500-12-31 00:00:00.0</v>
      </c>
      <c r="V651" t="s">
        <v>837</v>
      </c>
      <c r="W651" t="str">
        <f>"048314-004796-**-**"</f>
        <v>048314-004796-**-**</v>
      </c>
      <c r="X651" t="s">
        <v>838</v>
      </c>
      <c r="Y651">
        <v>552.5</v>
      </c>
      <c r="Z651">
        <v>1254.5</v>
      </c>
      <c r="AA651" t="str">
        <f>"06/08/2016"</f>
        <v>06/08/2016</v>
      </c>
    </row>
    <row r="652" spans="1:27" x14ac:dyDescent="0.3">
      <c r="A652" t="str">
        <f t="shared" si="176"/>
        <v>048314</v>
      </c>
      <c r="B652" t="str">
        <f t="shared" si="165"/>
        <v>004796</v>
      </c>
      <c r="C652" t="s">
        <v>1768</v>
      </c>
      <c r="D652" t="s">
        <v>3839</v>
      </c>
      <c r="E652" t="s">
        <v>3840</v>
      </c>
      <c r="F652" t="s">
        <v>3841</v>
      </c>
      <c r="G652" t="s">
        <v>3842</v>
      </c>
      <c r="H652" t="str">
        <f>"048314"</f>
        <v>048314</v>
      </c>
      <c r="I652" t="s">
        <v>833</v>
      </c>
      <c r="J652" t="str">
        <f>"2015-07-01 00:00:00.0"</f>
        <v>2015-07-01 00:00:00.0</v>
      </c>
      <c r="K652" t="s">
        <v>834</v>
      </c>
      <c r="L652" t="s">
        <v>0</v>
      </c>
      <c r="M652" t="str">
        <f t="shared" si="170"/>
        <v>048314</v>
      </c>
      <c r="N652">
        <v>1</v>
      </c>
      <c r="O652">
        <v>1</v>
      </c>
      <c r="P652" t="str">
        <f>"12"</f>
        <v>12</v>
      </c>
      <c r="Q652" t="s">
        <v>835</v>
      </c>
      <c r="S652" t="s">
        <v>836</v>
      </c>
      <c r="T652" t="s">
        <v>836</v>
      </c>
      <c r="U652" t="str">
        <f t="shared" si="177"/>
        <v>2500-12-31 00:00:00.0</v>
      </c>
      <c r="V652" t="s">
        <v>837</v>
      </c>
      <c r="W652" t="str">
        <f>"048314-004796-12-SE"</f>
        <v>048314-004796-12-SE</v>
      </c>
      <c r="X652" t="s">
        <v>838</v>
      </c>
      <c r="Y652">
        <v>1254.5</v>
      </c>
      <c r="Z652">
        <v>1254.5</v>
      </c>
      <c r="AA652" t="str">
        <f>"06/08/2016"</f>
        <v>06/08/2016</v>
      </c>
    </row>
    <row r="653" spans="1:27" x14ac:dyDescent="0.3">
      <c r="A653" t="str">
        <f t="shared" si="176"/>
        <v>048314</v>
      </c>
      <c r="B653" t="str">
        <f t="shared" si="165"/>
        <v>004796</v>
      </c>
      <c r="C653" t="s">
        <v>890</v>
      </c>
      <c r="D653" t="s">
        <v>3839</v>
      </c>
      <c r="E653" t="s">
        <v>3840</v>
      </c>
      <c r="F653" t="s">
        <v>3841</v>
      </c>
      <c r="G653" t="s">
        <v>3842</v>
      </c>
      <c r="H653" t="str">
        <f>"051243"</f>
        <v>051243</v>
      </c>
      <c r="I653" t="s">
        <v>833</v>
      </c>
      <c r="J653" t="str">
        <f>"2015-07-01 00:00:00.0"</f>
        <v>2015-07-01 00:00:00.0</v>
      </c>
      <c r="K653" t="s">
        <v>834</v>
      </c>
      <c r="L653" t="s">
        <v>0</v>
      </c>
      <c r="M653" t="str">
        <f t="shared" si="170"/>
        <v>048314</v>
      </c>
      <c r="N653">
        <v>0.9</v>
      </c>
      <c r="O653">
        <v>0.9</v>
      </c>
      <c r="P653" t="str">
        <f>"23"</f>
        <v>23</v>
      </c>
      <c r="Q653" t="str">
        <f>"09"</f>
        <v>09</v>
      </c>
      <c r="R653" t="str">
        <f>"2"</f>
        <v>2</v>
      </c>
      <c r="S653" t="s">
        <v>836</v>
      </c>
      <c r="T653" t="s">
        <v>836</v>
      </c>
      <c r="U653" t="str">
        <f t="shared" si="177"/>
        <v>2500-12-31 00:00:00.0</v>
      </c>
      <c r="V653" t="s">
        <v>886</v>
      </c>
      <c r="W653" t="str">
        <f>"051243-051250-23-AM"</f>
        <v>051243-051250-23-AM</v>
      </c>
      <c r="X653" t="s">
        <v>838</v>
      </c>
      <c r="Y653">
        <v>1029.5999999999999</v>
      </c>
      <c r="Z653">
        <v>1144</v>
      </c>
      <c r="AA653" t="str">
        <f>"05/21/2016"</f>
        <v>05/21/2016</v>
      </c>
    </row>
    <row r="654" spans="1:27" x14ac:dyDescent="0.3">
      <c r="A654" t="str">
        <f t="shared" si="176"/>
        <v>048314</v>
      </c>
      <c r="B654" t="str">
        <f t="shared" si="165"/>
        <v>004796</v>
      </c>
      <c r="C654" t="s">
        <v>1077</v>
      </c>
      <c r="D654" t="s">
        <v>3839</v>
      </c>
      <c r="E654" t="s">
        <v>3840</v>
      </c>
      <c r="F654" t="s">
        <v>3841</v>
      </c>
      <c r="G654" t="s">
        <v>3842</v>
      </c>
      <c r="H654" t="str">
        <f>"048314"</f>
        <v>048314</v>
      </c>
      <c r="I654" t="s">
        <v>833</v>
      </c>
      <c r="J654" t="str">
        <f>"2015-08-31 00:00:00.0"</f>
        <v>2015-08-31 00:00:00.0</v>
      </c>
      <c r="K654" t="s">
        <v>834</v>
      </c>
      <c r="L654" t="s">
        <v>0</v>
      </c>
      <c r="M654" t="str">
        <f t="shared" si="170"/>
        <v>048314</v>
      </c>
      <c r="N654">
        <v>1</v>
      </c>
      <c r="O654">
        <v>1</v>
      </c>
      <c r="P654" t="str">
        <f>"12"</f>
        <v>12</v>
      </c>
      <c r="Q654" t="s">
        <v>835</v>
      </c>
      <c r="S654" t="s">
        <v>860</v>
      </c>
      <c r="T654" t="s">
        <v>836</v>
      </c>
      <c r="U654" t="str">
        <f t="shared" si="177"/>
        <v>2500-12-31 00:00:00.0</v>
      </c>
      <c r="V654" t="s">
        <v>837</v>
      </c>
      <c r="W654" t="str">
        <f>"048314-004796-12-SE"</f>
        <v>048314-004796-12-SE</v>
      </c>
      <c r="X654" t="s">
        <v>838</v>
      </c>
      <c r="Y654">
        <v>1254.5</v>
      </c>
      <c r="Z654">
        <v>1254.5</v>
      </c>
      <c r="AA654" t="str">
        <f>"06/08/2016"</f>
        <v>06/08/2016</v>
      </c>
    </row>
    <row r="655" spans="1:27" x14ac:dyDescent="0.3">
      <c r="A655" t="str">
        <f t="shared" si="176"/>
        <v>048314</v>
      </c>
      <c r="B655" t="str">
        <f t="shared" si="165"/>
        <v>004796</v>
      </c>
      <c r="C655" t="s">
        <v>2013</v>
      </c>
      <c r="D655" t="s">
        <v>3839</v>
      </c>
      <c r="E655" t="s">
        <v>3840</v>
      </c>
      <c r="F655" t="s">
        <v>3841</v>
      </c>
      <c r="G655" t="s">
        <v>3842</v>
      </c>
      <c r="H655" t="str">
        <f>"048314"</f>
        <v>048314</v>
      </c>
      <c r="I655" t="s">
        <v>833</v>
      </c>
      <c r="J655" t="str">
        <f>"2015-07-01 00:00:00.0"</f>
        <v>2015-07-01 00:00:00.0</v>
      </c>
      <c r="K655" t="s">
        <v>834</v>
      </c>
      <c r="L655" t="s">
        <v>0</v>
      </c>
      <c r="M655" t="str">
        <f t="shared" si="170"/>
        <v>048314</v>
      </c>
      <c r="N655">
        <v>1</v>
      </c>
      <c r="O655">
        <v>1</v>
      </c>
      <c r="P655" t="str">
        <f>"10"</f>
        <v>10</v>
      </c>
      <c r="Q655" t="s">
        <v>835</v>
      </c>
      <c r="S655" t="s">
        <v>836</v>
      </c>
      <c r="T655" t="s">
        <v>836</v>
      </c>
      <c r="U655" t="str">
        <f t="shared" si="177"/>
        <v>2500-12-31 00:00:00.0</v>
      </c>
      <c r="V655" t="s">
        <v>837</v>
      </c>
      <c r="W655" t="str">
        <f>"048314-004796-**-**"</f>
        <v>048314-004796-**-**</v>
      </c>
      <c r="X655" t="s">
        <v>838</v>
      </c>
      <c r="Y655">
        <v>1254.5</v>
      </c>
      <c r="Z655">
        <v>1254.5</v>
      </c>
      <c r="AA655" t="str">
        <f>"06/08/2016"</f>
        <v>06/08/2016</v>
      </c>
    </row>
    <row r="656" spans="1:27" x14ac:dyDescent="0.3">
      <c r="A656" t="str">
        <f t="shared" si="176"/>
        <v>048314</v>
      </c>
      <c r="B656" t="str">
        <f t="shared" si="165"/>
        <v>004796</v>
      </c>
      <c r="C656" t="s">
        <v>1117</v>
      </c>
      <c r="D656" t="s">
        <v>3839</v>
      </c>
      <c r="E656" t="s">
        <v>3840</v>
      </c>
      <c r="F656" t="s">
        <v>3841</v>
      </c>
      <c r="G656" t="s">
        <v>3842</v>
      </c>
      <c r="H656" t="str">
        <f>"048314"</f>
        <v>048314</v>
      </c>
      <c r="I656" t="s">
        <v>833</v>
      </c>
      <c r="J656" t="str">
        <f>"2015-07-01 00:00:00.0"</f>
        <v>2015-07-01 00:00:00.0</v>
      </c>
      <c r="K656" t="s">
        <v>834</v>
      </c>
      <c r="L656" t="s">
        <v>0</v>
      </c>
      <c r="M656" t="str">
        <f t="shared" si="170"/>
        <v>048314</v>
      </c>
      <c r="N656">
        <v>1</v>
      </c>
      <c r="O656">
        <v>1</v>
      </c>
      <c r="P656" t="str">
        <f>"12"</f>
        <v>12</v>
      </c>
      <c r="Q656" t="str">
        <f>"10"</f>
        <v>10</v>
      </c>
      <c r="R656" t="str">
        <f>"2"</f>
        <v>2</v>
      </c>
      <c r="S656" t="s">
        <v>836</v>
      </c>
      <c r="T656" t="s">
        <v>836</v>
      </c>
      <c r="U656" t="str">
        <f t="shared" si="177"/>
        <v>2500-12-31 00:00:00.0</v>
      </c>
      <c r="V656" t="s">
        <v>837</v>
      </c>
      <c r="W656" t="str">
        <f>"048314-004796-12-SE"</f>
        <v>048314-004796-12-SE</v>
      </c>
      <c r="X656" t="s">
        <v>838</v>
      </c>
      <c r="Y656">
        <v>1254.5</v>
      </c>
      <c r="Z656">
        <v>1254.5</v>
      </c>
      <c r="AA656" t="str">
        <f>"06/08/2016"</f>
        <v>06/08/2016</v>
      </c>
    </row>
    <row r="657" spans="1:27" x14ac:dyDescent="0.3">
      <c r="A657" t="str">
        <f t="shared" si="176"/>
        <v>048314</v>
      </c>
      <c r="B657" t="str">
        <f t="shared" si="165"/>
        <v>004796</v>
      </c>
      <c r="C657" t="s">
        <v>1171</v>
      </c>
      <c r="D657" t="s">
        <v>3839</v>
      </c>
      <c r="E657" t="s">
        <v>3840</v>
      </c>
      <c r="F657" t="s">
        <v>3841</v>
      </c>
      <c r="G657" t="s">
        <v>3842</v>
      </c>
      <c r="H657" t="str">
        <f>"048314"</f>
        <v>048314</v>
      </c>
      <c r="I657" t="s">
        <v>833</v>
      </c>
      <c r="J657" t="str">
        <f>"2015-07-01 00:00:00.0"</f>
        <v>2015-07-01 00:00:00.0</v>
      </c>
      <c r="K657" t="s">
        <v>834</v>
      </c>
      <c r="L657" t="s">
        <v>0</v>
      </c>
      <c r="M657" t="str">
        <f t="shared" si="170"/>
        <v>048314</v>
      </c>
      <c r="N657">
        <v>1</v>
      </c>
      <c r="O657">
        <v>1</v>
      </c>
      <c r="P657" t="str">
        <f>"12"</f>
        <v>12</v>
      </c>
      <c r="Q657" t="s">
        <v>835</v>
      </c>
      <c r="S657" t="s">
        <v>836</v>
      </c>
      <c r="T657" t="s">
        <v>836</v>
      </c>
      <c r="U657" t="str">
        <f t="shared" si="177"/>
        <v>2500-12-31 00:00:00.0</v>
      </c>
      <c r="V657" t="s">
        <v>837</v>
      </c>
      <c r="W657" t="str">
        <f>"048314-004796-12-SE"</f>
        <v>048314-004796-12-SE</v>
      </c>
      <c r="X657" t="s">
        <v>838</v>
      </c>
      <c r="Y657">
        <v>1254.5</v>
      </c>
      <c r="Z657">
        <v>1254.5</v>
      </c>
      <c r="AA657" t="str">
        <f>"06/08/2016"</f>
        <v>06/08/2016</v>
      </c>
    </row>
    <row r="658" spans="1:27" x14ac:dyDescent="0.3">
      <c r="A658" t="str">
        <f t="shared" si="176"/>
        <v>048314</v>
      </c>
      <c r="B658" t="str">
        <f t="shared" si="165"/>
        <v>004796</v>
      </c>
      <c r="C658" t="s">
        <v>1105</v>
      </c>
      <c r="D658" t="s">
        <v>3839</v>
      </c>
      <c r="E658" t="s">
        <v>3840</v>
      </c>
      <c r="F658" t="s">
        <v>3841</v>
      </c>
      <c r="G658" t="s">
        <v>3842</v>
      </c>
      <c r="H658" t="str">
        <f>"048363"</f>
        <v>048363</v>
      </c>
      <c r="I658" t="s">
        <v>833</v>
      </c>
      <c r="J658" t="str">
        <f>"2016-03-17 00:00:00.0"</f>
        <v>2016-03-17 00:00:00.0</v>
      </c>
      <c r="K658" t="s">
        <v>834</v>
      </c>
      <c r="L658" t="s">
        <v>1</v>
      </c>
      <c r="M658" t="str">
        <f t="shared" si="170"/>
        <v>048314</v>
      </c>
      <c r="N658">
        <v>0.26840199999999997</v>
      </c>
      <c r="O658">
        <v>0.26840199999999997</v>
      </c>
      <c r="P658" t="str">
        <f>"12"</f>
        <v>12</v>
      </c>
      <c r="Q658" t="s">
        <v>835</v>
      </c>
      <c r="S658" t="s">
        <v>836</v>
      </c>
      <c r="T658" t="s">
        <v>836</v>
      </c>
      <c r="U658" t="str">
        <f>"2016-05-27 00:00:00.0"</f>
        <v>2016-05-27 00:00:00.0</v>
      </c>
      <c r="V658" t="s">
        <v>837</v>
      </c>
      <c r="W658" t="str">
        <f>"048363-026229-12-SR"</f>
        <v>048363-026229-12-SR</v>
      </c>
      <c r="X658" t="s">
        <v>838</v>
      </c>
      <c r="Y658">
        <v>299</v>
      </c>
      <c r="Z658">
        <v>1114</v>
      </c>
      <c r="AA658" t="str">
        <f>"06/15/2016"</f>
        <v>06/15/2016</v>
      </c>
    </row>
    <row r="659" spans="1:27" x14ac:dyDescent="0.3">
      <c r="A659" t="str">
        <f t="shared" si="176"/>
        <v>048314</v>
      </c>
      <c r="B659" t="str">
        <f t="shared" si="165"/>
        <v>004796</v>
      </c>
      <c r="C659" t="s">
        <v>1262</v>
      </c>
      <c r="D659" t="s">
        <v>3839</v>
      </c>
      <c r="E659" t="s">
        <v>3840</v>
      </c>
      <c r="F659" t="s">
        <v>3841</v>
      </c>
      <c r="G659" t="s">
        <v>3842</v>
      </c>
      <c r="H659" t="str">
        <f t="shared" ref="H659:H680" si="178">"048314"</f>
        <v>048314</v>
      </c>
      <c r="I659" t="s">
        <v>833</v>
      </c>
      <c r="J659" t="str">
        <f>"2015-12-09 00:00:00.0"</f>
        <v>2015-12-09 00:00:00.0</v>
      </c>
      <c r="K659" t="s">
        <v>834</v>
      </c>
      <c r="L659" t="s">
        <v>0</v>
      </c>
      <c r="M659" t="str">
        <f t="shared" si="170"/>
        <v>048314</v>
      </c>
      <c r="N659">
        <v>0.53886000000000001</v>
      </c>
      <c r="O659">
        <v>0.53886000000000001</v>
      </c>
      <c r="P659" t="str">
        <f>"12"</f>
        <v>12</v>
      </c>
      <c r="Q659" t="str">
        <f>"08"</f>
        <v>08</v>
      </c>
      <c r="R659" t="str">
        <f>"3"</f>
        <v>3</v>
      </c>
      <c r="S659" t="s">
        <v>836</v>
      </c>
      <c r="T659" t="s">
        <v>836</v>
      </c>
      <c r="U659" t="str">
        <f>"2016-05-10 00:00:00.0"</f>
        <v>2016-05-10 00:00:00.0</v>
      </c>
      <c r="V659" t="s">
        <v>837</v>
      </c>
      <c r="W659" t="str">
        <f>"048314-004796-**-**"</f>
        <v>048314-004796-**-**</v>
      </c>
      <c r="X659" t="s">
        <v>838</v>
      </c>
      <c r="Y659">
        <v>676</v>
      </c>
      <c r="Z659">
        <v>1254.5</v>
      </c>
      <c r="AA659" t="str">
        <f t="shared" ref="AA659:AA680" si="179">"06/08/2016"</f>
        <v>06/08/2016</v>
      </c>
    </row>
    <row r="660" spans="1:27" x14ac:dyDescent="0.3">
      <c r="A660" t="str">
        <f t="shared" si="176"/>
        <v>048314</v>
      </c>
      <c r="B660" t="str">
        <f t="shared" si="165"/>
        <v>004796</v>
      </c>
      <c r="C660" t="s">
        <v>3108</v>
      </c>
      <c r="D660" t="s">
        <v>3839</v>
      </c>
      <c r="E660" t="s">
        <v>3840</v>
      </c>
      <c r="F660" t="s">
        <v>3841</v>
      </c>
      <c r="G660" t="s">
        <v>3842</v>
      </c>
      <c r="H660" t="str">
        <f t="shared" si="178"/>
        <v>048314</v>
      </c>
      <c r="I660" t="s">
        <v>833</v>
      </c>
      <c r="J660" t="str">
        <f t="shared" ref="J660:J679" si="180">"2015-07-01 00:00:00.0"</f>
        <v>2015-07-01 00:00:00.0</v>
      </c>
      <c r="K660" t="s">
        <v>834</v>
      </c>
      <c r="L660" t="s">
        <v>0</v>
      </c>
      <c r="M660" t="str">
        <f t="shared" si="170"/>
        <v>048314</v>
      </c>
      <c r="N660">
        <v>1</v>
      </c>
      <c r="O660">
        <v>1</v>
      </c>
      <c r="P660" t="str">
        <f>"10"</f>
        <v>10</v>
      </c>
      <c r="Q660" t="s">
        <v>835</v>
      </c>
      <c r="S660" t="s">
        <v>836</v>
      </c>
      <c r="T660" t="s">
        <v>836</v>
      </c>
      <c r="U660" t="str">
        <f t="shared" ref="U660:U681" si="181">"2500-12-31 00:00:00.0"</f>
        <v>2500-12-31 00:00:00.0</v>
      </c>
      <c r="V660" t="s">
        <v>837</v>
      </c>
      <c r="W660" t="str">
        <f>"048314-004796-**-**"</f>
        <v>048314-004796-**-**</v>
      </c>
      <c r="X660" t="s">
        <v>838</v>
      </c>
      <c r="Y660">
        <v>1254.5</v>
      </c>
      <c r="Z660">
        <v>1254.5</v>
      </c>
      <c r="AA660" t="str">
        <f t="shared" si="179"/>
        <v>06/08/2016</v>
      </c>
    </row>
    <row r="661" spans="1:27" x14ac:dyDescent="0.3">
      <c r="A661" t="str">
        <f t="shared" si="176"/>
        <v>048314</v>
      </c>
      <c r="B661" t="str">
        <f t="shared" si="165"/>
        <v>004796</v>
      </c>
      <c r="C661" t="s">
        <v>991</v>
      </c>
      <c r="D661" t="s">
        <v>3839</v>
      </c>
      <c r="E661" t="s">
        <v>3840</v>
      </c>
      <c r="F661" t="s">
        <v>3841</v>
      </c>
      <c r="G661" t="s">
        <v>3842</v>
      </c>
      <c r="H661" t="str">
        <f t="shared" si="178"/>
        <v>048314</v>
      </c>
      <c r="I661" t="s">
        <v>833</v>
      </c>
      <c r="J661" t="str">
        <f t="shared" si="180"/>
        <v>2015-07-01 00:00:00.0</v>
      </c>
      <c r="K661" t="s">
        <v>834</v>
      </c>
      <c r="L661" t="s">
        <v>0</v>
      </c>
      <c r="M661" t="str">
        <f t="shared" si="170"/>
        <v>048314</v>
      </c>
      <c r="N661">
        <v>1</v>
      </c>
      <c r="O661">
        <v>1</v>
      </c>
      <c r="P661" t="str">
        <f>"11"</f>
        <v>11</v>
      </c>
      <c r="Q661" t="s">
        <v>835</v>
      </c>
      <c r="S661" t="s">
        <v>836</v>
      </c>
      <c r="T661" t="s">
        <v>836</v>
      </c>
      <c r="U661" t="str">
        <f t="shared" si="181"/>
        <v>2500-12-31 00:00:00.0</v>
      </c>
      <c r="V661" t="s">
        <v>837</v>
      </c>
      <c r="W661" t="str">
        <f>"048314-004796-**-**"</f>
        <v>048314-004796-**-**</v>
      </c>
      <c r="X661" t="s">
        <v>838</v>
      </c>
      <c r="Y661">
        <v>1254.5</v>
      </c>
      <c r="Z661">
        <v>1254.5</v>
      </c>
      <c r="AA661" t="str">
        <f t="shared" si="179"/>
        <v>06/08/2016</v>
      </c>
    </row>
    <row r="662" spans="1:27" x14ac:dyDescent="0.3">
      <c r="A662" t="str">
        <f t="shared" si="176"/>
        <v>048314</v>
      </c>
      <c r="B662" t="str">
        <f t="shared" si="165"/>
        <v>004796</v>
      </c>
      <c r="C662" t="s">
        <v>3750</v>
      </c>
      <c r="D662" t="s">
        <v>3839</v>
      </c>
      <c r="E662" t="s">
        <v>3840</v>
      </c>
      <c r="F662" t="s">
        <v>3841</v>
      </c>
      <c r="G662" t="s">
        <v>3842</v>
      </c>
      <c r="H662" t="str">
        <f t="shared" si="178"/>
        <v>048314</v>
      </c>
      <c r="I662" t="s">
        <v>833</v>
      </c>
      <c r="J662" t="str">
        <f t="shared" si="180"/>
        <v>2015-07-01 00:00:00.0</v>
      </c>
      <c r="K662" t="s">
        <v>834</v>
      </c>
      <c r="L662" t="s">
        <v>0</v>
      </c>
      <c r="M662" t="str">
        <f t="shared" si="170"/>
        <v>048314</v>
      </c>
      <c r="N662">
        <v>1</v>
      </c>
      <c r="O662">
        <v>1</v>
      </c>
      <c r="P662" t="str">
        <f>"11"</f>
        <v>11</v>
      </c>
      <c r="Q662" t="s">
        <v>835</v>
      </c>
      <c r="S662" t="s">
        <v>836</v>
      </c>
      <c r="T662" t="s">
        <v>836</v>
      </c>
      <c r="U662" t="str">
        <f t="shared" si="181"/>
        <v>2500-12-31 00:00:00.0</v>
      </c>
      <c r="V662" t="s">
        <v>837</v>
      </c>
      <c r="W662" t="str">
        <f>"048314-004796-**-**"</f>
        <v>048314-004796-**-**</v>
      </c>
      <c r="X662" t="s">
        <v>838</v>
      </c>
      <c r="Y662">
        <v>1254.5</v>
      </c>
      <c r="Z662">
        <v>1254.5</v>
      </c>
      <c r="AA662" t="str">
        <f t="shared" si="179"/>
        <v>06/08/2016</v>
      </c>
    </row>
    <row r="663" spans="1:27" x14ac:dyDescent="0.3">
      <c r="A663" t="str">
        <f t="shared" si="176"/>
        <v>048314</v>
      </c>
      <c r="B663" t="str">
        <f t="shared" si="165"/>
        <v>004796</v>
      </c>
      <c r="C663" t="s">
        <v>1087</v>
      </c>
      <c r="D663" t="s">
        <v>3839</v>
      </c>
      <c r="E663" t="s">
        <v>3840</v>
      </c>
      <c r="F663" t="s">
        <v>3841</v>
      </c>
      <c r="G663" t="s">
        <v>3842</v>
      </c>
      <c r="H663" t="str">
        <f t="shared" si="178"/>
        <v>048314</v>
      </c>
      <c r="I663" t="s">
        <v>833</v>
      </c>
      <c r="J663" t="str">
        <f t="shared" si="180"/>
        <v>2015-07-01 00:00:00.0</v>
      </c>
      <c r="K663" t="s">
        <v>834</v>
      </c>
      <c r="L663" t="s">
        <v>0</v>
      </c>
      <c r="M663" t="str">
        <f t="shared" si="170"/>
        <v>048314</v>
      </c>
      <c r="N663">
        <v>1</v>
      </c>
      <c r="O663">
        <v>1</v>
      </c>
      <c r="P663" t="str">
        <f>"12"</f>
        <v>12</v>
      </c>
      <c r="Q663" t="s">
        <v>835</v>
      </c>
      <c r="S663" t="s">
        <v>836</v>
      </c>
      <c r="T663" t="s">
        <v>836</v>
      </c>
      <c r="U663" t="str">
        <f t="shared" si="181"/>
        <v>2500-12-31 00:00:00.0</v>
      </c>
      <c r="V663" t="s">
        <v>837</v>
      </c>
      <c r="W663" t="str">
        <f>"048314-004796-12-SE"</f>
        <v>048314-004796-12-SE</v>
      </c>
      <c r="X663" t="s">
        <v>838</v>
      </c>
      <c r="Y663">
        <v>1254.5</v>
      </c>
      <c r="Z663">
        <v>1254.5</v>
      </c>
      <c r="AA663" t="str">
        <f t="shared" si="179"/>
        <v>06/08/2016</v>
      </c>
    </row>
    <row r="664" spans="1:27" x14ac:dyDescent="0.3">
      <c r="A664" t="str">
        <f t="shared" si="176"/>
        <v>048314</v>
      </c>
      <c r="B664" t="str">
        <f t="shared" si="165"/>
        <v>004796</v>
      </c>
      <c r="C664" t="s">
        <v>1571</v>
      </c>
      <c r="D664" t="s">
        <v>3839</v>
      </c>
      <c r="E664" t="s">
        <v>3840</v>
      </c>
      <c r="F664" t="s">
        <v>3841</v>
      </c>
      <c r="G664" t="s">
        <v>3842</v>
      </c>
      <c r="H664" t="str">
        <f t="shared" si="178"/>
        <v>048314</v>
      </c>
      <c r="I664" t="s">
        <v>833</v>
      </c>
      <c r="J664" t="str">
        <f t="shared" si="180"/>
        <v>2015-07-01 00:00:00.0</v>
      </c>
      <c r="K664" t="s">
        <v>834</v>
      </c>
      <c r="L664" t="s">
        <v>0</v>
      </c>
      <c r="M664" t="str">
        <f t="shared" si="170"/>
        <v>048314</v>
      </c>
      <c r="N664">
        <v>1</v>
      </c>
      <c r="O664">
        <v>1</v>
      </c>
      <c r="P664" t="str">
        <f>"10"</f>
        <v>10</v>
      </c>
      <c r="Q664" t="s">
        <v>835</v>
      </c>
      <c r="S664" t="s">
        <v>836</v>
      </c>
      <c r="T664" t="s">
        <v>836</v>
      </c>
      <c r="U664" t="str">
        <f t="shared" si="181"/>
        <v>2500-12-31 00:00:00.0</v>
      </c>
      <c r="V664" t="s">
        <v>837</v>
      </c>
      <c r="W664" t="str">
        <f>"048314-004796-**-**"</f>
        <v>048314-004796-**-**</v>
      </c>
      <c r="X664" t="s">
        <v>838</v>
      </c>
      <c r="Y664">
        <v>1254.5</v>
      </c>
      <c r="Z664">
        <v>1254.5</v>
      </c>
      <c r="AA664" t="str">
        <f t="shared" si="179"/>
        <v>06/08/2016</v>
      </c>
    </row>
    <row r="665" spans="1:27" x14ac:dyDescent="0.3">
      <c r="A665" t="str">
        <f t="shared" si="176"/>
        <v>048314</v>
      </c>
      <c r="B665" t="str">
        <f t="shared" si="165"/>
        <v>004796</v>
      </c>
      <c r="C665" t="s">
        <v>1064</v>
      </c>
      <c r="D665" t="s">
        <v>3839</v>
      </c>
      <c r="E665" t="s">
        <v>3840</v>
      </c>
      <c r="F665" t="s">
        <v>3841</v>
      </c>
      <c r="G665" t="s">
        <v>3842</v>
      </c>
      <c r="H665" t="str">
        <f t="shared" si="178"/>
        <v>048314</v>
      </c>
      <c r="I665" t="s">
        <v>833</v>
      </c>
      <c r="J665" t="str">
        <f t="shared" si="180"/>
        <v>2015-07-01 00:00:00.0</v>
      </c>
      <c r="K665" t="s">
        <v>834</v>
      </c>
      <c r="L665" t="s">
        <v>0</v>
      </c>
      <c r="M665" t="str">
        <f t="shared" si="170"/>
        <v>048314</v>
      </c>
      <c r="N665">
        <v>1</v>
      </c>
      <c r="O665">
        <v>1</v>
      </c>
      <c r="P665" t="str">
        <f>"10"</f>
        <v>10</v>
      </c>
      <c r="Q665" t="str">
        <f>"01"</f>
        <v>01</v>
      </c>
      <c r="R665" t="str">
        <f>"5"</f>
        <v>5</v>
      </c>
      <c r="S665" t="s">
        <v>836</v>
      </c>
      <c r="T665" t="s">
        <v>836</v>
      </c>
      <c r="U665" t="str">
        <f t="shared" si="181"/>
        <v>2500-12-31 00:00:00.0</v>
      </c>
      <c r="V665" t="s">
        <v>837</v>
      </c>
      <c r="W665" t="str">
        <f>"048314-004796-**-**"</f>
        <v>048314-004796-**-**</v>
      </c>
      <c r="X665" t="s">
        <v>838</v>
      </c>
      <c r="Y665">
        <v>1254.5</v>
      </c>
      <c r="Z665">
        <v>1254.5</v>
      </c>
      <c r="AA665" t="str">
        <f t="shared" si="179"/>
        <v>06/08/2016</v>
      </c>
    </row>
    <row r="666" spans="1:27" x14ac:dyDescent="0.3">
      <c r="A666" t="str">
        <f t="shared" si="176"/>
        <v>048314</v>
      </c>
      <c r="B666" t="str">
        <f t="shared" si="165"/>
        <v>004796</v>
      </c>
      <c r="C666" t="s">
        <v>1219</v>
      </c>
      <c r="D666" t="s">
        <v>3839</v>
      </c>
      <c r="E666" t="s">
        <v>3840</v>
      </c>
      <c r="F666" t="s">
        <v>3841</v>
      </c>
      <c r="G666" t="s">
        <v>3842</v>
      </c>
      <c r="H666" t="str">
        <f t="shared" si="178"/>
        <v>048314</v>
      </c>
      <c r="I666" t="s">
        <v>833</v>
      </c>
      <c r="J666" t="str">
        <f t="shared" si="180"/>
        <v>2015-07-01 00:00:00.0</v>
      </c>
      <c r="K666" t="s">
        <v>834</v>
      </c>
      <c r="L666" t="s">
        <v>0</v>
      </c>
      <c r="M666" t="str">
        <f t="shared" si="170"/>
        <v>048314</v>
      </c>
      <c r="N666">
        <v>1</v>
      </c>
      <c r="O666">
        <v>1</v>
      </c>
      <c r="P666" t="str">
        <f>"12"</f>
        <v>12</v>
      </c>
      <c r="Q666" t="s">
        <v>835</v>
      </c>
      <c r="S666" t="s">
        <v>836</v>
      </c>
      <c r="T666" t="s">
        <v>836</v>
      </c>
      <c r="U666" t="str">
        <f t="shared" si="181"/>
        <v>2500-12-31 00:00:00.0</v>
      </c>
      <c r="V666" t="s">
        <v>837</v>
      </c>
      <c r="W666" t="str">
        <f>"048314-004796-12-SE"</f>
        <v>048314-004796-12-SE</v>
      </c>
      <c r="X666" t="s">
        <v>838</v>
      </c>
      <c r="Y666">
        <v>1254.5</v>
      </c>
      <c r="Z666">
        <v>1254.5</v>
      </c>
      <c r="AA666" t="str">
        <f t="shared" si="179"/>
        <v>06/08/2016</v>
      </c>
    </row>
    <row r="667" spans="1:27" x14ac:dyDescent="0.3">
      <c r="A667" t="str">
        <f t="shared" si="176"/>
        <v>048314</v>
      </c>
      <c r="B667" t="str">
        <f t="shared" si="165"/>
        <v>004796</v>
      </c>
      <c r="C667" t="s">
        <v>1281</v>
      </c>
      <c r="D667" t="s">
        <v>3839</v>
      </c>
      <c r="E667" t="s">
        <v>3840</v>
      </c>
      <c r="F667" t="s">
        <v>3841</v>
      </c>
      <c r="G667" t="s">
        <v>3842</v>
      </c>
      <c r="H667" t="str">
        <f t="shared" si="178"/>
        <v>048314</v>
      </c>
      <c r="I667" t="s">
        <v>833</v>
      </c>
      <c r="J667" t="str">
        <f t="shared" si="180"/>
        <v>2015-07-01 00:00:00.0</v>
      </c>
      <c r="K667" t="s">
        <v>834</v>
      </c>
      <c r="L667" t="s">
        <v>0</v>
      </c>
      <c r="M667" t="str">
        <f t="shared" si="170"/>
        <v>048314</v>
      </c>
      <c r="N667">
        <v>1</v>
      </c>
      <c r="O667">
        <v>1</v>
      </c>
      <c r="P667" t="str">
        <f>"12"</f>
        <v>12</v>
      </c>
      <c r="Q667" t="s">
        <v>835</v>
      </c>
      <c r="S667" t="s">
        <v>836</v>
      </c>
      <c r="T667" t="s">
        <v>836</v>
      </c>
      <c r="U667" t="str">
        <f t="shared" si="181"/>
        <v>2500-12-31 00:00:00.0</v>
      </c>
      <c r="V667" t="s">
        <v>837</v>
      </c>
      <c r="W667" t="str">
        <f>"048314-004796-12-SE"</f>
        <v>048314-004796-12-SE</v>
      </c>
      <c r="X667" t="s">
        <v>838</v>
      </c>
      <c r="Y667">
        <v>1254.5</v>
      </c>
      <c r="Z667">
        <v>1254.5</v>
      </c>
      <c r="AA667" t="str">
        <f t="shared" si="179"/>
        <v>06/08/2016</v>
      </c>
    </row>
    <row r="668" spans="1:27" x14ac:dyDescent="0.3">
      <c r="A668" t="str">
        <f t="shared" si="176"/>
        <v>048314</v>
      </c>
      <c r="B668" t="str">
        <f t="shared" si="165"/>
        <v>004796</v>
      </c>
      <c r="C668" t="s">
        <v>1366</v>
      </c>
      <c r="D668" t="s">
        <v>3839</v>
      </c>
      <c r="E668" t="s">
        <v>3840</v>
      </c>
      <c r="F668" t="s">
        <v>3841</v>
      </c>
      <c r="G668" t="s">
        <v>3842</v>
      </c>
      <c r="H668" t="str">
        <f t="shared" si="178"/>
        <v>048314</v>
      </c>
      <c r="I668" t="s">
        <v>833</v>
      </c>
      <c r="J668" t="str">
        <f t="shared" si="180"/>
        <v>2015-07-01 00:00:00.0</v>
      </c>
      <c r="K668" t="s">
        <v>834</v>
      </c>
      <c r="L668" t="s">
        <v>0</v>
      </c>
      <c r="M668" t="str">
        <f t="shared" si="170"/>
        <v>048314</v>
      </c>
      <c r="N668">
        <v>1</v>
      </c>
      <c r="O668">
        <v>1</v>
      </c>
      <c r="P668" t="str">
        <f>"11"</f>
        <v>11</v>
      </c>
      <c r="Q668" t="s">
        <v>835</v>
      </c>
      <c r="S668" t="s">
        <v>836</v>
      </c>
      <c r="T668" t="s">
        <v>836</v>
      </c>
      <c r="U668" t="str">
        <f t="shared" si="181"/>
        <v>2500-12-31 00:00:00.0</v>
      </c>
      <c r="V668" t="s">
        <v>837</v>
      </c>
      <c r="W668" t="str">
        <f>"048314-004796-**-**"</f>
        <v>048314-004796-**-**</v>
      </c>
      <c r="X668" t="s">
        <v>838</v>
      </c>
      <c r="Y668">
        <v>1254.5</v>
      </c>
      <c r="Z668">
        <v>1254.5</v>
      </c>
      <c r="AA668" t="str">
        <f t="shared" si="179"/>
        <v>06/08/2016</v>
      </c>
    </row>
    <row r="669" spans="1:27" x14ac:dyDescent="0.3">
      <c r="A669" t="str">
        <f t="shared" si="176"/>
        <v>048314</v>
      </c>
      <c r="B669" t="str">
        <f t="shared" si="165"/>
        <v>004796</v>
      </c>
      <c r="C669" t="s">
        <v>1769</v>
      </c>
      <c r="D669" t="s">
        <v>3839</v>
      </c>
      <c r="E669" t="s">
        <v>3840</v>
      </c>
      <c r="F669" t="s">
        <v>3841</v>
      </c>
      <c r="G669" t="s">
        <v>3842</v>
      </c>
      <c r="H669" t="str">
        <f t="shared" si="178"/>
        <v>048314</v>
      </c>
      <c r="I669" t="s">
        <v>833</v>
      </c>
      <c r="J669" t="str">
        <f t="shared" si="180"/>
        <v>2015-07-01 00:00:00.0</v>
      </c>
      <c r="K669" t="s">
        <v>834</v>
      </c>
      <c r="L669" t="s">
        <v>0</v>
      </c>
      <c r="M669" t="str">
        <f t="shared" si="170"/>
        <v>048314</v>
      </c>
      <c r="N669">
        <v>1</v>
      </c>
      <c r="O669">
        <v>1</v>
      </c>
      <c r="P669" t="str">
        <f>"11"</f>
        <v>11</v>
      </c>
      <c r="Q669" t="s">
        <v>835</v>
      </c>
      <c r="S669" t="s">
        <v>836</v>
      </c>
      <c r="T669" t="s">
        <v>836</v>
      </c>
      <c r="U669" t="str">
        <f t="shared" si="181"/>
        <v>2500-12-31 00:00:00.0</v>
      </c>
      <c r="V669" t="s">
        <v>837</v>
      </c>
      <c r="W669" t="str">
        <f>"048314-004796-**-**"</f>
        <v>048314-004796-**-**</v>
      </c>
      <c r="X669" t="s">
        <v>838</v>
      </c>
      <c r="Y669">
        <v>1254.5</v>
      </c>
      <c r="Z669">
        <v>1254.5</v>
      </c>
      <c r="AA669" t="str">
        <f t="shared" si="179"/>
        <v>06/08/2016</v>
      </c>
    </row>
    <row r="670" spans="1:27" x14ac:dyDescent="0.3">
      <c r="A670" t="str">
        <f t="shared" si="176"/>
        <v>048314</v>
      </c>
      <c r="B670" t="str">
        <f t="shared" si="165"/>
        <v>004796</v>
      </c>
      <c r="C670" t="s">
        <v>1316</v>
      </c>
      <c r="D670" t="s">
        <v>3839</v>
      </c>
      <c r="E670" t="s">
        <v>3840</v>
      </c>
      <c r="F670" t="s">
        <v>3841</v>
      </c>
      <c r="G670" t="s">
        <v>3842</v>
      </c>
      <c r="H670" t="str">
        <f t="shared" si="178"/>
        <v>048314</v>
      </c>
      <c r="I670" t="s">
        <v>833</v>
      </c>
      <c r="J670" t="str">
        <f t="shared" si="180"/>
        <v>2015-07-01 00:00:00.0</v>
      </c>
      <c r="K670" t="s">
        <v>834</v>
      </c>
      <c r="L670" t="s">
        <v>0</v>
      </c>
      <c r="M670" t="str">
        <f t="shared" si="170"/>
        <v>048314</v>
      </c>
      <c r="N670">
        <v>1</v>
      </c>
      <c r="O670">
        <v>1</v>
      </c>
      <c r="P670" t="str">
        <f>"11"</f>
        <v>11</v>
      </c>
      <c r="Q670" t="str">
        <f>"15"</f>
        <v>15</v>
      </c>
      <c r="R670" t="str">
        <f>"2"</f>
        <v>2</v>
      </c>
      <c r="S670" t="s">
        <v>836</v>
      </c>
      <c r="T670" t="s">
        <v>836</v>
      </c>
      <c r="U670" t="str">
        <f t="shared" si="181"/>
        <v>2500-12-31 00:00:00.0</v>
      </c>
      <c r="V670" t="s">
        <v>837</v>
      </c>
      <c r="W670" t="str">
        <f>"048314-004796-**-**"</f>
        <v>048314-004796-**-**</v>
      </c>
      <c r="X670" t="s">
        <v>838</v>
      </c>
      <c r="Y670">
        <v>1254.5</v>
      </c>
      <c r="Z670">
        <v>1254.5</v>
      </c>
      <c r="AA670" t="str">
        <f t="shared" si="179"/>
        <v>06/08/2016</v>
      </c>
    </row>
    <row r="671" spans="1:27" x14ac:dyDescent="0.3">
      <c r="A671" t="str">
        <f t="shared" si="176"/>
        <v>048314</v>
      </c>
      <c r="B671" t="str">
        <f t="shared" si="165"/>
        <v>004796</v>
      </c>
      <c r="C671" t="s">
        <v>1555</v>
      </c>
      <c r="D671" t="s">
        <v>3839</v>
      </c>
      <c r="E671" t="s">
        <v>3840</v>
      </c>
      <c r="F671" t="s">
        <v>3841</v>
      </c>
      <c r="G671" t="s">
        <v>3842</v>
      </c>
      <c r="H671" t="str">
        <f t="shared" si="178"/>
        <v>048314</v>
      </c>
      <c r="I671" t="s">
        <v>833</v>
      </c>
      <c r="J671" t="str">
        <f t="shared" si="180"/>
        <v>2015-07-01 00:00:00.0</v>
      </c>
      <c r="K671" t="s">
        <v>834</v>
      </c>
      <c r="L671" t="s">
        <v>0</v>
      </c>
      <c r="M671" t="str">
        <f t="shared" si="170"/>
        <v>048314</v>
      </c>
      <c r="N671">
        <v>1</v>
      </c>
      <c r="O671">
        <v>1</v>
      </c>
      <c r="P671" t="str">
        <f>"10"</f>
        <v>10</v>
      </c>
      <c r="Q671" t="s">
        <v>835</v>
      </c>
      <c r="S671" t="s">
        <v>836</v>
      </c>
      <c r="T671" t="s">
        <v>836</v>
      </c>
      <c r="U671" t="str">
        <f t="shared" si="181"/>
        <v>2500-12-31 00:00:00.0</v>
      </c>
      <c r="V671" t="s">
        <v>837</v>
      </c>
      <c r="W671" t="str">
        <f>"048314-004796-**-**"</f>
        <v>048314-004796-**-**</v>
      </c>
      <c r="X671" t="s">
        <v>838</v>
      </c>
      <c r="Y671">
        <v>1254.5</v>
      </c>
      <c r="Z671">
        <v>1254.5</v>
      </c>
      <c r="AA671" t="str">
        <f t="shared" si="179"/>
        <v>06/08/2016</v>
      </c>
    </row>
    <row r="672" spans="1:27" x14ac:dyDescent="0.3">
      <c r="A672" t="str">
        <f t="shared" si="176"/>
        <v>048314</v>
      </c>
      <c r="B672" t="str">
        <f t="shared" si="165"/>
        <v>004796</v>
      </c>
      <c r="C672" t="s">
        <v>1118</v>
      </c>
      <c r="D672" t="s">
        <v>3839</v>
      </c>
      <c r="E672" t="s">
        <v>3840</v>
      </c>
      <c r="F672" t="s">
        <v>3841</v>
      </c>
      <c r="G672" t="s">
        <v>3842</v>
      </c>
      <c r="H672" t="str">
        <f t="shared" si="178"/>
        <v>048314</v>
      </c>
      <c r="I672" t="s">
        <v>833</v>
      </c>
      <c r="J672" t="str">
        <f t="shared" si="180"/>
        <v>2015-07-01 00:00:00.0</v>
      </c>
      <c r="K672" t="s">
        <v>834</v>
      </c>
      <c r="L672" t="s">
        <v>0</v>
      </c>
      <c r="M672" t="str">
        <f t="shared" si="170"/>
        <v>048314</v>
      </c>
      <c r="N672">
        <v>1</v>
      </c>
      <c r="O672">
        <v>1</v>
      </c>
      <c r="P672" t="str">
        <f>"12"</f>
        <v>12</v>
      </c>
      <c r="Q672" t="s">
        <v>835</v>
      </c>
      <c r="S672" t="s">
        <v>860</v>
      </c>
      <c r="T672" t="s">
        <v>836</v>
      </c>
      <c r="U672" t="str">
        <f t="shared" si="181"/>
        <v>2500-12-31 00:00:00.0</v>
      </c>
      <c r="V672" t="s">
        <v>837</v>
      </c>
      <c r="W672" t="str">
        <f>"048314-004796-12-SE"</f>
        <v>048314-004796-12-SE</v>
      </c>
      <c r="X672" t="s">
        <v>838</v>
      </c>
      <c r="Y672">
        <v>1254.5</v>
      </c>
      <c r="Z672">
        <v>1254.5</v>
      </c>
      <c r="AA672" t="str">
        <f t="shared" si="179"/>
        <v>06/08/2016</v>
      </c>
    </row>
    <row r="673" spans="1:27" x14ac:dyDescent="0.3">
      <c r="A673" t="str">
        <f t="shared" si="176"/>
        <v>048314</v>
      </c>
      <c r="B673" t="str">
        <f t="shared" si="165"/>
        <v>004796</v>
      </c>
      <c r="C673" t="s">
        <v>1317</v>
      </c>
      <c r="D673" t="s">
        <v>3839</v>
      </c>
      <c r="E673" t="s">
        <v>3840</v>
      </c>
      <c r="F673" t="s">
        <v>3841</v>
      </c>
      <c r="G673" t="s">
        <v>3842</v>
      </c>
      <c r="H673" t="str">
        <f t="shared" si="178"/>
        <v>048314</v>
      </c>
      <c r="I673" t="s">
        <v>833</v>
      </c>
      <c r="J673" t="str">
        <f t="shared" si="180"/>
        <v>2015-07-01 00:00:00.0</v>
      </c>
      <c r="K673" t="s">
        <v>834</v>
      </c>
      <c r="L673" t="s">
        <v>0</v>
      </c>
      <c r="M673" t="str">
        <f t="shared" si="170"/>
        <v>048314</v>
      </c>
      <c r="N673">
        <v>1</v>
      </c>
      <c r="O673">
        <v>1</v>
      </c>
      <c r="P673" t="str">
        <f>"11"</f>
        <v>11</v>
      </c>
      <c r="Q673" t="s">
        <v>835</v>
      </c>
      <c r="S673" t="s">
        <v>836</v>
      </c>
      <c r="T673" t="s">
        <v>836</v>
      </c>
      <c r="U673" t="str">
        <f t="shared" si="181"/>
        <v>2500-12-31 00:00:00.0</v>
      </c>
      <c r="V673" t="s">
        <v>837</v>
      </c>
      <c r="W673" t="str">
        <f>"048314-004796-**-**"</f>
        <v>048314-004796-**-**</v>
      </c>
      <c r="X673" t="s">
        <v>838</v>
      </c>
      <c r="Y673">
        <v>1254.5</v>
      </c>
      <c r="Z673">
        <v>1254.5</v>
      </c>
      <c r="AA673" t="str">
        <f t="shared" si="179"/>
        <v>06/08/2016</v>
      </c>
    </row>
    <row r="674" spans="1:27" x14ac:dyDescent="0.3">
      <c r="A674" t="str">
        <f t="shared" si="176"/>
        <v>048314</v>
      </c>
      <c r="B674" t="str">
        <f t="shared" si="165"/>
        <v>004796</v>
      </c>
      <c r="C674" t="s">
        <v>1172</v>
      </c>
      <c r="D674" t="s">
        <v>3839</v>
      </c>
      <c r="E674" t="s">
        <v>3840</v>
      </c>
      <c r="F674" t="s">
        <v>3841</v>
      </c>
      <c r="G674" t="s">
        <v>3842</v>
      </c>
      <c r="H674" t="str">
        <f t="shared" si="178"/>
        <v>048314</v>
      </c>
      <c r="I674" t="s">
        <v>833</v>
      </c>
      <c r="J674" t="str">
        <f t="shared" si="180"/>
        <v>2015-07-01 00:00:00.0</v>
      </c>
      <c r="K674" t="s">
        <v>834</v>
      </c>
      <c r="L674" t="s">
        <v>0</v>
      </c>
      <c r="M674" t="str">
        <f t="shared" si="170"/>
        <v>048314</v>
      </c>
      <c r="N674">
        <v>1</v>
      </c>
      <c r="O674">
        <v>1</v>
      </c>
      <c r="P674" t="str">
        <f>"12"</f>
        <v>12</v>
      </c>
      <c r="Q674" t="s">
        <v>835</v>
      </c>
      <c r="S674" t="s">
        <v>836</v>
      </c>
      <c r="T674" t="s">
        <v>836</v>
      </c>
      <c r="U674" t="str">
        <f t="shared" si="181"/>
        <v>2500-12-31 00:00:00.0</v>
      </c>
      <c r="V674" t="s">
        <v>837</v>
      </c>
      <c r="W674" t="str">
        <f>"048314-004796-12-SE"</f>
        <v>048314-004796-12-SE</v>
      </c>
      <c r="X674" t="s">
        <v>838</v>
      </c>
      <c r="Y674">
        <v>1254.5</v>
      </c>
      <c r="Z674">
        <v>1254.5</v>
      </c>
      <c r="AA674" t="str">
        <f t="shared" si="179"/>
        <v>06/08/2016</v>
      </c>
    </row>
    <row r="675" spans="1:27" x14ac:dyDescent="0.3">
      <c r="A675" t="str">
        <f t="shared" si="176"/>
        <v>048314</v>
      </c>
      <c r="B675" t="str">
        <f t="shared" si="165"/>
        <v>004796</v>
      </c>
      <c r="C675" t="s">
        <v>1119</v>
      </c>
      <c r="D675" t="s">
        <v>3839</v>
      </c>
      <c r="E675" t="s">
        <v>3840</v>
      </c>
      <c r="F675" t="s">
        <v>3841</v>
      </c>
      <c r="G675" t="s">
        <v>3842</v>
      </c>
      <c r="H675" t="str">
        <f t="shared" si="178"/>
        <v>048314</v>
      </c>
      <c r="I675" t="s">
        <v>833</v>
      </c>
      <c r="J675" t="str">
        <f t="shared" si="180"/>
        <v>2015-07-01 00:00:00.0</v>
      </c>
      <c r="K675" t="s">
        <v>834</v>
      </c>
      <c r="L675" t="s">
        <v>0</v>
      </c>
      <c r="M675" t="str">
        <f t="shared" si="170"/>
        <v>048314</v>
      </c>
      <c r="N675">
        <v>1</v>
      </c>
      <c r="O675">
        <v>1</v>
      </c>
      <c r="P675" t="str">
        <f>"12"</f>
        <v>12</v>
      </c>
      <c r="Q675" t="s">
        <v>835</v>
      </c>
      <c r="S675" t="s">
        <v>836</v>
      </c>
      <c r="T675" t="s">
        <v>836</v>
      </c>
      <c r="U675" t="str">
        <f t="shared" si="181"/>
        <v>2500-12-31 00:00:00.0</v>
      </c>
      <c r="V675" t="s">
        <v>837</v>
      </c>
      <c r="W675" t="str">
        <f>"048314-004796-12-SE"</f>
        <v>048314-004796-12-SE</v>
      </c>
      <c r="X675" t="s">
        <v>838</v>
      </c>
      <c r="Y675">
        <v>1254.5</v>
      </c>
      <c r="Z675">
        <v>1254.5</v>
      </c>
      <c r="AA675" t="str">
        <f t="shared" si="179"/>
        <v>06/08/2016</v>
      </c>
    </row>
    <row r="676" spans="1:27" x14ac:dyDescent="0.3">
      <c r="A676" t="str">
        <f t="shared" si="176"/>
        <v>048314</v>
      </c>
      <c r="B676" t="str">
        <f t="shared" si="165"/>
        <v>004796</v>
      </c>
      <c r="C676" t="s">
        <v>1812</v>
      </c>
      <c r="D676" t="s">
        <v>3839</v>
      </c>
      <c r="E676" t="s">
        <v>3840</v>
      </c>
      <c r="F676" t="s">
        <v>3841</v>
      </c>
      <c r="G676" t="s">
        <v>3842</v>
      </c>
      <c r="H676" t="str">
        <f t="shared" si="178"/>
        <v>048314</v>
      </c>
      <c r="I676" t="s">
        <v>833</v>
      </c>
      <c r="J676" t="str">
        <f t="shared" si="180"/>
        <v>2015-07-01 00:00:00.0</v>
      </c>
      <c r="K676" t="s">
        <v>834</v>
      </c>
      <c r="L676" t="s">
        <v>0</v>
      </c>
      <c r="M676" t="str">
        <f t="shared" si="170"/>
        <v>048314</v>
      </c>
      <c r="N676">
        <v>1</v>
      </c>
      <c r="O676">
        <v>1</v>
      </c>
      <c r="P676" t="str">
        <f>"11"</f>
        <v>11</v>
      </c>
      <c r="Q676" t="str">
        <f>"15"</f>
        <v>15</v>
      </c>
      <c r="R676" t="str">
        <f>"2"</f>
        <v>2</v>
      </c>
      <c r="S676" t="s">
        <v>860</v>
      </c>
      <c r="T676" t="s">
        <v>836</v>
      </c>
      <c r="U676" t="str">
        <f t="shared" si="181"/>
        <v>2500-12-31 00:00:00.0</v>
      </c>
      <c r="V676" t="s">
        <v>837</v>
      </c>
      <c r="W676" t="str">
        <f>"048314-004796-**-**"</f>
        <v>048314-004796-**-**</v>
      </c>
      <c r="X676" t="s">
        <v>838</v>
      </c>
      <c r="Y676">
        <v>1254.5</v>
      </c>
      <c r="Z676">
        <v>1254.5</v>
      </c>
      <c r="AA676" t="str">
        <f t="shared" si="179"/>
        <v>06/08/2016</v>
      </c>
    </row>
    <row r="677" spans="1:27" x14ac:dyDescent="0.3">
      <c r="A677" t="str">
        <f t="shared" si="176"/>
        <v>048314</v>
      </c>
      <c r="B677" t="str">
        <f t="shared" si="165"/>
        <v>004796</v>
      </c>
      <c r="C677" t="s">
        <v>2257</v>
      </c>
      <c r="D677" t="s">
        <v>3839</v>
      </c>
      <c r="E677" t="s">
        <v>3840</v>
      </c>
      <c r="F677" t="s">
        <v>3841</v>
      </c>
      <c r="G677" t="s">
        <v>3842</v>
      </c>
      <c r="H677" t="str">
        <f t="shared" si="178"/>
        <v>048314</v>
      </c>
      <c r="I677" t="s">
        <v>833</v>
      </c>
      <c r="J677" t="str">
        <f t="shared" si="180"/>
        <v>2015-07-01 00:00:00.0</v>
      </c>
      <c r="K677" t="s">
        <v>834</v>
      </c>
      <c r="L677" t="s">
        <v>0</v>
      </c>
      <c r="M677" t="str">
        <f t="shared" si="170"/>
        <v>048314</v>
      </c>
      <c r="N677">
        <v>1</v>
      </c>
      <c r="O677">
        <v>1</v>
      </c>
      <c r="P677" t="str">
        <f>"10"</f>
        <v>10</v>
      </c>
      <c r="Q677" t="str">
        <f>"10"</f>
        <v>10</v>
      </c>
      <c r="R677" t="str">
        <f>"2"</f>
        <v>2</v>
      </c>
      <c r="S677" t="s">
        <v>860</v>
      </c>
      <c r="T677" t="s">
        <v>836</v>
      </c>
      <c r="U677" t="str">
        <f t="shared" si="181"/>
        <v>2500-12-31 00:00:00.0</v>
      </c>
      <c r="V677" t="s">
        <v>837</v>
      </c>
      <c r="W677" t="str">
        <f>"048314-004796-**-**"</f>
        <v>048314-004796-**-**</v>
      </c>
      <c r="X677" t="s">
        <v>838</v>
      </c>
      <c r="Y677">
        <v>1254.5</v>
      </c>
      <c r="Z677">
        <v>1254.5</v>
      </c>
      <c r="AA677" t="str">
        <f t="shared" si="179"/>
        <v>06/08/2016</v>
      </c>
    </row>
    <row r="678" spans="1:27" x14ac:dyDescent="0.3">
      <c r="A678" t="str">
        <f t="shared" si="176"/>
        <v>048314</v>
      </c>
      <c r="B678" t="str">
        <f t="shared" si="165"/>
        <v>004796</v>
      </c>
      <c r="C678" t="s">
        <v>1173</v>
      </c>
      <c r="D678" t="s">
        <v>3839</v>
      </c>
      <c r="E678" t="s">
        <v>3840</v>
      </c>
      <c r="F678" t="s">
        <v>3841</v>
      </c>
      <c r="G678" t="s">
        <v>3842</v>
      </c>
      <c r="H678" t="str">
        <f t="shared" si="178"/>
        <v>048314</v>
      </c>
      <c r="I678" t="s">
        <v>833</v>
      </c>
      <c r="J678" t="str">
        <f t="shared" si="180"/>
        <v>2015-07-01 00:00:00.0</v>
      </c>
      <c r="K678" t="s">
        <v>834</v>
      </c>
      <c r="L678" t="s">
        <v>0</v>
      </c>
      <c r="M678" t="str">
        <f t="shared" si="170"/>
        <v>048314</v>
      </c>
      <c r="N678">
        <v>1</v>
      </c>
      <c r="O678">
        <v>1</v>
      </c>
      <c r="P678" t="str">
        <f>"12"</f>
        <v>12</v>
      </c>
      <c r="Q678" t="s">
        <v>835</v>
      </c>
      <c r="S678" t="s">
        <v>860</v>
      </c>
      <c r="T678" t="s">
        <v>836</v>
      </c>
      <c r="U678" t="str">
        <f t="shared" si="181"/>
        <v>2500-12-31 00:00:00.0</v>
      </c>
      <c r="V678" t="s">
        <v>837</v>
      </c>
      <c r="W678" t="str">
        <f>"048314-004796-12-SE"</f>
        <v>048314-004796-12-SE</v>
      </c>
      <c r="X678" t="s">
        <v>838</v>
      </c>
      <c r="Y678">
        <v>1254.5</v>
      </c>
      <c r="Z678">
        <v>1254.5</v>
      </c>
      <c r="AA678" t="str">
        <f t="shared" si="179"/>
        <v>06/08/2016</v>
      </c>
    </row>
    <row r="679" spans="1:27" x14ac:dyDescent="0.3">
      <c r="A679" t="str">
        <f t="shared" si="176"/>
        <v>048314</v>
      </c>
      <c r="B679" t="str">
        <f t="shared" si="165"/>
        <v>004796</v>
      </c>
      <c r="C679" t="s">
        <v>1814</v>
      </c>
      <c r="D679" t="s">
        <v>3839</v>
      </c>
      <c r="E679" t="s">
        <v>3840</v>
      </c>
      <c r="F679" t="s">
        <v>3841</v>
      </c>
      <c r="G679" t="s">
        <v>3842</v>
      </c>
      <c r="H679" t="str">
        <f t="shared" si="178"/>
        <v>048314</v>
      </c>
      <c r="I679" t="s">
        <v>833</v>
      </c>
      <c r="J679" t="str">
        <f t="shared" si="180"/>
        <v>2015-07-01 00:00:00.0</v>
      </c>
      <c r="K679" t="s">
        <v>834</v>
      </c>
      <c r="L679" t="s">
        <v>0</v>
      </c>
      <c r="M679" t="str">
        <f t="shared" si="170"/>
        <v>048314</v>
      </c>
      <c r="N679">
        <v>1</v>
      </c>
      <c r="O679">
        <v>1</v>
      </c>
      <c r="P679" t="str">
        <f>"10"</f>
        <v>10</v>
      </c>
      <c r="Q679" t="s">
        <v>835</v>
      </c>
      <c r="S679" t="s">
        <v>836</v>
      </c>
      <c r="T679" t="s">
        <v>836</v>
      </c>
      <c r="U679" t="str">
        <f t="shared" si="181"/>
        <v>2500-12-31 00:00:00.0</v>
      </c>
      <c r="V679" t="s">
        <v>837</v>
      </c>
      <c r="W679" t="str">
        <f>"048314-004796-**-**"</f>
        <v>048314-004796-**-**</v>
      </c>
      <c r="X679" t="s">
        <v>838</v>
      </c>
      <c r="Y679">
        <v>1254.5</v>
      </c>
      <c r="Z679">
        <v>1254.5</v>
      </c>
      <c r="AA679" t="str">
        <f t="shared" si="179"/>
        <v>06/08/2016</v>
      </c>
    </row>
    <row r="680" spans="1:27" x14ac:dyDescent="0.3">
      <c r="A680" t="str">
        <f t="shared" si="176"/>
        <v>048314</v>
      </c>
      <c r="B680" t="str">
        <f t="shared" si="165"/>
        <v>004796</v>
      </c>
      <c r="C680" t="s">
        <v>1572</v>
      </c>
      <c r="D680" t="s">
        <v>3839</v>
      </c>
      <c r="E680" t="s">
        <v>3840</v>
      </c>
      <c r="F680" t="s">
        <v>3841</v>
      </c>
      <c r="G680" t="s">
        <v>3842</v>
      </c>
      <c r="H680" t="str">
        <f t="shared" si="178"/>
        <v>048314</v>
      </c>
      <c r="I680" t="s">
        <v>833</v>
      </c>
      <c r="J680" t="str">
        <f>"2015-07-14 00:00:00.0"</f>
        <v>2015-07-14 00:00:00.0</v>
      </c>
      <c r="K680" t="s">
        <v>834</v>
      </c>
      <c r="L680" t="s">
        <v>0</v>
      </c>
      <c r="M680" t="str">
        <f t="shared" si="170"/>
        <v>048314</v>
      </c>
      <c r="N680">
        <v>1</v>
      </c>
      <c r="O680">
        <v>1</v>
      </c>
      <c r="P680" t="str">
        <f>"10"</f>
        <v>10</v>
      </c>
      <c r="Q680" t="s">
        <v>835</v>
      </c>
      <c r="S680" t="s">
        <v>836</v>
      </c>
      <c r="T680" t="s">
        <v>836</v>
      </c>
      <c r="U680" t="str">
        <f t="shared" si="181"/>
        <v>2500-12-31 00:00:00.0</v>
      </c>
      <c r="V680" t="s">
        <v>837</v>
      </c>
      <c r="W680" t="str">
        <f>"048314-004796-**-**"</f>
        <v>048314-004796-**-**</v>
      </c>
      <c r="X680" t="s">
        <v>838</v>
      </c>
      <c r="Y680">
        <v>1254.5</v>
      </c>
      <c r="Z680">
        <v>1254.5</v>
      </c>
      <c r="AA680" t="str">
        <f t="shared" si="179"/>
        <v>06/08/2016</v>
      </c>
    </row>
    <row r="681" spans="1:27" x14ac:dyDescent="0.3">
      <c r="A681" t="str">
        <f t="shared" si="176"/>
        <v>048314</v>
      </c>
      <c r="B681" t="str">
        <f t="shared" si="165"/>
        <v>004796</v>
      </c>
      <c r="C681" t="s">
        <v>1913</v>
      </c>
      <c r="D681" t="s">
        <v>3839</v>
      </c>
      <c r="E681" t="s">
        <v>3840</v>
      </c>
      <c r="F681" t="s">
        <v>3841</v>
      </c>
      <c r="G681" t="s">
        <v>3842</v>
      </c>
      <c r="H681" t="str">
        <f>"148999"</f>
        <v>148999</v>
      </c>
      <c r="I681" t="s">
        <v>833</v>
      </c>
      <c r="J681" t="str">
        <f>"2015-11-30 00:00:00.0"</f>
        <v>2015-11-30 00:00:00.0</v>
      </c>
      <c r="K681" t="s">
        <v>834</v>
      </c>
      <c r="L681" t="s">
        <v>2</v>
      </c>
      <c r="M681" t="str">
        <f t="shared" si="170"/>
        <v>048314</v>
      </c>
      <c r="N681">
        <v>0.64640900000000001</v>
      </c>
      <c r="O681">
        <v>0.64640900000000001</v>
      </c>
      <c r="P681" t="str">
        <f>"10"</f>
        <v>10</v>
      </c>
      <c r="Q681" t="s">
        <v>835</v>
      </c>
      <c r="S681" t="s">
        <v>836</v>
      </c>
      <c r="T681" t="s">
        <v>836</v>
      </c>
      <c r="U681" t="str">
        <f t="shared" si="181"/>
        <v>2500-12-31 00:00:00.0</v>
      </c>
      <c r="V681" t="s">
        <v>837</v>
      </c>
      <c r="W681" t="str">
        <f>"148999-148999-10-**"</f>
        <v>148999-148999-10-**</v>
      </c>
      <c r="X681" t="s">
        <v>865</v>
      </c>
      <c r="Y681">
        <v>643.5</v>
      </c>
      <c r="Z681">
        <v>995.5</v>
      </c>
      <c r="AA681" t="str">
        <f>"05/23/2016"</f>
        <v>05/23/2016</v>
      </c>
    </row>
    <row r="682" spans="1:27" x14ac:dyDescent="0.3">
      <c r="A682" t="str">
        <f t="shared" si="176"/>
        <v>048314</v>
      </c>
      <c r="B682" t="str">
        <f t="shared" si="165"/>
        <v>004796</v>
      </c>
      <c r="C682" t="s">
        <v>1913</v>
      </c>
      <c r="D682" t="s">
        <v>3839</v>
      </c>
      <c r="E682" t="s">
        <v>3840</v>
      </c>
      <c r="F682" t="s">
        <v>3841</v>
      </c>
      <c r="G682" t="s">
        <v>3842</v>
      </c>
      <c r="H682" t="str">
        <f>"048322"</f>
        <v>048322</v>
      </c>
      <c r="I682" t="s">
        <v>833</v>
      </c>
      <c r="J682" t="str">
        <f>"2015-08-03 00:00:00.0"</f>
        <v>2015-08-03 00:00:00.0</v>
      </c>
      <c r="K682" t="s">
        <v>834</v>
      </c>
      <c r="L682" t="s">
        <v>1</v>
      </c>
      <c r="M682" t="str">
        <f t="shared" si="170"/>
        <v>048314</v>
      </c>
      <c r="N682">
        <v>0.311276</v>
      </c>
      <c r="O682">
        <v>0.311276</v>
      </c>
      <c r="P682" t="str">
        <f>"10"</f>
        <v>10</v>
      </c>
      <c r="Q682" t="s">
        <v>835</v>
      </c>
      <c r="S682" t="s">
        <v>836</v>
      </c>
      <c r="T682" t="s">
        <v>836</v>
      </c>
      <c r="U682" t="str">
        <f>"2015-11-24 00:00:00.0"</f>
        <v>2015-11-24 00:00:00.0</v>
      </c>
      <c r="V682" t="s">
        <v>837</v>
      </c>
      <c r="W682" t="str">
        <f>"048322-017798-**-**"</f>
        <v>048322-017798-**-**</v>
      </c>
      <c r="X682" t="s">
        <v>838</v>
      </c>
      <c r="Y682">
        <v>357.5</v>
      </c>
      <c r="Z682">
        <v>1148.5</v>
      </c>
      <c r="AA682" t="str">
        <f>"06/15/2016"</f>
        <v>06/15/2016</v>
      </c>
    </row>
    <row r="683" spans="1:27" x14ac:dyDescent="0.3">
      <c r="A683" t="str">
        <f t="shared" si="176"/>
        <v>048314</v>
      </c>
      <c r="B683" t="str">
        <f t="shared" si="165"/>
        <v>004796</v>
      </c>
      <c r="C683" t="s">
        <v>2021</v>
      </c>
      <c r="D683" t="s">
        <v>3839</v>
      </c>
      <c r="E683" t="s">
        <v>3840</v>
      </c>
      <c r="F683" t="s">
        <v>3841</v>
      </c>
      <c r="G683" t="s">
        <v>3842</v>
      </c>
      <c r="H683" t="str">
        <f>"048314"</f>
        <v>048314</v>
      </c>
      <c r="I683" t="s">
        <v>833</v>
      </c>
      <c r="J683" t="str">
        <f>"2015-07-01 00:00:00.0"</f>
        <v>2015-07-01 00:00:00.0</v>
      </c>
      <c r="K683" t="s">
        <v>834</v>
      </c>
      <c r="L683" t="s">
        <v>0</v>
      </c>
      <c r="M683" t="str">
        <f t="shared" si="170"/>
        <v>048314</v>
      </c>
      <c r="N683">
        <v>1</v>
      </c>
      <c r="O683">
        <v>1</v>
      </c>
      <c r="P683" t="str">
        <f>"10"</f>
        <v>10</v>
      </c>
      <c r="Q683" t="s">
        <v>835</v>
      </c>
      <c r="S683" t="s">
        <v>836</v>
      </c>
      <c r="T683" t="s">
        <v>836</v>
      </c>
      <c r="U683" t="str">
        <f>"2500-12-31 00:00:00.0"</f>
        <v>2500-12-31 00:00:00.0</v>
      </c>
      <c r="V683" t="s">
        <v>837</v>
      </c>
      <c r="W683" t="str">
        <f>"048314-004796-**-**"</f>
        <v>048314-004796-**-**</v>
      </c>
      <c r="X683" t="s">
        <v>838</v>
      </c>
      <c r="Y683">
        <v>1254.5</v>
      </c>
      <c r="Z683">
        <v>1254.5</v>
      </c>
      <c r="AA683" t="str">
        <f>"06/08/2016"</f>
        <v>06/08/2016</v>
      </c>
    </row>
    <row r="684" spans="1:27" x14ac:dyDescent="0.3">
      <c r="A684" t="str">
        <f t="shared" si="176"/>
        <v>048314</v>
      </c>
      <c r="B684" t="str">
        <f t="shared" si="165"/>
        <v>004796</v>
      </c>
      <c r="C684" t="s">
        <v>1788</v>
      </c>
      <c r="D684" t="s">
        <v>3839</v>
      </c>
      <c r="E684" t="s">
        <v>3840</v>
      </c>
      <c r="F684" t="s">
        <v>3841</v>
      </c>
      <c r="G684" t="s">
        <v>3842</v>
      </c>
      <c r="H684" t="str">
        <f>"051243"</f>
        <v>051243</v>
      </c>
      <c r="I684" t="s">
        <v>833</v>
      </c>
      <c r="J684" t="str">
        <f>"2015-07-01 00:00:00.0"</f>
        <v>2015-07-01 00:00:00.0</v>
      </c>
      <c r="K684" t="s">
        <v>834</v>
      </c>
      <c r="L684" t="s">
        <v>100</v>
      </c>
      <c r="M684" t="str">
        <f t="shared" si="170"/>
        <v>048314</v>
      </c>
      <c r="N684">
        <v>1</v>
      </c>
      <c r="O684">
        <v>1</v>
      </c>
      <c r="P684" t="str">
        <f>"12"</f>
        <v>12</v>
      </c>
      <c r="Q684" t="s">
        <v>835</v>
      </c>
      <c r="S684" t="s">
        <v>836</v>
      </c>
      <c r="T684" t="s">
        <v>836</v>
      </c>
      <c r="U684" t="str">
        <f>"2500-12-31 00:00:00.0"</f>
        <v>2500-12-31 00:00:00.0</v>
      </c>
      <c r="V684" t="s">
        <v>886</v>
      </c>
      <c r="W684" t="str">
        <f>"051243-051250-12-SE"</f>
        <v>051243-051250-12-SE</v>
      </c>
      <c r="X684" t="s">
        <v>838</v>
      </c>
      <c r="Y684">
        <v>1105</v>
      </c>
      <c r="Z684">
        <v>1105</v>
      </c>
      <c r="AA684" t="str">
        <f>"05/21/2016"</f>
        <v>05/21/2016</v>
      </c>
    </row>
    <row r="685" spans="1:27" x14ac:dyDescent="0.3">
      <c r="A685" t="str">
        <f t="shared" si="176"/>
        <v>048314</v>
      </c>
      <c r="B685" t="str">
        <f t="shared" ref="B685:B748" si="182">"004796"</f>
        <v>004796</v>
      </c>
      <c r="C685" t="s">
        <v>1573</v>
      </c>
      <c r="D685" t="s">
        <v>3839</v>
      </c>
      <c r="E685" t="s">
        <v>3840</v>
      </c>
      <c r="F685" t="s">
        <v>3841</v>
      </c>
      <c r="G685" t="s">
        <v>3842</v>
      </c>
      <c r="H685" t="str">
        <f>"048314"</f>
        <v>048314</v>
      </c>
      <c r="I685" t="s">
        <v>833</v>
      </c>
      <c r="J685" t="str">
        <f>"2015-07-01 00:00:00.0"</f>
        <v>2015-07-01 00:00:00.0</v>
      </c>
      <c r="K685" t="s">
        <v>834</v>
      </c>
      <c r="L685" t="s">
        <v>0</v>
      </c>
      <c r="M685" t="str">
        <f t="shared" si="170"/>
        <v>048314</v>
      </c>
      <c r="N685">
        <v>1</v>
      </c>
      <c r="O685">
        <v>1</v>
      </c>
      <c r="P685" t="str">
        <f>"10"</f>
        <v>10</v>
      </c>
      <c r="Q685" t="s">
        <v>835</v>
      </c>
      <c r="S685" t="s">
        <v>836</v>
      </c>
      <c r="T685" t="s">
        <v>836</v>
      </c>
      <c r="U685" t="str">
        <f>"2500-12-31 00:00:00.0"</f>
        <v>2500-12-31 00:00:00.0</v>
      </c>
      <c r="V685" t="s">
        <v>837</v>
      </c>
      <c r="W685" t="str">
        <f>"048314-004796-**-**"</f>
        <v>048314-004796-**-**</v>
      </c>
      <c r="X685" t="s">
        <v>838</v>
      </c>
      <c r="Y685">
        <v>1254.5</v>
      </c>
      <c r="Z685">
        <v>1254.5</v>
      </c>
      <c r="AA685" t="str">
        <f>"06/08/2016"</f>
        <v>06/08/2016</v>
      </c>
    </row>
    <row r="686" spans="1:27" x14ac:dyDescent="0.3">
      <c r="A686" t="str">
        <f t="shared" si="176"/>
        <v>048314</v>
      </c>
      <c r="B686" t="str">
        <f t="shared" si="182"/>
        <v>004796</v>
      </c>
      <c r="C686" t="s">
        <v>1068</v>
      </c>
      <c r="D686" t="s">
        <v>3839</v>
      </c>
      <c r="E686" t="s">
        <v>3840</v>
      </c>
      <c r="F686" t="s">
        <v>3841</v>
      </c>
      <c r="G686" t="s">
        <v>3842</v>
      </c>
      <c r="H686" t="str">
        <f>"051243"</f>
        <v>051243</v>
      </c>
      <c r="I686" t="s">
        <v>833</v>
      </c>
      <c r="J686" t="str">
        <f>"2015-09-23 00:00:00.0"</f>
        <v>2015-09-23 00:00:00.0</v>
      </c>
      <c r="K686" t="s">
        <v>834</v>
      </c>
      <c r="L686" t="s">
        <v>100</v>
      </c>
      <c r="M686" t="str">
        <f t="shared" si="170"/>
        <v>048314</v>
      </c>
      <c r="N686">
        <v>0.89411799999999997</v>
      </c>
      <c r="O686">
        <v>0.89411700000000005</v>
      </c>
      <c r="P686" t="str">
        <f>"12"</f>
        <v>12</v>
      </c>
      <c r="Q686" t="str">
        <f>"10"</f>
        <v>10</v>
      </c>
      <c r="R686" t="str">
        <f>"2"</f>
        <v>2</v>
      </c>
      <c r="S686" t="s">
        <v>860</v>
      </c>
      <c r="T686" t="s">
        <v>836</v>
      </c>
      <c r="U686" t="str">
        <f>"2500-12-31 00:00:00.0"</f>
        <v>2500-12-31 00:00:00.0</v>
      </c>
      <c r="V686" t="s">
        <v>886</v>
      </c>
      <c r="W686" t="str">
        <f>"051243-051250-12-SE"</f>
        <v>051243-051250-12-SE</v>
      </c>
      <c r="X686" t="s">
        <v>838</v>
      </c>
      <c r="Y686">
        <v>988</v>
      </c>
      <c r="Z686">
        <v>1105</v>
      </c>
      <c r="AA686" t="str">
        <f>"05/21/2016"</f>
        <v>05/21/2016</v>
      </c>
    </row>
    <row r="687" spans="1:27" x14ac:dyDescent="0.3">
      <c r="A687" t="str">
        <f t="shared" si="176"/>
        <v>048314</v>
      </c>
      <c r="B687" t="str">
        <f t="shared" si="182"/>
        <v>004796</v>
      </c>
      <c r="C687" t="s">
        <v>1068</v>
      </c>
      <c r="D687" t="s">
        <v>3839</v>
      </c>
      <c r="E687" t="s">
        <v>3840</v>
      </c>
      <c r="F687" t="s">
        <v>3841</v>
      </c>
      <c r="G687" t="s">
        <v>3842</v>
      </c>
      <c r="H687" t="str">
        <f>"051243"</f>
        <v>051243</v>
      </c>
      <c r="I687" t="s">
        <v>833</v>
      </c>
      <c r="J687" t="str">
        <f>"2015-09-21 00:00:00.0"</f>
        <v>2015-09-21 00:00:00.0</v>
      </c>
      <c r="K687" t="s">
        <v>834</v>
      </c>
      <c r="L687" t="s">
        <v>100</v>
      </c>
      <c r="M687" t="str">
        <f t="shared" si="170"/>
        <v>048314</v>
      </c>
      <c r="N687">
        <v>1.1764999999999999E-2</v>
      </c>
      <c r="O687">
        <v>1.1764999999999999E-2</v>
      </c>
      <c r="P687" t="str">
        <f>"12"</f>
        <v>12</v>
      </c>
      <c r="Q687" t="str">
        <f>"10"</f>
        <v>10</v>
      </c>
      <c r="R687" t="str">
        <f>"2"</f>
        <v>2</v>
      </c>
      <c r="S687" t="s">
        <v>836</v>
      </c>
      <c r="T687" t="s">
        <v>836</v>
      </c>
      <c r="U687" t="str">
        <f>"2015-09-22 00:00:00.0"</f>
        <v>2015-09-22 00:00:00.0</v>
      </c>
      <c r="V687" t="s">
        <v>886</v>
      </c>
      <c r="W687" t="str">
        <f>"051243-051250-12-SE"</f>
        <v>051243-051250-12-SE</v>
      </c>
      <c r="X687" t="s">
        <v>838</v>
      </c>
      <c r="Y687">
        <v>13</v>
      </c>
      <c r="Z687">
        <v>1105</v>
      </c>
      <c r="AA687" t="str">
        <f>"05/21/2016"</f>
        <v>05/21/2016</v>
      </c>
    </row>
    <row r="688" spans="1:27" x14ac:dyDescent="0.3">
      <c r="A688" t="str">
        <f t="shared" si="176"/>
        <v>048314</v>
      </c>
      <c r="B688" t="str">
        <f t="shared" si="182"/>
        <v>004796</v>
      </c>
      <c r="C688" t="s">
        <v>1068</v>
      </c>
      <c r="D688" t="s">
        <v>3839</v>
      </c>
      <c r="E688" t="s">
        <v>3840</v>
      </c>
      <c r="F688" t="s">
        <v>3841</v>
      </c>
      <c r="G688" t="s">
        <v>3842</v>
      </c>
      <c r="H688" t="str">
        <f>"051243"</f>
        <v>051243</v>
      </c>
      <c r="I688" t="s">
        <v>833</v>
      </c>
      <c r="J688" t="str">
        <f t="shared" ref="J688:J694" si="183">"2015-07-01 00:00:00.0"</f>
        <v>2015-07-01 00:00:00.0</v>
      </c>
      <c r="K688" t="s">
        <v>834</v>
      </c>
      <c r="L688" t="s">
        <v>100</v>
      </c>
      <c r="M688" t="str">
        <f t="shared" si="170"/>
        <v>048314</v>
      </c>
      <c r="N688">
        <v>9.4117999999999993E-2</v>
      </c>
      <c r="O688">
        <v>9.4117999999999993E-2</v>
      </c>
      <c r="P688" t="str">
        <f>"12"</f>
        <v>12</v>
      </c>
      <c r="Q688" t="str">
        <f>"10"</f>
        <v>10</v>
      </c>
      <c r="R688" t="str">
        <f>"2"</f>
        <v>2</v>
      </c>
      <c r="S688" t="s">
        <v>860</v>
      </c>
      <c r="T688" t="s">
        <v>836</v>
      </c>
      <c r="U688" t="str">
        <f>"2015-09-20 00:00:00.0"</f>
        <v>2015-09-20 00:00:00.0</v>
      </c>
      <c r="V688" t="s">
        <v>886</v>
      </c>
      <c r="W688" t="str">
        <f>"051243-051250-12-SE"</f>
        <v>051243-051250-12-SE</v>
      </c>
      <c r="X688" t="s">
        <v>838</v>
      </c>
      <c r="Y688">
        <v>104</v>
      </c>
      <c r="Z688">
        <v>1105</v>
      </c>
      <c r="AA688" t="str">
        <f>"05/21/2016"</f>
        <v>05/21/2016</v>
      </c>
    </row>
    <row r="689" spans="1:27" x14ac:dyDescent="0.3">
      <c r="A689" t="str">
        <f t="shared" si="176"/>
        <v>048314</v>
      </c>
      <c r="B689" t="str">
        <f t="shared" si="182"/>
        <v>004796</v>
      </c>
      <c r="C689" t="s">
        <v>1574</v>
      </c>
      <c r="D689" t="s">
        <v>3839</v>
      </c>
      <c r="E689" t="s">
        <v>3840</v>
      </c>
      <c r="F689" t="s">
        <v>3841</v>
      </c>
      <c r="G689" t="s">
        <v>3842</v>
      </c>
      <c r="H689" t="str">
        <f>"048314"</f>
        <v>048314</v>
      </c>
      <c r="I689" t="s">
        <v>833</v>
      </c>
      <c r="J689" t="str">
        <f t="shared" si="183"/>
        <v>2015-07-01 00:00:00.0</v>
      </c>
      <c r="K689" t="s">
        <v>834</v>
      </c>
      <c r="L689" t="s">
        <v>0</v>
      </c>
      <c r="M689" t="str">
        <f t="shared" si="170"/>
        <v>048314</v>
      </c>
      <c r="N689">
        <v>1</v>
      </c>
      <c r="O689">
        <v>1</v>
      </c>
      <c r="P689" t="str">
        <f>"10"</f>
        <v>10</v>
      </c>
      <c r="Q689" t="s">
        <v>835</v>
      </c>
      <c r="S689" t="s">
        <v>836</v>
      </c>
      <c r="T689" t="s">
        <v>836</v>
      </c>
      <c r="U689" t="str">
        <f t="shared" ref="U689:U694" si="184">"2500-12-31 00:00:00.0"</f>
        <v>2500-12-31 00:00:00.0</v>
      </c>
      <c r="V689" t="s">
        <v>837</v>
      </c>
      <c r="W689" t="str">
        <f>"048314-004796-**-**"</f>
        <v>048314-004796-**-**</v>
      </c>
      <c r="X689" t="s">
        <v>838</v>
      </c>
      <c r="Y689">
        <v>1254.5</v>
      </c>
      <c r="Z689">
        <v>1254.5</v>
      </c>
      <c r="AA689" t="str">
        <f t="shared" ref="AA689:AA703" si="185">"06/08/2016"</f>
        <v>06/08/2016</v>
      </c>
    </row>
    <row r="690" spans="1:27" x14ac:dyDescent="0.3">
      <c r="A690" t="str">
        <f t="shared" si="176"/>
        <v>048314</v>
      </c>
      <c r="B690" t="str">
        <f t="shared" si="182"/>
        <v>004796</v>
      </c>
      <c r="C690" t="s">
        <v>1702</v>
      </c>
      <c r="D690" t="s">
        <v>3839</v>
      </c>
      <c r="E690" t="s">
        <v>3840</v>
      </c>
      <c r="F690" t="s">
        <v>3841</v>
      </c>
      <c r="G690" t="s">
        <v>3842</v>
      </c>
      <c r="H690" t="str">
        <f>"048397"</f>
        <v>048397</v>
      </c>
      <c r="I690" t="s">
        <v>833</v>
      </c>
      <c r="J690" t="str">
        <f t="shared" si="183"/>
        <v>2015-07-01 00:00:00.0</v>
      </c>
      <c r="K690" t="s">
        <v>834</v>
      </c>
      <c r="L690" t="s">
        <v>1</v>
      </c>
      <c r="M690" t="str">
        <f t="shared" si="170"/>
        <v>048314</v>
      </c>
      <c r="N690">
        <v>1</v>
      </c>
      <c r="O690">
        <v>1</v>
      </c>
      <c r="P690" t="str">
        <f>"09"</f>
        <v>09</v>
      </c>
      <c r="Q690" t="str">
        <f>"10"</f>
        <v>10</v>
      </c>
      <c r="R690" t="str">
        <f>"2"</f>
        <v>2</v>
      </c>
      <c r="S690" t="s">
        <v>860</v>
      </c>
      <c r="T690" t="s">
        <v>836</v>
      </c>
      <c r="U690" t="str">
        <f t="shared" si="184"/>
        <v>2500-12-31 00:00:00.0</v>
      </c>
      <c r="V690" t="s">
        <v>837</v>
      </c>
      <c r="W690" t="str">
        <f>"048397-042333-**-**"</f>
        <v>048397-042333-**-**</v>
      </c>
      <c r="X690" t="s">
        <v>838</v>
      </c>
      <c r="Y690">
        <v>1113.0999999999999</v>
      </c>
      <c r="Z690">
        <v>1113.0999999999999</v>
      </c>
      <c r="AA690" t="str">
        <f t="shared" si="185"/>
        <v>06/08/2016</v>
      </c>
    </row>
    <row r="691" spans="1:27" x14ac:dyDescent="0.3">
      <c r="A691" t="str">
        <f t="shared" si="176"/>
        <v>048314</v>
      </c>
      <c r="B691" t="str">
        <f t="shared" si="182"/>
        <v>004796</v>
      </c>
      <c r="C691" t="s">
        <v>1556</v>
      </c>
      <c r="D691" t="s">
        <v>3839</v>
      </c>
      <c r="E691" t="s">
        <v>3840</v>
      </c>
      <c r="F691" t="s">
        <v>3841</v>
      </c>
      <c r="G691" t="s">
        <v>3842</v>
      </c>
      <c r="H691" t="str">
        <f t="shared" ref="H691:H703" si="186">"048314"</f>
        <v>048314</v>
      </c>
      <c r="I691" t="s">
        <v>833</v>
      </c>
      <c r="J691" t="str">
        <f t="shared" si="183"/>
        <v>2015-07-01 00:00:00.0</v>
      </c>
      <c r="K691" t="s">
        <v>834</v>
      </c>
      <c r="L691" t="s">
        <v>0</v>
      </c>
      <c r="M691" t="str">
        <f t="shared" si="170"/>
        <v>048314</v>
      </c>
      <c r="N691">
        <v>1</v>
      </c>
      <c r="O691">
        <v>1</v>
      </c>
      <c r="P691" t="str">
        <f>"10"</f>
        <v>10</v>
      </c>
      <c r="Q691" t="s">
        <v>835</v>
      </c>
      <c r="S691" t="s">
        <v>836</v>
      </c>
      <c r="T691" t="s">
        <v>836</v>
      </c>
      <c r="U691" t="str">
        <f t="shared" si="184"/>
        <v>2500-12-31 00:00:00.0</v>
      </c>
      <c r="V691" t="s">
        <v>837</v>
      </c>
      <c r="W691" t="str">
        <f>"048314-004796-**-**"</f>
        <v>048314-004796-**-**</v>
      </c>
      <c r="X691" t="s">
        <v>838</v>
      </c>
      <c r="Y691">
        <v>1254.5</v>
      </c>
      <c r="Z691">
        <v>1254.5</v>
      </c>
      <c r="AA691" t="str">
        <f t="shared" si="185"/>
        <v>06/08/2016</v>
      </c>
    </row>
    <row r="692" spans="1:27" x14ac:dyDescent="0.3">
      <c r="A692" t="str">
        <f t="shared" si="176"/>
        <v>048314</v>
      </c>
      <c r="B692" t="str">
        <f t="shared" si="182"/>
        <v>004796</v>
      </c>
      <c r="C692" t="s">
        <v>1174</v>
      </c>
      <c r="D692" t="s">
        <v>3839</v>
      </c>
      <c r="E692" t="s">
        <v>3840</v>
      </c>
      <c r="F692" t="s">
        <v>3841</v>
      </c>
      <c r="G692" t="s">
        <v>3842</v>
      </c>
      <c r="H692" t="str">
        <f t="shared" si="186"/>
        <v>048314</v>
      </c>
      <c r="I692" t="s">
        <v>833</v>
      </c>
      <c r="J692" t="str">
        <f t="shared" si="183"/>
        <v>2015-07-01 00:00:00.0</v>
      </c>
      <c r="K692" t="s">
        <v>834</v>
      </c>
      <c r="L692" t="s">
        <v>0</v>
      </c>
      <c r="M692" t="str">
        <f t="shared" si="170"/>
        <v>048314</v>
      </c>
      <c r="N692">
        <v>1</v>
      </c>
      <c r="O692">
        <v>1</v>
      </c>
      <c r="P692" t="str">
        <f>"12"</f>
        <v>12</v>
      </c>
      <c r="Q692" t="s">
        <v>835</v>
      </c>
      <c r="S692" t="s">
        <v>836</v>
      </c>
      <c r="T692" t="s">
        <v>836</v>
      </c>
      <c r="U692" t="str">
        <f t="shared" si="184"/>
        <v>2500-12-31 00:00:00.0</v>
      </c>
      <c r="V692" t="s">
        <v>837</v>
      </c>
      <c r="W692" t="str">
        <f>"048314-004796-12-SE"</f>
        <v>048314-004796-12-SE</v>
      </c>
      <c r="X692" t="s">
        <v>838</v>
      </c>
      <c r="Y692">
        <v>1254.5</v>
      </c>
      <c r="Z692">
        <v>1254.5</v>
      </c>
      <c r="AA692" t="str">
        <f t="shared" si="185"/>
        <v>06/08/2016</v>
      </c>
    </row>
    <row r="693" spans="1:27" x14ac:dyDescent="0.3">
      <c r="A693" t="str">
        <f t="shared" si="176"/>
        <v>048314</v>
      </c>
      <c r="B693" t="str">
        <f t="shared" si="182"/>
        <v>004796</v>
      </c>
      <c r="C693" t="s">
        <v>1260</v>
      </c>
      <c r="D693" t="s">
        <v>3839</v>
      </c>
      <c r="E693" t="s">
        <v>3840</v>
      </c>
      <c r="F693" t="s">
        <v>3841</v>
      </c>
      <c r="G693" t="s">
        <v>3842</v>
      </c>
      <c r="H693" t="str">
        <f t="shared" si="186"/>
        <v>048314</v>
      </c>
      <c r="I693" t="s">
        <v>833</v>
      </c>
      <c r="J693" t="str">
        <f t="shared" si="183"/>
        <v>2015-07-01 00:00:00.0</v>
      </c>
      <c r="K693" t="s">
        <v>834</v>
      </c>
      <c r="L693" t="s">
        <v>0</v>
      </c>
      <c r="M693" t="str">
        <f t="shared" si="170"/>
        <v>048314</v>
      </c>
      <c r="N693">
        <v>1</v>
      </c>
      <c r="O693">
        <v>1</v>
      </c>
      <c r="P693" t="str">
        <f>"12"</f>
        <v>12</v>
      </c>
      <c r="Q693" t="s">
        <v>835</v>
      </c>
      <c r="S693" t="s">
        <v>836</v>
      </c>
      <c r="T693" t="s">
        <v>836</v>
      </c>
      <c r="U693" t="str">
        <f t="shared" si="184"/>
        <v>2500-12-31 00:00:00.0</v>
      </c>
      <c r="V693" t="s">
        <v>837</v>
      </c>
      <c r="W693" t="str">
        <f>"048314-004796-12-SE"</f>
        <v>048314-004796-12-SE</v>
      </c>
      <c r="X693" t="s">
        <v>838</v>
      </c>
      <c r="Y693">
        <v>1254.5</v>
      </c>
      <c r="Z693">
        <v>1254.5</v>
      </c>
      <c r="AA693" t="str">
        <f t="shared" si="185"/>
        <v>06/08/2016</v>
      </c>
    </row>
    <row r="694" spans="1:27" x14ac:dyDescent="0.3">
      <c r="A694" t="str">
        <f t="shared" si="176"/>
        <v>048314</v>
      </c>
      <c r="B694" t="str">
        <f t="shared" si="182"/>
        <v>004796</v>
      </c>
      <c r="C694" t="s">
        <v>1804</v>
      </c>
      <c r="D694" t="s">
        <v>3839</v>
      </c>
      <c r="E694" t="s">
        <v>3840</v>
      </c>
      <c r="F694" t="s">
        <v>3841</v>
      </c>
      <c r="G694" t="s">
        <v>3842</v>
      </c>
      <c r="H694" t="str">
        <f t="shared" si="186"/>
        <v>048314</v>
      </c>
      <c r="I694" t="s">
        <v>833</v>
      </c>
      <c r="J694" t="str">
        <f t="shared" si="183"/>
        <v>2015-07-01 00:00:00.0</v>
      </c>
      <c r="K694" t="s">
        <v>834</v>
      </c>
      <c r="L694" t="s">
        <v>0</v>
      </c>
      <c r="M694" t="str">
        <f t="shared" si="170"/>
        <v>048314</v>
      </c>
      <c r="N694">
        <v>1</v>
      </c>
      <c r="O694">
        <v>1</v>
      </c>
      <c r="P694" t="str">
        <f>"10"</f>
        <v>10</v>
      </c>
      <c r="Q694" t="s">
        <v>835</v>
      </c>
      <c r="S694" t="s">
        <v>836</v>
      </c>
      <c r="T694" t="s">
        <v>836</v>
      </c>
      <c r="U694" t="str">
        <f t="shared" si="184"/>
        <v>2500-12-31 00:00:00.0</v>
      </c>
      <c r="V694" t="s">
        <v>837</v>
      </c>
      <c r="W694" t="str">
        <f t="shared" ref="W694:W699" si="187">"048314-004796-**-**"</f>
        <v>048314-004796-**-**</v>
      </c>
      <c r="X694" t="s">
        <v>838</v>
      </c>
      <c r="Y694">
        <v>1254.5</v>
      </c>
      <c r="Z694">
        <v>1254.5</v>
      </c>
      <c r="AA694" t="str">
        <f t="shared" si="185"/>
        <v>06/08/2016</v>
      </c>
    </row>
    <row r="695" spans="1:27" x14ac:dyDescent="0.3">
      <c r="A695" t="str">
        <f t="shared" si="176"/>
        <v>048314</v>
      </c>
      <c r="B695" t="str">
        <f t="shared" si="182"/>
        <v>004796</v>
      </c>
      <c r="C695" t="s">
        <v>1681</v>
      </c>
      <c r="D695" t="s">
        <v>3839</v>
      </c>
      <c r="E695" t="s">
        <v>3840</v>
      </c>
      <c r="F695" t="s">
        <v>3841</v>
      </c>
      <c r="G695" t="s">
        <v>3842</v>
      </c>
      <c r="H695" t="str">
        <f t="shared" si="186"/>
        <v>048314</v>
      </c>
      <c r="I695" t="s">
        <v>833</v>
      </c>
      <c r="J695" t="str">
        <f>"2015-08-31 00:00:00.0"</f>
        <v>2015-08-31 00:00:00.0</v>
      </c>
      <c r="K695" t="s">
        <v>834</v>
      </c>
      <c r="L695" t="s">
        <v>0</v>
      </c>
      <c r="M695" t="str">
        <f t="shared" si="170"/>
        <v>048314</v>
      </c>
      <c r="N695">
        <v>0.51295299999999999</v>
      </c>
      <c r="O695">
        <v>0.51295299999999999</v>
      </c>
      <c r="P695" t="str">
        <f>"09"</f>
        <v>09</v>
      </c>
      <c r="Q695" t="s">
        <v>835</v>
      </c>
      <c r="S695" t="s">
        <v>836</v>
      </c>
      <c r="T695" t="s">
        <v>836</v>
      </c>
      <c r="U695" t="str">
        <f>"2016-01-24 00:00:00.0"</f>
        <v>2016-01-24 00:00:00.0</v>
      </c>
      <c r="V695" t="s">
        <v>837</v>
      </c>
      <c r="W695" t="str">
        <f t="shared" si="187"/>
        <v>048314-004796-**-**</v>
      </c>
      <c r="X695" t="s">
        <v>838</v>
      </c>
      <c r="Y695">
        <v>643.5</v>
      </c>
      <c r="Z695">
        <v>1254.5</v>
      </c>
      <c r="AA695" t="str">
        <f t="shared" si="185"/>
        <v>06/08/2016</v>
      </c>
    </row>
    <row r="696" spans="1:27" x14ac:dyDescent="0.3">
      <c r="A696" t="str">
        <f t="shared" si="176"/>
        <v>048314</v>
      </c>
      <c r="B696" t="str">
        <f t="shared" si="182"/>
        <v>004796</v>
      </c>
      <c r="C696" t="s">
        <v>1681</v>
      </c>
      <c r="D696" t="s">
        <v>3839</v>
      </c>
      <c r="E696" t="s">
        <v>3840</v>
      </c>
      <c r="F696" t="s">
        <v>3841</v>
      </c>
      <c r="G696" t="s">
        <v>3842</v>
      </c>
      <c r="H696" t="str">
        <f t="shared" si="186"/>
        <v>048314</v>
      </c>
      <c r="I696" t="s">
        <v>833</v>
      </c>
      <c r="J696" t="str">
        <f>"2016-01-25 00:00:00.0"</f>
        <v>2016-01-25 00:00:00.0</v>
      </c>
      <c r="K696" t="s">
        <v>834</v>
      </c>
      <c r="L696" t="s">
        <v>0</v>
      </c>
      <c r="M696" t="str">
        <f t="shared" si="170"/>
        <v>048314</v>
      </c>
      <c r="N696">
        <v>0.48704700000000001</v>
      </c>
      <c r="O696">
        <v>0.48704700000000001</v>
      </c>
      <c r="P696" t="str">
        <f>"09"</f>
        <v>09</v>
      </c>
      <c r="Q696" t="str">
        <f>"10"</f>
        <v>10</v>
      </c>
      <c r="R696" t="str">
        <f>"2"</f>
        <v>2</v>
      </c>
      <c r="S696" t="s">
        <v>836</v>
      </c>
      <c r="T696" t="s">
        <v>836</v>
      </c>
      <c r="U696" t="str">
        <f t="shared" ref="U696:U711" si="188">"2500-12-31 00:00:00.0"</f>
        <v>2500-12-31 00:00:00.0</v>
      </c>
      <c r="V696" t="s">
        <v>837</v>
      </c>
      <c r="W696" t="str">
        <f t="shared" si="187"/>
        <v>048314-004796-**-**</v>
      </c>
      <c r="X696" t="s">
        <v>838</v>
      </c>
      <c r="Y696">
        <v>611</v>
      </c>
      <c r="Z696">
        <v>1254.5</v>
      </c>
      <c r="AA696" t="str">
        <f t="shared" si="185"/>
        <v>06/08/2016</v>
      </c>
    </row>
    <row r="697" spans="1:27" x14ac:dyDescent="0.3">
      <c r="A697" t="str">
        <f t="shared" si="176"/>
        <v>048314</v>
      </c>
      <c r="B697" t="str">
        <f t="shared" si="182"/>
        <v>004796</v>
      </c>
      <c r="C697" t="s">
        <v>1318</v>
      </c>
      <c r="D697" t="s">
        <v>3839</v>
      </c>
      <c r="E697" t="s">
        <v>3840</v>
      </c>
      <c r="F697" t="s">
        <v>3841</v>
      </c>
      <c r="G697" t="s">
        <v>3842</v>
      </c>
      <c r="H697" t="str">
        <f t="shared" si="186"/>
        <v>048314</v>
      </c>
      <c r="I697" t="s">
        <v>833</v>
      </c>
      <c r="J697" t="str">
        <f t="shared" ref="J697:J703" si="189">"2015-07-01 00:00:00.0"</f>
        <v>2015-07-01 00:00:00.0</v>
      </c>
      <c r="K697" t="s">
        <v>834</v>
      </c>
      <c r="L697" t="s">
        <v>0</v>
      </c>
      <c r="M697" t="str">
        <f t="shared" si="170"/>
        <v>048314</v>
      </c>
      <c r="N697">
        <v>1</v>
      </c>
      <c r="O697">
        <v>1</v>
      </c>
      <c r="P697" t="str">
        <f>"11"</f>
        <v>11</v>
      </c>
      <c r="Q697" t="s">
        <v>835</v>
      </c>
      <c r="S697" t="s">
        <v>836</v>
      </c>
      <c r="T697" t="s">
        <v>836</v>
      </c>
      <c r="U697" t="str">
        <f t="shared" si="188"/>
        <v>2500-12-31 00:00:00.0</v>
      </c>
      <c r="V697" t="s">
        <v>837</v>
      </c>
      <c r="W697" t="str">
        <f t="shared" si="187"/>
        <v>048314-004796-**-**</v>
      </c>
      <c r="X697" t="s">
        <v>838</v>
      </c>
      <c r="Y697">
        <v>1254.5</v>
      </c>
      <c r="Z697">
        <v>1254.5</v>
      </c>
      <c r="AA697" t="str">
        <f t="shared" si="185"/>
        <v>06/08/2016</v>
      </c>
    </row>
    <row r="698" spans="1:27" x14ac:dyDescent="0.3">
      <c r="A698" t="str">
        <f t="shared" si="176"/>
        <v>048314</v>
      </c>
      <c r="B698" t="str">
        <f t="shared" si="182"/>
        <v>004796</v>
      </c>
      <c r="C698" t="s">
        <v>2014</v>
      </c>
      <c r="D698" t="s">
        <v>3839</v>
      </c>
      <c r="E698" t="s">
        <v>3840</v>
      </c>
      <c r="F698" t="s">
        <v>3841</v>
      </c>
      <c r="G698" t="s">
        <v>3842</v>
      </c>
      <c r="H698" t="str">
        <f t="shared" si="186"/>
        <v>048314</v>
      </c>
      <c r="I698" t="s">
        <v>833</v>
      </c>
      <c r="J698" t="str">
        <f t="shared" si="189"/>
        <v>2015-07-01 00:00:00.0</v>
      </c>
      <c r="K698" t="s">
        <v>834</v>
      </c>
      <c r="L698" t="s">
        <v>0</v>
      </c>
      <c r="M698" t="str">
        <f t="shared" si="170"/>
        <v>048314</v>
      </c>
      <c r="N698">
        <v>1</v>
      </c>
      <c r="O698">
        <v>1</v>
      </c>
      <c r="P698" t="str">
        <f>"10"</f>
        <v>10</v>
      </c>
      <c r="Q698" t="s">
        <v>835</v>
      </c>
      <c r="S698" t="s">
        <v>836</v>
      </c>
      <c r="T698" t="s">
        <v>836</v>
      </c>
      <c r="U698" t="str">
        <f t="shared" si="188"/>
        <v>2500-12-31 00:00:00.0</v>
      </c>
      <c r="V698" t="s">
        <v>837</v>
      </c>
      <c r="W698" t="str">
        <f t="shared" si="187"/>
        <v>048314-004796-**-**</v>
      </c>
      <c r="X698" t="s">
        <v>838</v>
      </c>
      <c r="Y698">
        <v>1254.5</v>
      </c>
      <c r="Z698">
        <v>1254.5</v>
      </c>
      <c r="AA698" t="str">
        <f t="shared" si="185"/>
        <v>06/08/2016</v>
      </c>
    </row>
    <row r="699" spans="1:27" x14ac:dyDescent="0.3">
      <c r="A699" t="str">
        <f t="shared" si="176"/>
        <v>048314</v>
      </c>
      <c r="B699" t="str">
        <f t="shared" si="182"/>
        <v>004796</v>
      </c>
      <c r="C699" t="s">
        <v>1319</v>
      </c>
      <c r="D699" t="s">
        <v>3839</v>
      </c>
      <c r="E699" t="s">
        <v>3840</v>
      </c>
      <c r="F699" t="s">
        <v>3841</v>
      </c>
      <c r="G699" t="s">
        <v>3842</v>
      </c>
      <c r="H699" t="str">
        <f t="shared" si="186"/>
        <v>048314</v>
      </c>
      <c r="I699" t="s">
        <v>833</v>
      </c>
      <c r="J699" t="str">
        <f t="shared" si="189"/>
        <v>2015-07-01 00:00:00.0</v>
      </c>
      <c r="K699" t="s">
        <v>834</v>
      </c>
      <c r="L699" t="s">
        <v>0</v>
      </c>
      <c r="M699" t="str">
        <f t="shared" si="170"/>
        <v>048314</v>
      </c>
      <c r="N699">
        <v>1</v>
      </c>
      <c r="O699">
        <v>1</v>
      </c>
      <c r="P699" t="str">
        <f>"11"</f>
        <v>11</v>
      </c>
      <c r="Q699" t="s">
        <v>835</v>
      </c>
      <c r="S699" t="s">
        <v>836</v>
      </c>
      <c r="T699" t="s">
        <v>836</v>
      </c>
      <c r="U699" t="str">
        <f t="shared" si="188"/>
        <v>2500-12-31 00:00:00.0</v>
      </c>
      <c r="V699" t="s">
        <v>837</v>
      </c>
      <c r="W699" t="str">
        <f t="shared" si="187"/>
        <v>048314-004796-**-**</v>
      </c>
      <c r="X699" t="s">
        <v>838</v>
      </c>
      <c r="Y699">
        <v>1254.5</v>
      </c>
      <c r="Z699">
        <v>1254.5</v>
      </c>
      <c r="AA699" t="str">
        <f t="shared" si="185"/>
        <v>06/08/2016</v>
      </c>
    </row>
    <row r="700" spans="1:27" x14ac:dyDescent="0.3">
      <c r="A700" t="str">
        <f t="shared" si="176"/>
        <v>048314</v>
      </c>
      <c r="B700" t="str">
        <f t="shared" si="182"/>
        <v>004796</v>
      </c>
      <c r="C700" t="s">
        <v>1120</v>
      </c>
      <c r="D700" t="s">
        <v>3839</v>
      </c>
      <c r="E700" t="s">
        <v>3840</v>
      </c>
      <c r="F700" t="s">
        <v>3841</v>
      </c>
      <c r="G700" t="s">
        <v>3842</v>
      </c>
      <c r="H700" t="str">
        <f t="shared" si="186"/>
        <v>048314</v>
      </c>
      <c r="I700" t="s">
        <v>833</v>
      </c>
      <c r="J700" t="str">
        <f t="shared" si="189"/>
        <v>2015-07-01 00:00:00.0</v>
      </c>
      <c r="K700" t="s">
        <v>834</v>
      </c>
      <c r="L700" t="s">
        <v>0</v>
      </c>
      <c r="M700" t="str">
        <f t="shared" si="170"/>
        <v>048314</v>
      </c>
      <c r="N700">
        <v>1</v>
      </c>
      <c r="O700">
        <v>1</v>
      </c>
      <c r="P700" t="str">
        <f>"12"</f>
        <v>12</v>
      </c>
      <c r="Q700" t="s">
        <v>835</v>
      </c>
      <c r="S700" t="s">
        <v>836</v>
      </c>
      <c r="T700" t="s">
        <v>836</v>
      </c>
      <c r="U700" t="str">
        <f t="shared" si="188"/>
        <v>2500-12-31 00:00:00.0</v>
      </c>
      <c r="V700" t="s">
        <v>837</v>
      </c>
      <c r="W700" t="str">
        <f>"048314-004796-12-SE"</f>
        <v>048314-004796-12-SE</v>
      </c>
      <c r="X700" t="s">
        <v>838</v>
      </c>
      <c r="Y700">
        <v>1254.5</v>
      </c>
      <c r="Z700">
        <v>1254.5</v>
      </c>
      <c r="AA700" t="str">
        <f t="shared" si="185"/>
        <v>06/08/2016</v>
      </c>
    </row>
    <row r="701" spans="1:27" x14ac:dyDescent="0.3">
      <c r="A701" t="str">
        <f t="shared" si="176"/>
        <v>048314</v>
      </c>
      <c r="B701" t="str">
        <f t="shared" si="182"/>
        <v>004796</v>
      </c>
      <c r="C701" t="s">
        <v>1320</v>
      </c>
      <c r="D701" t="s">
        <v>3839</v>
      </c>
      <c r="E701" t="s">
        <v>3840</v>
      </c>
      <c r="F701" t="s">
        <v>3841</v>
      </c>
      <c r="G701" t="s">
        <v>3842</v>
      </c>
      <c r="H701" t="str">
        <f t="shared" si="186"/>
        <v>048314</v>
      </c>
      <c r="I701" t="s">
        <v>833</v>
      </c>
      <c r="J701" t="str">
        <f t="shared" si="189"/>
        <v>2015-07-01 00:00:00.0</v>
      </c>
      <c r="K701" t="s">
        <v>834</v>
      </c>
      <c r="L701" t="s">
        <v>0</v>
      </c>
      <c r="M701" t="str">
        <f t="shared" si="170"/>
        <v>048314</v>
      </c>
      <c r="N701">
        <v>1</v>
      </c>
      <c r="O701">
        <v>1</v>
      </c>
      <c r="P701" t="str">
        <f>"11"</f>
        <v>11</v>
      </c>
      <c r="Q701" t="s">
        <v>835</v>
      </c>
      <c r="S701" t="s">
        <v>836</v>
      </c>
      <c r="T701" t="s">
        <v>836</v>
      </c>
      <c r="U701" t="str">
        <f t="shared" si="188"/>
        <v>2500-12-31 00:00:00.0</v>
      </c>
      <c r="V701" t="s">
        <v>837</v>
      </c>
      <c r="W701" t="str">
        <f>"048314-004796-**-**"</f>
        <v>048314-004796-**-**</v>
      </c>
      <c r="X701" t="s">
        <v>838</v>
      </c>
      <c r="Y701">
        <v>1254.5</v>
      </c>
      <c r="Z701">
        <v>1254.5</v>
      </c>
      <c r="AA701" t="str">
        <f t="shared" si="185"/>
        <v>06/08/2016</v>
      </c>
    </row>
    <row r="702" spans="1:27" x14ac:dyDescent="0.3">
      <c r="A702" t="str">
        <f t="shared" si="176"/>
        <v>048314</v>
      </c>
      <c r="B702" t="str">
        <f t="shared" si="182"/>
        <v>004796</v>
      </c>
      <c r="C702" t="s">
        <v>1367</v>
      </c>
      <c r="D702" t="s">
        <v>3839</v>
      </c>
      <c r="E702" t="s">
        <v>3840</v>
      </c>
      <c r="F702" t="s">
        <v>3841</v>
      </c>
      <c r="G702" t="s">
        <v>3842</v>
      </c>
      <c r="H702" t="str">
        <f t="shared" si="186"/>
        <v>048314</v>
      </c>
      <c r="I702" t="s">
        <v>833</v>
      </c>
      <c r="J702" t="str">
        <f t="shared" si="189"/>
        <v>2015-07-01 00:00:00.0</v>
      </c>
      <c r="K702" t="s">
        <v>834</v>
      </c>
      <c r="L702" t="s">
        <v>0</v>
      </c>
      <c r="M702" t="str">
        <f t="shared" ref="M702:M765" si="190">"048314"</f>
        <v>048314</v>
      </c>
      <c r="N702">
        <v>1</v>
      </c>
      <c r="O702">
        <v>1</v>
      </c>
      <c r="P702" t="str">
        <f>"11"</f>
        <v>11</v>
      </c>
      <c r="Q702" t="str">
        <f>"10"</f>
        <v>10</v>
      </c>
      <c r="R702" t="str">
        <f>"2"</f>
        <v>2</v>
      </c>
      <c r="S702" t="s">
        <v>836</v>
      </c>
      <c r="T702" t="s">
        <v>836</v>
      </c>
      <c r="U702" t="str">
        <f t="shared" si="188"/>
        <v>2500-12-31 00:00:00.0</v>
      </c>
      <c r="V702" t="s">
        <v>837</v>
      </c>
      <c r="W702" t="str">
        <f>"048314-004796-**-**"</f>
        <v>048314-004796-**-**</v>
      </c>
      <c r="X702" t="s">
        <v>838</v>
      </c>
      <c r="Y702">
        <v>1254.5</v>
      </c>
      <c r="Z702">
        <v>1254.5</v>
      </c>
      <c r="AA702" t="str">
        <f t="shared" si="185"/>
        <v>06/08/2016</v>
      </c>
    </row>
    <row r="703" spans="1:27" x14ac:dyDescent="0.3">
      <c r="A703" t="str">
        <f t="shared" si="176"/>
        <v>048314</v>
      </c>
      <c r="B703" t="str">
        <f t="shared" si="182"/>
        <v>004796</v>
      </c>
      <c r="C703" t="s">
        <v>1226</v>
      </c>
      <c r="D703" t="s">
        <v>3839</v>
      </c>
      <c r="E703" t="s">
        <v>3840</v>
      </c>
      <c r="F703" t="s">
        <v>3841</v>
      </c>
      <c r="G703" t="s">
        <v>3842</v>
      </c>
      <c r="H703" t="str">
        <f t="shared" si="186"/>
        <v>048314</v>
      </c>
      <c r="I703" t="s">
        <v>833</v>
      </c>
      <c r="J703" t="str">
        <f t="shared" si="189"/>
        <v>2015-07-01 00:00:00.0</v>
      </c>
      <c r="K703" t="s">
        <v>834</v>
      </c>
      <c r="L703" t="s">
        <v>0</v>
      </c>
      <c r="M703" t="str">
        <f t="shared" si="190"/>
        <v>048314</v>
      </c>
      <c r="N703">
        <v>1</v>
      </c>
      <c r="O703">
        <v>1</v>
      </c>
      <c r="P703" t="str">
        <f>"11"</f>
        <v>11</v>
      </c>
      <c r="Q703" t="str">
        <f>"15"</f>
        <v>15</v>
      </c>
      <c r="R703" t="str">
        <f>"2"</f>
        <v>2</v>
      </c>
      <c r="S703" t="s">
        <v>836</v>
      </c>
      <c r="T703" t="s">
        <v>836</v>
      </c>
      <c r="U703" t="str">
        <f t="shared" si="188"/>
        <v>2500-12-31 00:00:00.0</v>
      </c>
      <c r="V703" t="s">
        <v>837</v>
      </c>
      <c r="W703" t="str">
        <f>"048314-004796-**-**"</f>
        <v>048314-004796-**-**</v>
      </c>
      <c r="X703" t="s">
        <v>838</v>
      </c>
      <c r="Y703">
        <v>1254.5</v>
      </c>
      <c r="Z703">
        <v>1254.5</v>
      </c>
      <c r="AA703" t="str">
        <f t="shared" si="185"/>
        <v>06/08/2016</v>
      </c>
    </row>
    <row r="704" spans="1:27" x14ac:dyDescent="0.3">
      <c r="A704" t="str">
        <f t="shared" si="176"/>
        <v>048314</v>
      </c>
      <c r="B704" t="str">
        <f t="shared" si="182"/>
        <v>004796</v>
      </c>
      <c r="C704" t="s">
        <v>1243</v>
      </c>
      <c r="D704" t="s">
        <v>3839</v>
      </c>
      <c r="E704" t="s">
        <v>3840</v>
      </c>
      <c r="F704" t="s">
        <v>3841</v>
      </c>
      <c r="G704" t="s">
        <v>3842</v>
      </c>
      <c r="H704" t="str">
        <f>"051243"</f>
        <v>051243</v>
      </c>
      <c r="I704" t="s">
        <v>833</v>
      </c>
      <c r="J704" t="str">
        <f>"2015-08-03 00:00:00.0"</f>
        <v>2015-08-03 00:00:00.0</v>
      </c>
      <c r="K704" t="s">
        <v>834</v>
      </c>
      <c r="L704" t="s">
        <v>0</v>
      </c>
      <c r="M704" t="str">
        <f t="shared" si="190"/>
        <v>048314</v>
      </c>
      <c r="N704">
        <v>0.69</v>
      </c>
      <c r="O704">
        <v>0.69</v>
      </c>
      <c r="P704" t="str">
        <f>"12"</f>
        <v>12</v>
      </c>
      <c r="Q704" t="s">
        <v>835</v>
      </c>
      <c r="S704" t="s">
        <v>836</v>
      </c>
      <c r="T704" t="s">
        <v>836</v>
      </c>
      <c r="U704" t="str">
        <f t="shared" si="188"/>
        <v>2500-12-31 00:00:00.0</v>
      </c>
      <c r="V704" t="s">
        <v>886</v>
      </c>
      <c r="W704" t="str">
        <f>"051243-051250-12-SA"</f>
        <v>051243-051250-12-SA</v>
      </c>
      <c r="X704" t="s">
        <v>838</v>
      </c>
      <c r="Y704">
        <v>762.45</v>
      </c>
      <c r="Z704">
        <v>1105</v>
      </c>
      <c r="AA704" t="str">
        <f>"05/21/2016"</f>
        <v>05/21/2016</v>
      </c>
    </row>
    <row r="705" spans="1:27" x14ac:dyDescent="0.3">
      <c r="A705" t="str">
        <f t="shared" si="176"/>
        <v>048314</v>
      </c>
      <c r="B705" t="str">
        <f t="shared" si="182"/>
        <v>004796</v>
      </c>
      <c r="C705" t="s">
        <v>1243</v>
      </c>
      <c r="D705" t="s">
        <v>3839</v>
      </c>
      <c r="E705" t="s">
        <v>3840</v>
      </c>
      <c r="F705" t="s">
        <v>3841</v>
      </c>
      <c r="G705" t="s">
        <v>3842</v>
      </c>
      <c r="H705" t="str">
        <f t="shared" ref="H705:H711" si="191">"048314"</f>
        <v>048314</v>
      </c>
      <c r="I705" t="s">
        <v>833</v>
      </c>
      <c r="J705" t="str">
        <f t="shared" ref="J705:J717" si="192">"2015-07-01 00:00:00.0"</f>
        <v>2015-07-01 00:00:00.0</v>
      </c>
      <c r="K705" t="s">
        <v>834</v>
      </c>
      <c r="L705" t="s">
        <v>0</v>
      </c>
      <c r="M705" t="str">
        <f t="shared" si="190"/>
        <v>048314</v>
      </c>
      <c r="N705">
        <v>0.31</v>
      </c>
      <c r="O705">
        <v>0.31</v>
      </c>
      <c r="P705" t="str">
        <f>"12"</f>
        <v>12</v>
      </c>
      <c r="Q705" t="s">
        <v>835</v>
      </c>
      <c r="S705" t="s">
        <v>836</v>
      </c>
      <c r="T705" t="s">
        <v>836</v>
      </c>
      <c r="U705" t="str">
        <f t="shared" si="188"/>
        <v>2500-12-31 00:00:00.0</v>
      </c>
      <c r="V705" t="s">
        <v>837</v>
      </c>
      <c r="W705" t="str">
        <f>"048314-004796-12-SE"</f>
        <v>048314-004796-12-SE</v>
      </c>
      <c r="X705" t="s">
        <v>838</v>
      </c>
      <c r="Y705">
        <v>388.9</v>
      </c>
      <c r="Z705">
        <v>1254.5</v>
      </c>
      <c r="AA705" t="str">
        <f t="shared" ref="AA705:AA711" si="193">"06/08/2016"</f>
        <v>06/08/2016</v>
      </c>
    </row>
    <row r="706" spans="1:27" x14ac:dyDescent="0.3">
      <c r="A706" t="str">
        <f t="shared" ref="A706:A769" si="194">"048314"</f>
        <v>048314</v>
      </c>
      <c r="B706" t="str">
        <f t="shared" si="182"/>
        <v>004796</v>
      </c>
      <c r="C706" t="s">
        <v>1111</v>
      </c>
      <c r="D706" t="s">
        <v>3839</v>
      </c>
      <c r="E706" t="s">
        <v>3840</v>
      </c>
      <c r="F706" t="s">
        <v>3841</v>
      </c>
      <c r="G706" t="s">
        <v>3842</v>
      </c>
      <c r="H706" t="str">
        <f t="shared" si="191"/>
        <v>048314</v>
      </c>
      <c r="I706" t="s">
        <v>833</v>
      </c>
      <c r="J706" t="str">
        <f t="shared" si="192"/>
        <v>2015-07-01 00:00:00.0</v>
      </c>
      <c r="K706" t="s">
        <v>834</v>
      </c>
      <c r="L706" t="s">
        <v>0</v>
      </c>
      <c r="M706" t="str">
        <f t="shared" si="190"/>
        <v>048314</v>
      </c>
      <c r="N706">
        <v>1</v>
      </c>
      <c r="O706">
        <v>1</v>
      </c>
      <c r="P706" t="str">
        <f>"12"</f>
        <v>12</v>
      </c>
      <c r="Q706" t="s">
        <v>835</v>
      </c>
      <c r="S706" t="s">
        <v>836</v>
      </c>
      <c r="T706" t="s">
        <v>836</v>
      </c>
      <c r="U706" t="str">
        <f t="shared" si="188"/>
        <v>2500-12-31 00:00:00.0</v>
      </c>
      <c r="V706" t="s">
        <v>837</v>
      </c>
      <c r="W706" t="str">
        <f>"048314-004796-12-SE"</f>
        <v>048314-004796-12-SE</v>
      </c>
      <c r="X706" t="s">
        <v>838</v>
      </c>
      <c r="Y706">
        <v>1254.5</v>
      </c>
      <c r="Z706">
        <v>1254.5</v>
      </c>
      <c r="AA706" t="str">
        <f t="shared" si="193"/>
        <v>06/08/2016</v>
      </c>
    </row>
    <row r="707" spans="1:27" x14ac:dyDescent="0.3">
      <c r="A707" t="str">
        <f t="shared" si="194"/>
        <v>048314</v>
      </c>
      <c r="B707" t="str">
        <f t="shared" si="182"/>
        <v>004796</v>
      </c>
      <c r="C707" t="s">
        <v>1477</v>
      </c>
      <c r="D707" t="s">
        <v>3839</v>
      </c>
      <c r="E707" t="s">
        <v>3840</v>
      </c>
      <c r="F707" t="s">
        <v>3841</v>
      </c>
      <c r="G707" t="s">
        <v>3842</v>
      </c>
      <c r="H707" t="str">
        <f t="shared" si="191"/>
        <v>048314</v>
      </c>
      <c r="I707" t="s">
        <v>833</v>
      </c>
      <c r="J707" t="str">
        <f t="shared" si="192"/>
        <v>2015-07-01 00:00:00.0</v>
      </c>
      <c r="K707" t="s">
        <v>834</v>
      </c>
      <c r="L707" t="s">
        <v>0</v>
      </c>
      <c r="M707" t="str">
        <f t="shared" si="190"/>
        <v>048314</v>
      </c>
      <c r="N707">
        <v>1</v>
      </c>
      <c r="O707">
        <v>1</v>
      </c>
      <c r="P707" t="str">
        <f>"11"</f>
        <v>11</v>
      </c>
      <c r="Q707" t="s">
        <v>835</v>
      </c>
      <c r="S707" t="s">
        <v>836</v>
      </c>
      <c r="T707" t="s">
        <v>836</v>
      </c>
      <c r="U707" t="str">
        <f t="shared" si="188"/>
        <v>2500-12-31 00:00:00.0</v>
      </c>
      <c r="V707" t="s">
        <v>837</v>
      </c>
      <c r="W707" t="str">
        <f>"048314-004796-**-**"</f>
        <v>048314-004796-**-**</v>
      </c>
      <c r="X707" t="s">
        <v>838</v>
      </c>
      <c r="Y707">
        <v>1254.5</v>
      </c>
      <c r="Z707">
        <v>1254.5</v>
      </c>
      <c r="AA707" t="str">
        <f t="shared" si="193"/>
        <v>06/08/2016</v>
      </c>
    </row>
    <row r="708" spans="1:27" x14ac:dyDescent="0.3">
      <c r="A708" t="str">
        <f t="shared" si="194"/>
        <v>048314</v>
      </c>
      <c r="B708" t="str">
        <f t="shared" si="182"/>
        <v>004796</v>
      </c>
      <c r="C708" t="s">
        <v>3474</v>
      </c>
      <c r="D708" t="s">
        <v>3839</v>
      </c>
      <c r="E708" t="s">
        <v>3840</v>
      </c>
      <c r="F708" t="s">
        <v>3841</v>
      </c>
      <c r="G708" t="s">
        <v>3842</v>
      </c>
      <c r="H708" t="str">
        <f t="shared" si="191"/>
        <v>048314</v>
      </c>
      <c r="I708" t="s">
        <v>833</v>
      </c>
      <c r="J708" t="str">
        <f t="shared" si="192"/>
        <v>2015-07-01 00:00:00.0</v>
      </c>
      <c r="K708" t="s">
        <v>834</v>
      </c>
      <c r="L708" t="s">
        <v>0</v>
      </c>
      <c r="M708" t="str">
        <f t="shared" si="190"/>
        <v>048314</v>
      </c>
      <c r="N708">
        <v>1</v>
      </c>
      <c r="O708">
        <v>1</v>
      </c>
      <c r="P708" t="str">
        <f>"10"</f>
        <v>10</v>
      </c>
      <c r="Q708" t="s">
        <v>835</v>
      </c>
      <c r="S708" t="s">
        <v>836</v>
      </c>
      <c r="T708" t="s">
        <v>836</v>
      </c>
      <c r="U708" t="str">
        <f t="shared" si="188"/>
        <v>2500-12-31 00:00:00.0</v>
      </c>
      <c r="V708" t="s">
        <v>837</v>
      </c>
      <c r="W708" t="str">
        <f>"048314-004796-**-**"</f>
        <v>048314-004796-**-**</v>
      </c>
      <c r="X708" t="s">
        <v>838</v>
      </c>
      <c r="Y708">
        <v>1254.5</v>
      </c>
      <c r="Z708">
        <v>1254.5</v>
      </c>
      <c r="AA708" t="str">
        <f t="shared" si="193"/>
        <v>06/08/2016</v>
      </c>
    </row>
    <row r="709" spans="1:27" x14ac:dyDescent="0.3">
      <c r="A709" t="str">
        <f t="shared" si="194"/>
        <v>048314</v>
      </c>
      <c r="B709" t="str">
        <f t="shared" si="182"/>
        <v>004796</v>
      </c>
      <c r="C709" t="s">
        <v>2815</v>
      </c>
      <c r="D709" t="s">
        <v>3839</v>
      </c>
      <c r="E709" t="s">
        <v>3840</v>
      </c>
      <c r="F709" t="s">
        <v>3841</v>
      </c>
      <c r="G709" t="s">
        <v>3842</v>
      </c>
      <c r="H709" t="str">
        <f t="shared" si="191"/>
        <v>048314</v>
      </c>
      <c r="I709" t="s">
        <v>833</v>
      </c>
      <c r="J709" t="str">
        <f t="shared" si="192"/>
        <v>2015-07-01 00:00:00.0</v>
      </c>
      <c r="K709" t="s">
        <v>834</v>
      </c>
      <c r="L709" t="s">
        <v>0</v>
      </c>
      <c r="M709" t="str">
        <f t="shared" si="190"/>
        <v>048314</v>
      </c>
      <c r="N709">
        <v>1</v>
      </c>
      <c r="O709">
        <v>1</v>
      </c>
      <c r="P709" t="str">
        <f>"12"</f>
        <v>12</v>
      </c>
      <c r="Q709" t="s">
        <v>835</v>
      </c>
      <c r="S709" t="s">
        <v>836</v>
      </c>
      <c r="T709" t="s">
        <v>836</v>
      </c>
      <c r="U709" t="str">
        <f t="shared" si="188"/>
        <v>2500-12-31 00:00:00.0</v>
      </c>
      <c r="V709" t="s">
        <v>837</v>
      </c>
      <c r="W709" t="str">
        <f>"048314-004796-12-SE"</f>
        <v>048314-004796-12-SE</v>
      </c>
      <c r="X709" t="s">
        <v>838</v>
      </c>
      <c r="Y709">
        <v>1254.5</v>
      </c>
      <c r="Z709">
        <v>1254.5</v>
      </c>
      <c r="AA709" t="str">
        <f t="shared" si="193"/>
        <v>06/08/2016</v>
      </c>
    </row>
    <row r="710" spans="1:27" x14ac:dyDescent="0.3">
      <c r="A710" t="str">
        <f t="shared" si="194"/>
        <v>048314</v>
      </c>
      <c r="B710" t="str">
        <f t="shared" si="182"/>
        <v>004796</v>
      </c>
      <c r="C710" t="s">
        <v>1415</v>
      </c>
      <c r="D710" t="s">
        <v>3839</v>
      </c>
      <c r="E710" t="s">
        <v>3840</v>
      </c>
      <c r="F710" t="s">
        <v>3841</v>
      </c>
      <c r="G710" t="s">
        <v>3842</v>
      </c>
      <c r="H710" t="str">
        <f t="shared" si="191"/>
        <v>048314</v>
      </c>
      <c r="I710" t="s">
        <v>833</v>
      </c>
      <c r="J710" t="str">
        <f t="shared" si="192"/>
        <v>2015-07-01 00:00:00.0</v>
      </c>
      <c r="K710" t="s">
        <v>834</v>
      </c>
      <c r="L710" t="s">
        <v>0</v>
      </c>
      <c r="M710" t="str">
        <f t="shared" si="190"/>
        <v>048314</v>
      </c>
      <c r="N710">
        <v>1</v>
      </c>
      <c r="O710">
        <v>1</v>
      </c>
      <c r="P710" t="str">
        <f>"11"</f>
        <v>11</v>
      </c>
      <c r="Q710" t="s">
        <v>835</v>
      </c>
      <c r="S710" t="s">
        <v>836</v>
      </c>
      <c r="T710" t="s">
        <v>836</v>
      </c>
      <c r="U710" t="str">
        <f t="shared" si="188"/>
        <v>2500-12-31 00:00:00.0</v>
      </c>
      <c r="V710" t="s">
        <v>837</v>
      </c>
      <c r="W710" t="str">
        <f>"048314-004796-**-**"</f>
        <v>048314-004796-**-**</v>
      </c>
      <c r="X710" t="s">
        <v>838</v>
      </c>
      <c r="Y710">
        <v>1254.5</v>
      </c>
      <c r="Z710">
        <v>1254.5</v>
      </c>
      <c r="AA710" t="str">
        <f t="shared" si="193"/>
        <v>06/08/2016</v>
      </c>
    </row>
    <row r="711" spans="1:27" x14ac:dyDescent="0.3">
      <c r="A711" t="str">
        <f t="shared" si="194"/>
        <v>048314</v>
      </c>
      <c r="B711" t="str">
        <f t="shared" si="182"/>
        <v>004796</v>
      </c>
      <c r="C711" t="s">
        <v>1121</v>
      </c>
      <c r="D711" t="s">
        <v>3839</v>
      </c>
      <c r="E711" t="s">
        <v>3840</v>
      </c>
      <c r="F711" t="s">
        <v>3841</v>
      </c>
      <c r="G711" t="s">
        <v>3842</v>
      </c>
      <c r="H711" t="str">
        <f t="shared" si="191"/>
        <v>048314</v>
      </c>
      <c r="I711" t="s">
        <v>833</v>
      </c>
      <c r="J711" t="str">
        <f t="shared" si="192"/>
        <v>2015-07-01 00:00:00.0</v>
      </c>
      <c r="K711" t="s">
        <v>834</v>
      </c>
      <c r="L711" t="s">
        <v>0</v>
      </c>
      <c r="M711" t="str">
        <f t="shared" si="190"/>
        <v>048314</v>
      </c>
      <c r="N711">
        <v>1</v>
      </c>
      <c r="O711">
        <v>1</v>
      </c>
      <c r="P711" t="str">
        <f>"12"</f>
        <v>12</v>
      </c>
      <c r="Q711" t="s">
        <v>835</v>
      </c>
      <c r="S711" t="s">
        <v>836</v>
      </c>
      <c r="T711" t="s">
        <v>836</v>
      </c>
      <c r="U711" t="str">
        <f t="shared" si="188"/>
        <v>2500-12-31 00:00:00.0</v>
      </c>
      <c r="V711" t="s">
        <v>837</v>
      </c>
      <c r="W711" t="str">
        <f>"048314-004796-12-SE"</f>
        <v>048314-004796-12-SE</v>
      </c>
      <c r="X711" t="s">
        <v>838</v>
      </c>
      <c r="Y711">
        <v>1254.5</v>
      </c>
      <c r="Z711">
        <v>1254.5</v>
      </c>
      <c r="AA711" t="str">
        <f t="shared" si="193"/>
        <v>06/08/2016</v>
      </c>
    </row>
    <row r="712" spans="1:27" x14ac:dyDescent="0.3">
      <c r="A712" t="str">
        <f t="shared" si="194"/>
        <v>048314</v>
      </c>
      <c r="B712" t="str">
        <f t="shared" si="182"/>
        <v>004796</v>
      </c>
      <c r="C712" t="s">
        <v>892</v>
      </c>
      <c r="D712" t="s">
        <v>3839</v>
      </c>
      <c r="E712" t="s">
        <v>3840</v>
      </c>
      <c r="F712" t="s">
        <v>3841</v>
      </c>
      <c r="G712" t="s">
        <v>3842</v>
      </c>
      <c r="H712" t="str">
        <f>"051243"</f>
        <v>051243</v>
      </c>
      <c r="I712" t="s">
        <v>833</v>
      </c>
      <c r="J712" t="str">
        <f t="shared" si="192"/>
        <v>2015-07-01 00:00:00.0</v>
      </c>
      <c r="K712" t="s">
        <v>834</v>
      </c>
      <c r="L712" t="s">
        <v>0</v>
      </c>
      <c r="M712" t="str">
        <f t="shared" si="190"/>
        <v>048314</v>
      </c>
      <c r="N712">
        <v>0.123295</v>
      </c>
      <c r="O712">
        <v>0.123295</v>
      </c>
      <c r="P712" t="str">
        <f>"23"</f>
        <v>23</v>
      </c>
      <c r="Q712" t="str">
        <f>"15"</f>
        <v>15</v>
      </c>
      <c r="R712" t="str">
        <f>"2"</f>
        <v>2</v>
      </c>
      <c r="S712" t="s">
        <v>860</v>
      </c>
      <c r="T712" t="s">
        <v>836</v>
      </c>
      <c r="U712" t="str">
        <f>"2015-10-09 00:00:00.0"</f>
        <v>2015-10-09 00:00:00.0</v>
      </c>
      <c r="V712" t="s">
        <v>886</v>
      </c>
      <c r="W712" t="str">
        <f>"051243-051250-23-PM"</f>
        <v>051243-051250-23-PM</v>
      </c>
      <c r="X712" t="s">
        <v>838</v>
      </c>
      <c r="Y712">
        <v>141.05000000000001</v>
      </c>
      <c r="Z712">
        <v>1144</v>
      </c>
      <c r="AA712" t="str">
        <f>"05/21/2016"</f>
        <v>05/21/2016</v>
      </c>
    </row>
    <row r="713" spans="1:27" x14ac:dyDescent="0.3">
      <c r="A713" t="str">
        <f t="shared" si="194"/>
        <v>048314</v>
      </c>
      <c r="B713" t="str">
        <f t="shared" si="182"/>
        <v>004796</v>
      </c>
      <c r="C713" t="s">
        <v>1122</v>
      </c>
      <c r="D713" t="s">
        <v>3839</v>
      </c>
      <c r="E713" t="s">
        <v>3840</v>
      </c>
      <c r="F713" t="s">
        <v>3841</v>
      </c>
      <c r="G713" t="s">
        <v>3842</v>
      </c>
      <c r="H713" t="str">
        <f>"048314"</f>
        <v>048314</v>
      </c>
      <c r="I713" t="s">
        <v>833</v>
      </c>
      <c r="J713" t="str">
        <f t="shared" si="192"/>
        <v>2015-07-01 00:00:00.0</v>
      </c>
      <c r="K713" t="s">
        <v>834</v>
      </c>
      <c r="L713" t="s">
        <v>0</v>
      </c>
      <c r="M713" t="str">
        <f t="shared" si="190"/>
        <v>048314</v>
      </c>
      <c r="N713">
        <v>1</v>
      </c>
      <c r="O713">
        <v>1</v>
      </c>
      <c r="P713" t="str">
        <f>"12"</f>
        <v>12</v>
      </c>
      <c r="Q713" t="s">
        <v>835</v>
      </c>
      <c r="S713" t="s">
        <v>836</v>
      </c>
      <c r="T713" t="s">
        <v>836</v>
      </c>
      <c r="U713" t="str">
        <f t="shared" ref="U713:U758" si="195">"2500-12-31 00:00:00.0"</f>
        <v>2500-12-31 00:00:00.0</v>
      </c>
      <c r="V713" t="s">
        <v>837</v>
      </c>
      <c r="W713" t="str">
        <f>"048314-004796-12-SE"</f>
        <v>048314-004796-12-SE</v>
      </c>
      <c r="X713" t="s">
        <v>838</v>
      </c>
      <c r="Y713">
        <v>1254.5</v>
      </c>
      <c r="Z713">
        <v>1254.5</v>
      </c>
      <c r="AA713" t="str">
        <f>"06/08/2016"</f>
        <v>06/08/2016</v>
      </c>
    </row>
    <row r="714" spans="1:27" x14ac:dyDescent="0.3">
      <c r="A714" t="str">
        <f t="shared" si="194"/>
        <v>048314</v>
      </c>
      <c r="B714" t="str">
        <f t="shared" si="182"/>
        <v>004796</v>
      </c>
      <c r="C714" t="s">
        <v>1123</v>
      </c>
      <c r="D714" t="s">
        <v>3839</v>
      </c>
      <c r="E714" t="s">
        <v>3840</v>
      </c>
      <c r="F714" t="s">
        <v>3841</v>
      </c>
      <c r="G714" t="s">
        <v>3842</v>
      </c>
      <c r="H714" t="str">
        <f>"051243"</f>
        <v>051243</v>
      </c>
      <c r="I714" t="s">
        <v>833</v>
      </c>
      <c r="J714" t="str">
        <f t="shared" si="192"/>
        <v>2015-07-01 00:00:00.0</v>
      </c>
      <c r="K714" t="s">
        <v>834</v>
      </c>
      <c r="L714" t="s">
        <v>0</v>
      </c>
      <c r="M714" t="str">
        <f t="shared" si="190"/>
        <v>048314</v>
      </c>
      <c r="N714">
        <v>1</v>
      </c>
      <c r="O714">
        <v>1</v>
      </c>
      <c r="P714" t="str">
        <f>"12"</f>
        <v>12</v>
      </c>
      <c r="Q714" t="s">
        <v>835</v>
      </c>
      <c r="S714" t="s">
        <v>836</v>
      </c>
      <c r="T714" t="s">
        <v>836</v>
      </c>
      <c r="U714" t="str">
        <f t="shared" si="195"/>
        <v>2500-12-31 00:00:00.0</v>
      </c>
      <c r="V714" t="s">
        <v>886</v>
      </c>
      <c r="W714" t="str">
        <f>"051243-051250-12-SE"</f>
        <v>051243-051250-12-SE</v>
      </c>
      <c r="X714" t="s">
        <v>838</v>
      </c>
      <c r="Y714">
        <v>1105</v>
      </c>
      <c r="Z714">
        <v>1105</v>
      </c>
      <c r="AA714" t="str">
        <f>"05/21/2016"</f>
        <v>05/21/2016</v>
      </c>
    </row>
    <row r="715" spans="1:27" x14ac:dyDescent="0.3">
      <c r="A715" t="str">
        <f t="shared" si="194"/>
        <v>048314</v>
      </c>
      <c r="B715" t="str">
        <f t="shared" si="182"/>
        <v>004796</v>
      </c>
      <c r="C715" t="s">
        <v>1124</v>
      </c>
      <c r="D715" t="s">
        <v>3839</v>
      </c>
      <c r="E715" t="s">
        <v>3840</v>
      </c>
      <c r="F715" t="s">
        <v>3841</v>
      </c>
      <c r="G715" t="s">
        <v>3842</v>
      </c>
      <c r="H715" t="str">
        <f>"051243"</f>
        <v>051243</v>
      </c>
      <c r="I715" t="s">
        <v>833</v>
      </c>
      <c r="J715" t="str">
        <f t="shared" si="192"/>
        <v>2015-07-01 00:00:00.0</v>
      </c>
      <c r="K715" t="s">
        <v>834</v>
      </c>
      <c r="L715" t="s">
        <v>0</v>
      </c>
      <c r="M715" t="str">
        <f t="shared" si="190"/>
        <v>048314</v>
      </c>
      <c r="N715">
        <v>1</v>
      </c>
      <c r="O715">
        <v>1</v>
      </c>
      <c r="P715" t="str">
        <f>"12"</f>
        <v>12</v>
      </c>
      <c r="Q715" t="s">
        <v>835</v>
      </c>
      <c r="S715" t="s">
        <v>836</v>
      </c>
      <c r="T715" t="s">
        <v>836</v>
      </c>
      <c r="U715" t="str">
        <f t="shared" si="195"/>
        <v>2500-12-31 00:00:00.0</v>
      </c>
      <c r="V715" t="s">
        <v>886</v>
      </c>
      <c r="W715" t="str">
        <f>"051243-051250-12-SE"</f>
        <v>051243-051250-12-SE</v>
      </c>
      <c r="X715" t="s">
        <v>838</v>
      </c>
      <c r="Y715">
        <v>1105</v>
      </c>
      <c r="Z715">
        <v>1105</v>
      </c>
      <c r="AA715" t="str">
        <f>"05/21/2016"</f>
        <v>05/21/2016</v>
      </c>
    </row>
    <row r="716" spans="1:27" x14ac:dyDescent="0.3">
      <c r="A716" t="str">
        <f t="shared" si="194"/>
        <v>048314</v>
      </c>
      <c r="B716" t="str">
        <f t="shared" si="182"/>
        <v>004796</v>
      </c>
      <c r="C716" t="s">
        <v>893</v>
      </c>
      <c r="D716" t="s">
        <v>3839</v>
      </c>
      <c r="E716" t="s">
        <v>3840</v>
      </c>
      <c r="F716" t="s">
        <v>3841</v>
      </c>
      <c r="G716" t="s">
        <v>3842</v>
      </c>
      <c r="H716" t="str">
        <f t="shared" ref="H716:H723" si="196">"048314"</f>
        <v>048314</v>
      </c>
      <c r="I716" t="s">
        <v>833</v>
      </c>
      <c r="J716" t="str">
        <f t="shared" si="192"/>
        <v>2015-07-01 00:00:00.0</v>
      </c>
      <c r="K716" t="s">
        <v>834</v>
      </c>
      <c r="L716" t="s">
        <v>0</v>
      </c>
      <c r="M716" t="str">
        <f t="shared" si="190"/>
        <v>048314</v>
      </c>
      <c r="N716">
        <v>1</v>
      </c>
      <c r="O716">
        <v>1</v>
      </c>
      <c r="P716" t="str">
        <f>"23"</f>
        <v>23</v>
      </c>
      <c r="Q716" t="str">
        <f>"09"</f>
        <v>09</v>
      </c>
      <c r="R716" t="str">
        <f>"2"</f>
        <v>2</v>
      </c>
      <c r="S716" t="s">
        <v>836</v>
      </c>
      <c r="T716" t="s">
        <v>836</v>
      </c>
      <c r="U716" t="str">
        <f t="shared" si="195"/>
        <v>2500-12-31 00:00:00.0</v>
      </c>
      <c r="V716" t="s">
        <v>837</v>
      </c>
      <c r="W716" t="str">
        <f>"048314-004796-**-**"</f>
        <v>048314-004796-**-**</v>
      </c>
      <c r="X716" t="s">
        <v>838</v>
      </c>
      <c r="Y716">
        <v>1254.5</v>
      </c>
      <c r="Z716">
        <v>1254.5</v>
      </c>
      <c r="AA716" t="str">
        <f t="shared" ref="AA716:AA723" si="197">"06/08/2016"</f>
        <v>06/08/2016</v>
      </c>
    </row>
    <row r="717" spans="1:27" x14ac:dyDescent="0.3">
      <c r="A717" t="str">
        <f t="shared" si="194"/>
        <v>048314</v>
      </c>
      <c r="B717" t="str">
        <f t="shared" si="182"/>
        <v>004796</v>
      </c>
      <c r="C717" t="s">
        <v>1575</v>
      </c>
      <c r="D717" t="s">
        <v>3839</v>
      </c>
      <c r="E717" t="s">
        <v>3840</v>
      </c>
      <c r="F717" t="s">
        <v>3841</v>
      </c>
      <c r="G717" t="s">
        <v>3842</v>
      </c>
      <c r="H717" t="str">
        <f t="shared" si="196"/>
        <v>048314</v>
      </c>
      <c r="I717" t="s">
        <v>833</v>
      </c>
      <c r="J717" t="str">
        <f t="shared" si="192"/>
        <v>2015-07-01 00:00:00.0</v>
      </c>
      <c r="K717" t="s">
        <v>834</v>
      </c>
      <c r="L717" t="s">
        <v>0</v>
      </c>
      <c r="M717" t="str">
        <f t="shared" si="190"/>
        <v>048314</v>
      </c>
      <c r="N717">
        <v>1</v>
      </c>
      <c r="O717">
        <v>1</v>
      </c>
      <c r="P717" t="str">
        <f>"10"</f>
        <v>10</v>
      </c>
      <c r="Q717" t="s">
        <v>835</v>
      </c>
      <c r="S717" t="s">
        <v>836</v>
      </c>
      <c r="T717" t="s">
        <v>836</v>
      </c>
      <c r="U717" t="str">
        <f t="shared" si="195"/>
        <v>2500-12-31 00:00:00.0</v>
      </c>
      <c r="V717" t="s">
        <v>837</v>
      </c>
      <c r="W717" t="str">
        <f>"048314-004796-**-**"</f>
        <v>048314-004796-**-**</v>
      </c>
      <c r="X717" t="s">
        <v>838</v>
      </c>
      <c r="Y717">
        <v>1254.5</v>
      </c>
      <c r="Z717">
        <v>1254.5</v>
      </c>
      <c r="AA717" t="str">
        <f t="shared" si="197"/>
        <v>06/08/2016</v>
      </c>
    </row>
    <row r="718" spans="1:27" x14ac:dyDescent="0.3">
      <c r="A718" t="str">
        <f t="shared" si="194"/>
        <v>048314</v>
      </c>
      <c r="B718" t="str">
        <f t="shared" si="182"/>
        <v>004796</v>
      </c>
      <c r="C718" t="s">
        <v>1312</v>
      </c>
      <c r="D718" t="s">
        <v>3839</v>
      </c>
      <c r="E718" t="s">
        <v>3840</v>
      </c>
      <c r="F718" t="s">
        <v>3841</v>
      </c>
      <c r="G718" t="s">
        <v>3842</v>
      </c>
      <c r="H718" t="str">
        <f t="shared" si="196"/>
        <v>048314</v>
      </c>
      <c r="I718" t="s">
        <v>833</v>
      </c>
      <c r="J718" t="str">
        <f>"2015-09-10 00:00:00.0"</f>
        <v>2015-09-10 00:00:00.0</v>
      </c>
      <c r="K718" t="s">
        <v>834</v>
      </c>
      <c r="L718" t="s">
        <v>0</v>
      </c>
      <c r="M718" t="str">
        <f t="shared" si="190"/>
        <v>048314</v>
      </c>
      <c r="N718">
        <v>0.963731</v>
      </c>
      <c r="O718">
        <v>0.963731</v>
      </c>
      <c r="P718" t="str">
        <f>"11"</f>
        <v>11</v>
      </c>
      <c r="Q718" t="s">
        <v>835</v>
      </c>
      <c r="S718" t="s">
        <v>836</v>
      </c>
      <c r="T718" t="s">
        <v>836</v>
      </c>
      <c r="U718" t="str">
        <f t="shared" si="195"/>
        <v>2500-12-31 00:00:00.0</v>
      </c>
      <c r="V718" t="s">
        <v>837</v>
      </c>
      <c r="W718" t="str">
        <f>"048314-004796-**-**"</f>
        <v>048314-004796-**-**</v>
      </c>
      <c r="X718" t="s">
        <v>838</v>
      </c>
      <c r="Y718">
        <v>1209</v>
      </c>
      <c r="Z718">
        <v>1254.5</v>
      </c>
      <c r="AA718" t="str">
        <f t="shared" si="197"/>
        <v>06/08/2016</v>
      </c>
    </row>
    <row r="719" spans="1:27" x14ac:dyDescent="0.3">
      <c r="A719" t="str">
        <f t="shared" si="194"/>
        <v>048314</v>
      </c>
      <c r="B719" t="str">
        <f t="shared" si="182"/>
        <v>004796</v>
      </c>
      <c r="C719" t="s">
        <v>1792</v>
      </c>
      <c r="D719" t="s">
        <v>3839</v>
      </c>
      <c r="E719" t="s">
        <v>3840</v>
      </c>
      <c r="F719" t="s">
        <v>3841</v>
      </c>
      <c r="G719" t="s">
        <v>3842</v>
      </c>
      <c r="H719" t="str">
        <f t="shared" si="196"/>
        <v>048314</v>
      </c>
      <c r="I719" t="s">
        <v>833</v>
      </c>
      <c r="J719" t="str">
        <f>"2015-09-10 00:00:00.0"</f>
        <v>2015-09-10 00:00:00.0</v>
      </c>
      <c r="K719" t="s">
        <v>834</v>
      </c>
      <c r="L719" t="s">
        <v>0</v>
      </c>
      <c r="M719" t="str">
        <f t="shared" si="190"/>
        <v>048314</v>
      </c>
      <c r="N719">
        <v>0.963731</v>
      </c>
      <c r="O719">
        <v>0.963731</v>
      </c>
      <c r="P719" t="str">
        <f>"10"</f>
        <v>10</v>
      </c>
      <c r="Q719" t="s">
        <v>835</v>
      </c>
      <c r="S719" t="s">
        <v>836</v>
      </c>
      <c r="T719" t="s">
        <v>836</v>
      </c>
      <c r="U719" t="str">
        <f t="shared" si="195"/>
        <v>2500-12-31 00:00:00.0</v>
      </c>
      <c r="V719" t="s">
        <v>837</v>
      </c>
      <c r="W719" t="str">
        <f>"048314-004796-**-**"</f>
        <v>048314-004796-**-**</v>
      </c>
      <c r="X719" t="s">
        <v>838</v>
      </c>
      <c r="Y719">
        <v>1209</v>
      </c>
      <c r="Z719">
        <v>1254.5</v>
      </c>
      <c r="AA719" t="str">
        <f t="shared" si="197"/>
        <v>06/08/2016</v>
      </c>
    </row>
    <row r="720" spans="1:27" x14ac:dyDescent="0.3">
      <c r="A720" t="str">
        <f t="shared" si="194"/>
        <v>048314</v>
      </c>
      <c r="B720" t="str">
        <f t="shared" si="182"/>
        <v>004796</v>
      </c>
      <c r="C720" t="s">
        <v>1770</v>
      </c>
      <c r="D720" t="s">
        <v>3839</v>
      </c>
      <c r="E720" t="s">
        <v>3840</v>
      </c>
      <c r="F720" t="s">
        <v>3841</v>
      </c>
      <c r="G720" t="s">
        <v>3842</v>
      </c>
      <c r="H720" t="str">
        <f t="shared" si="196"/>
        <v>048314</v>
      </c>
      <c r="I720" t="s">
        <v>833</v>
      </c>
      <c r="J720" t="str">
        <f>"2015-07-01 00:00:00.0"</f>
        <v>2015-07-01 00:00:00.0</v>
      </c>
      <c r="K720" t="s">
        <v>834</v>
      </c>
      <c r="L720" t="s">
        <v>0</v>
      </c>
      <c r="M720" t="str">
        <f t="shared" si="190"/>
        <v>048314</v>
      </c>
      <c r="N720">
        <v>1</v>
      </c>
      <c r="O720">
        <v>1</v>
      </c>
      <c r="P720" t="str">
        <f>"11"</f>
        <v>11</v>
      </c>
      <c r="Q720" t="s">
        <v>835</v>
      </c>
      <c r="S720" t="s">
        <v>836</v>
      </c>
      <c r="T720" t="s">
        <v>836</v>
      </c>
      <c r="U720" t="str">
        <f t="shared" si="195"/>
        <v>2500-12-31 00:00:00.0</v>
      </c>
      <c r="V720" t="s">
        <v>837</v>
      </c>
      <c r="W720" t="str">
        <f>"048314-004796-**-**"</f>
        <v>048314-004796-**-**</v>
      </c>
      <c r="X720" t="s">
        <v>838</v>
      </c>
      <c r="Y720">
        <v>1254.5</v>
      </c>
      <c r="Z720">
        <v>1254.5</v>
      </c>
      <c r="AA720" t="str">
        <f t="shared" si="197"/>
        <v>06/08/2016</v>
      </c>
    </row>
    <row r="721" spans="1:27" x14ac:dyDescent="0.3">
      <c r="A721" t="str">
        <f t="shared" si="194"/>
        <v>048314</v>
      </c>
      <c r="B721" t="str">
        <f t="shared" si="182"/>
        <v>004796</v>
      </c>
      <c r="C721" t="s">
        <v>1175</v>
      </c>
      <c r="D721" t="s">
        <v>3839</v>
      </c>
      <c r="E721" t="s">
        <v>3840</v>
      </c>
      <c r="F721" t="s">
        <v>3841</v>
      </c>
      <c r="G721" t="s">
        <v>3842</v>
      </c>
      <c r="H721" t="str">
        <f t="shared" si="196"/>
        <v>048314</v>
      </c>
      <c r="I721" t="s">
        <v>833</v>
      </c>
      <c r="J721" t="str">
        <f>"2015-07-01 00:00:00.0"</f>
        <v>2015-07-01 00:00:00.0</v>
      </c>
      <c r="K721" t="s">
        <v>834</v>
      </c>
      <c r="L721" t="s">
        <v>0</v>
      </c>
      <c r="M721" t="str">
        <f t="shared" si="190"/>
        <v>048314</v>
      </c>
      <c r="N721">
        <v>1</v>
      </c>
      <c r="O721">
        <v>1</v>
      </c>
      <c r="P721" t="str">
        <f>"12"</f>
        <v>12</v>
      </c>
      <c r="Q721" t="s">
        <v>835</v>
      </c>
      <c r="S721" t="s">
        <v>836</v>
      </c>
      <c r="T721" t="s">
        <v>836</v>
      </c>
      <c r="U721" t="str">
        <f t="shared" si="195"/>
        <v>2500-12-31 00:00:00.0</v>
      </c>
      <c r="V721" t="s">
        <v>837</v>
      </c>
      <c r="W721" t="str">
        <f>"048314-004796-12-SE"</f>
        <v>048314-004796-12-SE</v>
      </c>
      <c r="X721" t="s">
        <v>838</v>
      </c>
      <c r="Y721">
        <v>1254.5</v>
      </c>
      <c r="Z721">
        <v>1254.5</v>
      </c>
      <c r="AA721" t="str">
        <f t="shared" si="197"/>
        <v>06/08/2016</v>
      </c>
    </row>
    <row r="722" spans="1:27" x14ac:dyDescent="0.3">
      <c r="A722" t="str">
        <f t="shared" si="194"/>
        <v>048314</v>
      </c>
      <c r="B722" t="str">
        <f t="shared" si="182"/>
        <v>004796</v>
      </c>
      <c r="C722" t="s">
        <v>2260</v>
      </c>
      <c r="D722" t="s">
        <v>3839</v>
      </c>
      <c r="E722" t="s">
        <v>3840</v>
      </c>
      <c r="F722" t="s">
        <v>3841</v>
      </c>
      <c r="G722" t="s">
        <v>3842</v>
      </c>
      <c r="H722" t="str">
        <f t="shared" si="196"/>
        <v>048314</v>
      </c>
      <c r="I722" t="s">
        <v>833</v>
      </c>
      <c r="J722" t="str">
        <f>"2015-07-01 00:00:00.0"</f>
        <v>2015-07-01 00:00:00.0</v>
      </c>
      <c r="K722" t="s">
        <v>834</v>
      </c>
      <c r="L722" t="s">
        <v>0</v>
      </c>
      <c r="M722" t="str">
        <f t="shared" si="190"/>
        <v>048314</v>
      </c>
      <c r="N722">
        <v>1</v>
      </c>
      <c r="O722">
        <v>1</v>
      </c>
      <c r="P722" t="str">
        <f>"12"</f>
        <v>12</v>
      </c>
      <c r="Q722" t="str">
        <f>"01"</f>
        <v>01</v>
      </c>
      <c r="R722" t="str">
        <f>"5"</f>
        <v>5</v>
      </c>
      <c r="S722" t="s">
        <v>836</v>
      </c>
      <c r="T722" t="s">
        <v>836</v>
      </c>
      <c r="U722" t="str">
        <f t="shared" si="195"/>
        <v>2500-12-31 00:00:00.0</v>
      </c>
      <c r="V722" t="s">
        <v>837</v>
      </c>
      <c r="W722" t="str">
        <f>"048314-004796-12-SE"</f>
        <v>048314-004796-12-SE</v>
      </c>
      <c r="X722" t="s">
        <v>838</v>
      </c>
      <c r="Y722">
        <v>1254.5</v>
      </c>
      <c r="Z722">
        <v>1254.5</v>
      </c>
      <c r="AA722" t="str">
        <f t="shared" si="197"/>
        <v>06/08/2016</v>
      </c>
    </row>
    <row r="723" spans="1:27" x14ac:dyDescent="0.3">
      <c r="A723" t="str">
        <f t="shared" si="194"/>
        <v>048314</v>
      </c>
      <c r="B723" t="str">
        <f t="shared" si="182"/>
        <v>004796</v>
      </c>
      <c r="C723" t="s">
        <v>2015</v>
      </c>
      <c r="D723" t="s">
        <v>3839</v>
      </c>
      <c r="E723" t="s">
        <v>3840</v>
      </c>
      <c r="F723" t="s">
        <v>3841</v>
      </c>
      <c r="G723" t="s">
        <v>3842</v>
      </c>
      <c r="H723" t="str">
        <f t="shared" si="196"/>
        <v>048314</v>
      </c>
      <c r="I723" t="s">
        <v>833</v>
      </c>
      <c r="J723" t="str">
        <f>"2015-07-01 00:00:00.0"</f>
        <v>2015-07-01 00:00:00.0</v>
      </c>
      <c r="K723" t="s">
        <v>834</v>
      </c>
      <c r="L723" t="s">
        <v>0</v>
      </c>
      <c r="M723" t="str">
        <f t="shared" si="190"/>
        <v>048314</v>
      </c>
      <c r="N723">
        <v>1</v>
      </c>
      <c r="O723">
        <v>1</v>
      </c>
      <c r="P723" t="str">
        <f>"10"</f>
        <v>10</v>
      </c>
      <c r="Q723" t="s">
        <v>835</v>
      </c>
      <c r="S723" t="s">
        <v>836</v>
      </c>
      <c r="T723" t="s">
        <v>836</v>
      </c>
      <c r="U723" t="str">
        <f t="shared" si="195"/>
        <v>2500-12-31 00:00:00.0</v>
      </c>
      <c r="V723" t="s">
        <v>837</v>
      </c>
      <c r="W723" t="str">
        <f>"048314-004796-**-**"</f>
        <v>048314-004796-**-**</v>
      </c>
      <c r="X723" t="s">
        <v>838</v>
      </c>
      <c r="Y723">
        <v>1254.5</v>
      </c>
      <c r="Z723">
        <v>1254.5</v>
      </c>
      <c r="AA723" t="str">
        <f t="shared" si="197"/>
        <v>06/08/2016</v>
      </c>
    </row>
    <row r="724" spans="1:27" x14ac:dyDescent="0.3">
      <c r="A724" t="str">
        <f t="shared" si="194"/>
        <v>048314</v>
      </c>
      <c r="B724" t="str">
        <f t="shared" si="182"/>
        <v>004796</v>
      </c>
      <c r="C724" t="s">
        <v>1313</v>
      </c>
      <c r="D724" t="s">
        <v>3839</v>
      </c>
      <c r="E724" t="s">
        <v>3840</v>
      </c>
      <c r="F724" t="s">
        <v>3841</v>
      </c>
      <c r="G724" t="s">
        <v>3842</v>
      </c>
      <c r="H724" t="str">
        <f>"133413"</f>
        <v>133413</v>
      </c>
      <c r="I724" t="s">
        <v>833</v>
      </c>
      <c r="J724" t="str">
        <f>"2015-08-21 00:00:00.0"</f>
        <v>2015-08-21 00:00:00.0</v>
      </c>
      <c r="K724" t="s">
        <v>834</v>
      </c>
      <c r="L724" t="s">
        <v>2</v>
      </c>
      <c r="M724" t="str">
        <f t="shared" si="190"/>
        <v>048314</v>
      </c>
      <c r="N724">
        <v>1</v>
      </c>
      <c r="O724">
        <v>1</v>
      </c>
      <c r="P724" t="str">
        <f>"11"</f>
        <v>11</v>
      </c>
      <c r="Q724" t="s">
        <v>835</v>
      </c>
      <c r="S724" t="s">
        <v>860</v>
      </c>
      <c r="T724" t="s">
        <v>836</v>
      </c>
      <c r="U724" t="str">
        <f t="shared" si="195"/>
        <v>2500-12-31 00:00:00.0</v>
      </c>
      <c r="V724" t="s">
        <v>837</v>
      </c>
      <c r="W724" t="str">
        <f>"133413-133413-11-**"</f>
        <v>133413-133413-11-**</v>
      </c>
      <c r="X724" t="s">
        <v>865</v>
      </c>
      <c r="Y724">
        <v>921.29</v>
      </c>
      <c r="Z724">
        <v>921.29</v>
      </c>
      <c r="AA724" t="str">
        <f>"05/25/2016"</f>
        <v>05/25/2016</v>
      </c>
    </row>
    <row r="725" spans="1:27" x14ac:dyDescent="0.3">
      <c r="A725" t="str">
        <f t="shared" si="194"/>
        <v>048314</v>
      </c>
      <c r="B725" t="str">
        <f t="shared" si="182"/>
        <v>004796</v>
      </c>
      <c r="C725" t="s">
        <v>1368</v>
      </c>
      <c r="D725" t="s">
        <v>3839</v>
      </c>
      <c r="E725" t="s">
        <v>3840</v>
      </c>
      <c r="F725" t="s">
        <v>3841</v>
      </c>
      <c r="G725" t="s">
        <v>3842</v>
      </c>
      <c r="H725" t="str">
        <f t="shared" ref="H725:H734" si="198">"048314"</f>
        <v>048314</v>
      </c>
      <c r="I725" t="s">
        <v>833</v>
      </c>
      <c r="J725" t="str">
        <f t="shared" ref="J725:J736" si="199">"2015-07-01 00:00:00.0"</f>
        <v>2015-07-01 00:00:00.0</v>
      </c>
      <c r="K725" t="s">
        <v>834</v>
      </c>
      <c r="L725" t="s">
        <v>0</v>
      </c>
      <c r="M725" t="str">
        <f t="shared" si="190"/>
        <v>048314</v>
      </c>
      <c r="N725">
        <v>1</v>
      </c>
      <c r="O725">
        <v>1</v>
      </c>
      <c r="P725" t="str">
        <f>"11"</f>
        <v>11</v>
      </c>
      <c r="Q725" t="s">
        <v>835</v>
      </c>
      <c r="S725" t="s">
        <v>836</v>
      </c>
      <c r="T725" t="s">
        <v>836</v>
      </c>
      <c r="U725" t="str">
        <f t="shared" si="195"/>
        <v>2500-12-31 00:00:00.0</v>
      </c>
      <c r="V725" t="s">
        <v>837</v>
      </c>
      <c r="W725" t="str">
        <f>"048314-004796-**-**"</f>
        <v>048314-004796-**-**</v>
      </c>
      <c r="X725" t="s">
        <v>838</v>
      </c>
      <c r="Y725">
        <v>1254.5</v>
      </c>
      <c r="Z725">
        <v>1254.5</v>
      </c>
      <c r="AA725" t="str">
        <f t="shared" ref="AA725:AA734" si="200">"06/08/2016"</f>
        <v>06/08/2016</v>
      </c>
    </row>
    <row r="726" spans="1:27" x14ac:dyDescent="0.3">
      <c r="A726" t="str">
        <f t="shared" si="194"/>
        <v>048314</v>
      </c>
      <c r="B726" t="str">
        <f t="shared" si="182"/>
        <v>004796</v>
      </c>
      <c r="C726" t="s">
        <v>1557</v>
      </c>
      <c r="D726" t="s">
        <v>3839</v>
      </c>
      <c r="E726" t="s">
        <v>3840</v>
      </c>
      <c r="F726" t="s">
        <v>3841</v>
      </c>
      <c r="G726" t="s">
        <v>3842</v>
      </c>
      <c r="H726" t="str">
        <f t="shared" si="198"/>
        <v>048314</v>
      </c>
      <c r="I726" t="s">
        <v>833</v>
      </c>
      <c r="J726" t="str">
        <f t="shared" si="199"/>
        <v>2015-07-01 00:00:00.0</v>
      </c>
      <c r="K726" t="s">
        <v>834</v>
      </c>
      <c r="L726" t="s">
        <v>0</v>
      </c>
      <c r="M726" t="str">
        <f t="shared" si="190"/>
        <v>048314</v>
      </c>
      <c r="N726">
        <v>1</v>
      </c>
      <c r="O726">
        <v>1</v>
      </c>
      <c r="P726" t="str">
        <f>"10"</f>
        <v>10</v>
      </c>
      <c r="Q726" t="s">
        <v>835</v>
      </c>
      <c r="S726" t="s">
        <v>836</v>
      </c>
      <c r="T726" t="s">
        <v>836</v>
      </c>
      <c r="U726" t="str">
        <f t="shared" si="195"/>
        <v>2500-12-31 00:00:00.0</v>
      </c>
      <c r="V726" t="s">
        <v>837</v>
      </c>
      <c r="W726" t="str">
        <f>"048314-004796-**-**"</f>
        <v>048314-004796-**-**</v>
      </c>
      <c r="X726" t="s">
        <v>838</v>
      </c>
      <c r="Y726">
        <v>1254.5</v>
      </c>
      <c r="Z726">
        <v>1254.5</v>
      </c>
      <c r="AA726" t="str">
        <f t="shared" si="200"/>
        <v>06/08/2016</v>
      </c>
    </row>
    <row r="727" spans="1:27" x14ac:dyDescent="0.3">
      <c r="A727" t="str">
        <f t="shared" si="194"/>
        <v>048314</v>
      </c>
      <c r="B727" t="str">
        <f t="shared" si="182"/>
        <v>004796</v>
      </c>
      <c r="C727" t="s">
        <v>2318</v>
      </c>
      <c r="D727" t="s">
        <v>3839</v>
      </c>
      <c r="E727" t="s">
        <v>3840</v>
      </c>
      <c r="F727" t="s">
        <v>3841</v>
      </c>
      <c r="G727" t="s">
        <v>3842</v>
      </c>
      <c r="H727" t="str">
        <f t="shared" si="198"/>
        <v>048314</v>
      </c>
      <c r="I727" t="s">
        <v>833</v>
      </c>
      <c r="J727" t="str">
        <f t="shared" si="199"/>
        <v>2015-07-01 00:00:00.0</v>
      </c>
      <c r="K727" t="s">
        <v>834</v>
      </c>
      <c r="L727" t="s">
        <v>0</v>
      </c>
      <c r="M727" t="str">
        <f t="shared" si="190"/>
        <v>048314</v>
      </c>
      <c r="N727">
        <v>1</v>
      </c>
      <c r="O727">
        <v>1</v>
      </c>
      <c r="P727" t="str">
        <f>"10"</f>
        <v>10</v>
      </c>
      <c r="Q727" t="s">
        <v>835</v>
      </c>
      <c r="S727" t="s">
        <v>836</v>
      </c>
      <c r="T727" t="s">
        <v>836</v>
      </c>
      <c r="U727" t="str">
        <f t="shared" si="195"/>
        <v>2500-12-31 00:00:00.0</v>
      </c>
      <c r="V727" t="s">
        <v>837</v>
      </c>
      <c r="W727" t="str">
        <f>"048314-004796-**-**"</f>
        <v>048314-004796-**-**</v>
      </c>
      <c r="X727" t="s">
        <v>838</v>
      </c>
      <c r="Y727">
        <v>1254.5</v>
      </c>
      <c r="Z727">
        <v>1254.5</v>
      </c>
      <c r="AA727" t="str">
        <f t="shared" si="200"/>
        <v>06/08/2016</v>
      </c>
    </row>
    <row r="728" spans="1:27" x14ac:dyDescent="0.3">
      <c r="A728" t="str">
        <f t="shared" si="194"/>
        <v>048314</v>
      </c>
      <c r="B728" t="str">
        <f t="shared" si="182"/>
        <v>004796</v>
      </c>
      <c r="C728" t="s">
        <v>1771</v>
      </c>
      <c r="D728" t="s">
        <v>3839</v>
      </c>
      <c r="E728" t="s">
        <v>3840</v>
      </c>
      <c r="F728" t="s">
        <v>3841</v>
      </c>
      <c r="G728" t="s">
        <v>3842</v>
      </c>
      <c r="H728" t="str">
        <f t="shared" si="198"/>
        <v>048314</v>
      </c>
      <c r="I728" t="s">
        <v>833</v>
      </c>
      <c r="J728" t="str">
        <f t="shared" si="199"/>
        <v>2015-07-01 00:00:00.0</v>
      </c>
      <c r="K728" t="s">
        <v>834</v>
      </c>
      <c r="L728" t="s">
        <v>0</v>
      </c>
      <c r="M728" t="str">
        <f t="shared" si="190"/>
        <v>048314</v>
      </c>
      <c r="N728">
        <v>1</v>
      </c>
      <c r="O728">
        <v>1</v>
      </c>
      <c r="P728" t="str">
        <f>"11"</f>
        <v>11</v>
      </c>
      <c r="Q728" t="s">
        <v>835</v>
      </c>
      <c r="S728" t="s">
        <v>836</v>
      </c>
      <c r="T728" t="s">
        <v>836</v>
      </c>
      <c r="U728" t="str">
        <f t="shared" si="195"/>
        <v>2500-12-31 00:00:00.0</v>
      </c>
      <c r="V728" t="s">
        <v>837</v>
      </c>
      <c r="W728" t="str">
        <f>"048314-004796-**-**"</f>
        <v>048314-004796-**-**</v>
      </c>
      <c r="X728" t="s">
        <v>838</v>
      </c>
      <c r="Y728">
        <v>1254.5</v>
      </c>
      <c r="Z728">
        <v>1254.5</v>
      </c>
      <c r="AA728" t="str">
        <f t="shared" si="200"/>
        <v>06/08/2016</v>
      </c>
    </row>
    <row r="729" spans="1:27" x14ac:dyDescent="0.3">
      <c r="A729" t="str">
        <f t="shared" si="194"/>
        <v>048314</v>
      </c>
      <c r="B729" t="str">
        <f t="shared" si="182"/>
        <v>004796</v>
      </c>
      <c r="C729" t="s">
        <v>2064</v>
      </c>
      <c r="D729" t="s">
        <v>3839</v>
      </c>
      <c r="E729" t="s">
        <v>3840</v>
      </c>
      <c r="F729" t="s">
        <v>3841</v>
      </c>
      <c r="G729" t="s">
        <v>3842</v>
      </c>
      <c r="H729" t="str">
        <f t="shared" si="198"/>
        <v>048314</v>
      </c>
      <c r="I729" t="s">
        <v>833</v>
      </c>
      <c r="J729" t="str">
        <f t="shared" si="199"/>
        <v>2015-07-01 00:00:00.0</v>
      </c>
      <c r="K729" t="s">
        <v>834</v>
      </c>
      <c r="L729" t="s">
        <v>0</v>
      </c>
      <c r="M729" t="str">
        <f t="shared" si="190"/>
        <v>048314</v>
      </c>
      <c r="N729">
        <v>1</v>
      </c>
      <c r="O729">
        <v>1</v>
      </c>
      <c r="P729" t="str">
        <f>"12"</f>
        <v>12</v>
      </c>
      <c r="Q729" t="s">
        <v>835</v>
      </c>
      <c r="S729" t="s">
        <v>836</v>
      </c>
      <c r="T729" t="s">
        <v>836</v>
      </c>
      <c r="U729" t="str">
        <f t="shared" si="195"/>
        <v>2500-12-31 00:00:00.0</v>
      </c>
      <c r="V729" t="s">
        <v>837</v>
      </c>
      <c r="W729" t="str">
        <f>"048314-004796-12-SE"</f>
        <v>048314-004796-12-SE</v>
      </c>
      <c r="X729" t="s">
        <v>838</v>
      </c>
      <c r="Y729">
        <v>1254.5</v>
      </c>
      <c r="Z729">
        <v>1254.5</v>
      </c>
      <c r="AA729" t="str">
        <f t="shared" si="200"/>
        <v>06/08/2016</v>
      </c>
    </row>
    <row r="730" spans="1:27" x14ac:dyDescent="0.3">
      <c r="A730" t="str">
        <f t="shared" si="194"/>
        <v>048314</v>
      </c>
      <c r="B730" t="str">
        <f t="shared" si="182"/>
        <v>004796</v>
      </c>
      <c r="C730" t="s">
        <v>1403</v>
      </c>
      <c r="D730" t="s">
        <v>3839</v>
      </c>
      <c r="E730" t="s">
        <v>3840</v>
      </c>
      <c r="F730" t="s">
        <v>3841</v>
      </c>
      <c r="G730" t="s">
        <v>3842</v>
      </c>
      <c r="H730" t="str">
        <f t="shared" si="198"/>
        <v>048314</v>
      </c>
      <c r="I730" t="s">
        <v>833</v>
      </c>
      <c r="J730" t="str">
        <f t="shared" si="199"/>
        <v>2015-07-01 00:00:00.0</v>
      </c>
      <c r="K730" t="s">
        <v>834</v>
      </c>
      <c r="L730" t="s">
        <v>0</v>
      </c>
      <c r="M730" t="str">
        <f t="shared" si="190"/>
        <v>048314</v>
      </c>
      <c r="N730">
        <v>1</v>
      </c>
      <c r="O730">
        <v>1</v>
      </c>
      <c r="P730" t="str">
        <f>"11"</f>
        <v>11</v>
      </c>
      <c r="Q730" t="s">
        <v>835</v>
      </c>
      <c r="S730" t="s">
        <v>836</v>
      </c>
      <c r="T730" t="s">
        <v>836</v>
      </c>
      <c r="U730" t="str">
        <f t="shared" si="195"/>
        <v>2500-12-31 00:00:00.0</v>
      </c>
      <c r="V730" t="s">
        <v>837</v>
      </c>
      <c r="W730" t="str">
        <f>"048314-004796-**-**"</f>
        <v>048314-004796-**-**</v>
      </c>
      <c r="X730" t="s">
        <v>838</v>
      </c>
      <c r="Y730">
        <v>1254.5</v>
      </c>
      <c r="Z730">
        <v>1254.5</v>
      </c>
      <c r="AA730" t="str">
        <f t="shared" si="200"/>
        <v>06/08/2016</v>
      </c>
    </row>
    <row r="731" spans="1:27" x14ac:dyDescent="0.3">
      <c r="A731" t="str">
        <f t="shared" si="194"/>
        <v>048314</v>
      </c>
      <c r="B731" t="str">
        <f t="shared" si="182"/>
        <v>004796</v>
      </c>
      <c r="C731" t="s">
        <v>1089</v>
      </c>
      <c r="D731" t="s">
        <v>3839</v>
      </c>
      <c r="E731" t="s">
        <v>3840</v>
      </c>
      <c r="F731" t="s">
        <v>3841</v>
      </c>
      <c r="G731" t="s">
        <v>3842</v>
      </c>
      <c r="H731" t="str">
        <f t="shared" si="198"/>
        <v>048314</v>
      </c>
      <c r="I731" t="s">
        <v>833</v>
      </c>
      <c r="J731" t="str">
        <f t="shared" si="199"/>
        <v>2015-07-01 00:00:00.0</v>
      </c>
      <c r="K731" t="s">
        <v>834</v>
      </c>
      <c r="L731" t="s">
        <v>0</v>
      </c>
      <c r="M731" t="str">
        <f t="shared" si="190"/>
        <v>048314</v>
      </c>
      <c r="N731">
        <v>1</v>
      </c>
      <c r="O731">
        <v>1</v>
      </c>
      <c r="P731" t="str">
        <f>"12"</f>
        <v>12</v>
      </c>
      <c r="Q731" t="s">
        <v>835</v>
      </c>
      <c r="S731" t="s">
        <v>836</v>
      </c>
      <c r="T731" t="s">
        <v>836</v>
      </c>
      <c r="U731" t="str">
        <f t="shared" si="195"/>
        <v>2500-12-31 00:00:00.0</v>
      </c>
      <c r="V731" t="s">
        <v>837</v>
      </c>
      <c r="W731" t="str">
        <f>"048314-004796-12-SE"</f>
        <v>048314-004796-12-SE</v>
      </c>
      <c r="X731" t="s">
        <v>838</v>
      </c>
      <c r="Y731">
        <v>1254.5</v>
      </c>
      <c r="Z731">
        <v>1254.5</v>
      </c>
      <c r="AA731" t="str">
        <f t="shared" si="200"/>
        <v>06/08/2016</v>
      </c>
    </row>
    <row r="732" spans="1:27" x14ac:dyDescent="0.3">
      <c r="A732" t="str">
        <f t="shared" si="194"/>
        <v>048314</v>
      </c>
      <c r="B732" t="str">
        <f t="shared" si="182"/>
        <v>004796</v>
      </c>
      <c r="C732" t="s">
        <v>1576</v>
      </c>
      <c r="D732" t="s">
        <v>3839</v>
      </c>
      <c r="E732" t="s">
        <v>3840</v>
      </c>
      <c r="F732" t="s">
        <v>3841</v>
      </c>
      <c r="G732" t="s">
        <v>3842</v>
      </c>
      <c r="H732" t="str">
        <f t="shared" si="198"/>
        <v>048314</v>
      </c>
      <c r="I732" t="s">
        <v>833</v>
      </c>
      <c r="J732" t="str">
        <f t="shared" si="199"/>
        <v>2015-07-01 00:00:00.0</v>
      </c>
      <c r="K732" t="s">
        <v>834</v>
      </c>
      <c r="L732" t="s">
        <v>0</v>
      </c>
      <c r="M732" t="str">
        <f t="shared" si="190"/>
        <v>048314</v>
      </c>
      <c r="N732">
        <v>1</v>
      </c>
      <c r="O732">
        <v>1</v>
      </c>
      <c r="P732" t="str">
        <f>"10"</f>
        <v>10</v>
      </c>
      <c r="Q732" t="s">
        <v>835</v>
      </c>
      <c r="S732" t="s">
        <v>836</v>
      </c>
      <c r="T732" t="s">
        <v>836</v>
      </c>
      <c r="U732" t="str">
        <f t="shared" si="195"/>
        <v>2500-12-31 00:00:00.0</v>
      </c>
      <c r="V732" t="s">
        <v>837</v>
      </c>
      <c r="W732" t="str">
        <f>"048314-004796-**-**"</f>
        <v>048314-004796-**-**</v>
      </c>
      <c r="X732" t="s">
        <v>838</v>
      </c>
      <c r="Y732">
        <v>1254.5</v>
      </c>
      <c r="Z732">
        <v>1254.5</v>
      </c>
      <c r="AA732" t="str">
        <f t="shared" si="200"/>
        <v>06/08/2016</v>
      </c>
    </row>
    <row r="733" spans="1:27" x14ac:dyDescent="0.3">
      <c r="A733" t="str">
        <f t="shared" si="194"/>
        <v>048314</v>
      </c>
      <c r="B733" t="str">
        <f t="shared" si="182"/>
        <v>004796</v>
      </c>
      <c r="C733" t="s">
        <v>1539</v>
      </c>
      <c r="D733" t="s">
        <v>3839</v>
      </c>
      <c r="E733" t="s">
        <v>3840</v>
      </c>
      <c r="F733" t="s">
        <v>3841</v>
      </c>
      <c r="G733" t="s">
        <v>3842</v>
      </c>
      <c r="H733" t="str">
        <f t="shared" si="198"/>
        <v>048314</v>
      </c>
      <c r="I733" t="s">
        <v>833</v>
      </c>
      <c r="J733" t="str">
        <f t="shared" si="199"/>
        <v>2015-07-01 00:00:00.0</v>
      </c>
      <c r="K733" t="s">
        <v>834</v>
      </c>
      <c r="L733" t="s">
        <v>0</v>
      </c>
      <c r="M733" t="str">
        <f t="shared" si="190"/>
        <v>048314</v>
      </c>
      <c r="N733">
        <v>1</v>
      </c>
      <c r="O733">
        <v>1</v>
      </c>
      <c r="P733" t="str">
        <f>"10"</f>
        <v>10</v>
      </c>
      <c r="Q733" t="s">
        <v>835</v>
      </c>
      <c r="S733" t="s">
        <v>836</v>
      </c>
      <c r="T733" t="s">
        <v>836</v>
      </c>
      <c r="U733" t="str">
        <f t="shared" si="195"/>
        <v>2500-12-31 00:00:00.0</v>
      </c>
      <c r="V733" t="s">
        <v>837</v>
      </c>
      <c r="W733" t="str">
        <f>"048314-004796-**-**"</f>
        <v>048314-004796-**-**</v>
      </c>
      <c r="X733" t="s">
        <v>838</v>
      </c>
      <c r="Y733">
        <v>1254.5</v>
      </c>
      <c r="Z733">
        <v>1254.5</v>
      </c>
      <c r="AA733" t="str">
        <f t="shared" si="200"/>
        <v>06/08/2016</v>
      </c>
    </row>
    <row r="734" spans="1:27" x14ac:dyDescent="0.3">
      <c r="A734" t="str">
        <f t="shared" si="194"/>
        <v>048314</v>
      </c>
      <c r="B734" t="str">
        <f t="shared" si="182"/>
        <v>004796</v>
      </c>
      <c r="C734" t="s">
        <v>1577</v>
      </c>
      <c r="D734" t="s">
        <v>3839</v>
      </c>
      <c r="E734" t="s">
        <v>3840</v>
      </c>
      <c r="F734" t="s">
        <v>3841</v>
      </c>
      <c r="G734" t="s">
        <v>3842</v>
      </c>
      <c r="H734" t="str">
        <f t="shared" si="198"/>
        <v>048314</v>
      </c>
      <c r="I734" t="s">
        <v>833</v>
      </c>
      <c r="J734" t="str">
        <f t="shared" si="199"/>
        <v>2015-07-01 00:00:00.0</v>
      </c>
      <c r="K734" t="s">
        <v>834</v>
      </c>
      <c r="L734" t="s">
        <v>0</v>
      </c>
      <c r="M734" t="str">
        <f t="shared" si="190"/>
        <v>048314</v>
      </c>
      <c r="N734">
        <v>1</v>
      </c>
      <c r="O734">
        <v>1</v>
      </c>
      <c r="P734" t="str">
        <f>"10"</f>
        <v>10</v>
      </c>
      <c r="Q734" t="s">
        <v>835</v>
      </c>
      <c r="S734" t="s">
        <v>836</v>
      </c>
      <c r="T734" t="s">
        <v>836</v>
      </c>
      <c r="U734" t="str">
        <f t="shared" si="195"/>
        <v>2500-12-31 00:00:00.0</v>
      </c>
      <c r="V734" t="s">
        <v>837</v>
      </c>
      <c r="W734" t="str">
        <f>"048314-004796-**-**"</f>
        <v>048314-004796-**-**</v>
      </c>
      <c r="X734" t="s">
        <v>838</v>
      </c>
      <c r="Y734">
        <v>1254.5</v>
      </c>
      <c r="Z734">
        <v>1254.5</v>
      </c>
      <c r="AA734" t="str">
        <f t="shared" si="200"/>
        <v>06/08/2016</v>
      </c>
    </row>
    <row r="735" spans="1:27" x14ac:dyDescent="0.3">
      <c r="A735" t="str">
        <f t="shared" si="194"/>
        <v>048314</v>
      </c>
      <c r="B735" t="str">
        <f t="shared" si="182"/>
        <v>004796</v>
      </c>
      <c r="C735" t="s">
        <v>1798</v>
      </c>
      <c r="D735" t="s">
        <v>3839</v>
      </c>
      <c r="E735" t="s">
        <v>3840</v>
      </c>
      <c r="F735" t="s">
        <v>3841</v>
      </c>
      <c r="G735" t="s">
        <v>3842</v>
      </c>
      <c r="H735" t="str">
        <f>"014231"</f>
        <v>014231</v>
      </c>
      <c r="I735" t="s">
        <v>833</v>
      </c>
      <c r="J735" t="str">
        <f t="shared" si="199"/>
        <v>2015-07-01 00:00:00.0</v>
      </c>
      <c r="K735" t="s">
        <v>834</v>
      </c>
      <c r="L735" t="s">
        <v>99</v>
      </c>
      <c r="M735" t="str">
        <f t="shared" si="190"/>
        <v>048314</v>
      </c>
      <c r="N735">
        <v>1</v>
      </c>
      <c r="O735">
        <v>1</v>
      </c>
      <c r="P735" t="str">
        <f>"10"</f>
        <v>10</v>
      </c>
      <c r="Q735" t="s">
        <v>835</v>
      </c>
      <c r="S735" t="s">
        <v>836</v>
      </c>
      <c r="T735" t="s">
        <v>836</v>
      </c>
      <c r="U735" t="str">
        <f t="shared" si="195"/>
        <v>2500-12-31 00:00:00.0</v>
      </c>
      <c r="V735" t="s">
        <v>837</v>
      </c>
      <c r="W735" t="str">
        <f>"014231-014231-10-**"</f>
        <v>014231-014231-10-**</v>
      </c>
      <c r="X735" t="s">
        <v>1799</v>
      </c>
      <c r="Y735">
        <v>1231.25</v>
      </c>
      <c r="Z735">
        <v>1231.25</v>
      </c>
      <c r="AA735" t="str">
        <f>"05/25/2016"</f>
        <v>05/25/2016</v>
      </c>
    </row>
    <row r="736" spans="1:27" x14ac:dyDescent="0.3">
      <c r="A736" t="str">
        <f t="shared" si="194"/>
        <v>048314</v>
      </c>
      <c r="B736" t="str">
        <f t="shared" si="182"/>
        <v>004796</v>
      </c>
      <c r="C736" t="s">
        <v>1772</v>
      </c>
      <c r="D736" t="s">
        <v>3839</v>
      </c>
      <c r="E736" t="s">
        <v>3840</v>
      </c>
      <c r="F736" t="s">
        <v>3841</v>
      </c>
      <c r="G736" t="s">
        <v>3842</v>
      </c>
      <c r="H736" t="str">
        <f t="shared" ref="H736:H752" si="201">"048314"</f>
        <v>048314</v>
      </c>
      <c r="I736" t="s">
        <v>833</v>
      </c>
      <c r="J736" t="str">
        <f t="shared" si="199"/>
        <v>2015-07-01 00:00:00.0</v>
      </c>
      <c r="K736" t="s">
        <v>834</v>
      </c>
      <c r="L736" t="s">
        <v>0</v>
      </c>
      <c r="M736" t="str">
        <f t="shared" si="190"/>
        <v>048314</v>
      </c>
      <c r="N736">
        <v>1</v>
      </c>
      <c r="O736">
        <v>1</v>
      </c>
      <c r="P736" t="str">
        <f>"11"</f>
        <v>11</v>
      </c>
      <c r="Q736" t="s">
        <v>835</v>
      </c>
      <c r="S736" t="s">
        <v>836</v>
      </c>
      <c r="T736" t="s">
        <v>836</v>
      </c>
      <c r="U736" t="str">
        <f t="shared" si="195"/>
        <v>2500-12-31 00:00:00.0</v>
      </c>
      <c r="V736" t="s">
        <v>837</v>
      </c>
      <c r="W736" t="str">
        <f>"048314-004796-**-**"</f>
        <v>048314-004796-**-**</v>
      </c>
      <c r="X736" t="s">
        <v>838</v>
      </c>
      <c r="Y736">
        <v>1254.5</v>
      </c>
      <c r="Z736">
        <v>1254.5</v>
      </c>
      <c r="AA736" t="str">
        <f t="shared" ref="AA736:AA752" si="202">"06/08/2016"</f>
        <v>06/08/2016</v>
      </c>
    </row>
    <row r="737" spans="1:27" x14ac:dyDescent="0.3">
      <c r="A737" t="str">
        <f t="shared" si="194"/>
        <v>048314</v>
      </c>
      <c r="B737" t="str">
        <f t="shared" si="182"/>
        <v>004796</v>
      </c>
      <c r="C737" t="s">
        <v>1106</v>
      </c>
      <c r="D737" t="s">
        <v>3839</v>
      </c>
      <c r="E737" t="s">
        <v>3840</v>
      </c>
      <c r="F737" t="s">
        <v>3841</v>
      </c>
      <c r="G737" t="s">
        <v>3842</v>
      </c>
      <c r="H737" t="str">
        <f t="shared" si="201"/>
        <v>048314</v>
      </c>
      <c r="I737" t="s">
        <v>833</v>
      </c>
      <c r="J737" t="str">
        <f>"2015-08-31 00:00:00.0"</f>
        <v>2015-08-31 00:00:00.0</v>
      </c>
      <c r="K737" t="s">
        <v>834</v>
      </c>
      <c r="L737" t="s">
        <v>0</v>
      </c>
      <c r="M737" t="str">
        <f t="shared" si="190"/>
        <v>048314</v>
      </c>
      <c r="N737">
        <v>1</v>
      </c>
      <c r="O737">
        <v>1</v>
      </c>
      <c r="P737" t="str">
        <f>"12"</f>
        <v>12</v>
      </c>
      <c r="Q737" t="s">
        <v>835</v>
      </c>
      <c r="S737" t="s">
        <v>836</v>
      </c>
      <c r="T737" t="s">
        <v>836</v>
      </c>
      <c r="U737" t="str">
        <f t="shared" si="195"/>
        <v>2500-12-31 00:00:00.0</v>
      </c>
      <c r="V737" t="s">
        <v>837</v>
      </c>
      <c r="W737" t="str">
        <f>"048314-004796-12-SE"</f>
        <v>048314-004796-12-SE</v>
      </c>
      <c r="X737" t="s">
        <v>838</v>
      </c>
      <c r="Y737">
        <v>1254.5</v>
      </c>
      <c r="Z737">
        <v>1254.5</v>
      </c>
      <c r="AA737" t="str">
        <f t="shared" si="202"/>
        <v>06/08/2016</v>
      </c>
    </row>
    <row r="738" spans="1:27" x14ac:dyDescent="0.3">
      <c r="A738" t="str">
        <f t="shared" si="194"/>
        <v>048314</v>
      </c>
      <c r="B738" t="str">
        <f t="shared" si="182"/>
        <v>004796</v>
      </c>
      <c r="C738" t="s">
        <v>1125</v>
      </c>
      <c r="D738" t="s">
        <v>3839</v>
      </c>
      <c r="E738" t="s">
        <v>3840</v>
      </c>
      <c r="F738" t="s">
        <v>3841</v>
      </c>
      <c r="G738" t="s">
        <v>3842</v>
      </c>
      <c r="H738" t="str">
        <f t="shared" si="201"/>
        <v>048314</v>
      </c>
      <c r="I738" t="s">
        <v>833</v>
      </c>
      <c r="J738" t="str">
        <f>"2015-07-01 00:00:00.0"</f>
        <v>2015-07-01 00:00:00.0</v>
      </c>
      <c r="K738" t="s">
        <v>834</v>
      </c>
      <c r="L738" t="s">
        <v>0</v>
      </c>
      <c r="M738" t="str">
        <f t="shared" si="190"/>
        <v>048314</v>
      </c>
      <c r="N738">
        <v>1</v>
      </c>
      <c r="O738">
        <v>1</v>
      </c>
      <c r="P738" t="str">
        <f>"12"</f>
        <v>12</v>
      </c>
      <c r="Q738" t="s">
        <v>835</v>
      </c>
      <c r="S738" t="s">
        <v>836</v>
      </c>
      <c r="T738" t="s">
        <v>836</v>
      </c>
      <c r="U738" t="str">
        <f t="shared" si="195"/>
        <v>2500-12-31 00:00:00.0</v>
      </c>
      <c r="V738" t="s">
        <v>837</v>
      </c>
      <c r="W738" t="str">
        <f>"048314-004796-12-SE"</f>
        <v>048314-004796-12-SE</v>
      </c>
      <c r="X738" t="s">
        <v>838</v>
      </c>
      <c r="Y738">
        <v>1254.5</v>
      </c>
      <c r="Z738">
        <v>1254.5</v>
      </c>
      <c r="AA738" t="str">
        <f t="shared" si="202"/>
        <v>06/08/2016</v>
      </c>
    </row>
    <row r="739" spans="1:27" x14ac:dyDescent="0.3">
      <c r="A739" t="str">
        <f t="shared" si="194"/>
        <v>048314</v>
      </c>
      <c r="B739" t="str">
        <f t="shared" si="182"/>
        <v>004796</v>
      </c>
      <c r="C739" t="s">
        <v>3454</v>
      </c>
      <c r="D739" t="s">
        <v>3839</v>
      </c>
      <c r="E739" t="s">
        <v>3840</v>
      </c>
      <c r="F739" t="s">
        <v>3841</v>
      </c>
      <c r="G739" t="s">
        <v>3842</v>
      </c>
      <c r="H739" t="str">
        <f t="shared" si="201"/>
        <v>048314</v>
      </c>
      <c r="I739" t="s">
        <v>833</v>
      </c>
      <c r="J739" t="str">
        <f>"2015-08-31 00:00:00.0"</f>
        <v>2015-08-31 00:00:00.0</v>
      </c>
      <c r="K739" t="s">
        <v>834</v>
      </c>
      <c r="L739" t="s">
        <v>0</v>
      </c>
      <c r="M739" t="str">
        <f t="shared" si="190"/>
        <v>048314</v>
      </c>
      <c r="N739">
        <v>0.5</v>
      </c>
      <c r="O739">
        <v>0.5</v>
      </c>
      <c r="P739" t="str">
        <f>"12"</f>
        <v>12</v>
      </c>
      <c r="Q739" t="s">
        <v>835</v>
      </c>
      <c r="S739" t="s">
        <v>836</v>
      </c>
      <c r="T739" t="s">
        <v>836</v>
      </c>
      <c r="U739" t="str">
        <f t="shared" si="195"/>
        <v>2500-12-31 00:00:00.0</v>
      </c>
      <c r="V739" t="s">
        <v>837</v>
      </c>
      <c r="W739" t="str">
        <f>"048314-004796-12-SE"</f>
        <v>048314-004796-12-SE</v>
      </c>
      <c r="X739" t="s">
        <v>838</v>
      </c>
      <c r="Y739">
        <v>627.25</v>
      </c>
      <c r="Z739">
        <v>1254.5</v>
      </c>
      <c r="AA739" t="str">
        <f t="shared" si="202"/>
        <v>06/08/2016</v>
      </c>
    </row>
    <row r="740" spans="1:27" x14ac:dyDescent="0.3">
      <c r="A740" t="str">
        <f t="shared" si="194"/>
        <v>048314</v>
      </c>
      <c r="B740" t="str">
        <f t="shared" si="182"/>
        <v>004796</v>
      </c>
      <c r="C740" t="s">
        <v>1218</v>
      </c>
      <c r="D740" t="s">
        <v>3839</v>
      </c>
      <c r="E740" t="s">
        <v>3840</v>
      </c>
      <c r="F740" t="s">
        <v>3841</v>
      </c>
      <c r="G740" t="s">
        <v>3842</v>
      </c>
      <c r="H740" t="str">
        <f t="shared" si="201"/>
        <v>048314</v>
      </c>
      <c r="I740" t="s">
        <v>833</v>
      </c>
      <c r="J740" t="str">
        <f>"2015-07-01 00:00:00.0"</f>
        <v>2015-07-01 00:00:00.0</v>
      </c>
      <c r="K740" t="s">
        <v>834</v>
      </c>
      <c r="L740" t="s">
        <v>0</v>
      </c>
      <c r="M740" t="str">
        <f t="shared" si="190"/>
        <v>048314</v>
      </c>
      <c r="N740">
        <v>1</v>
      </c>
      <c r="O740">
        <v>1</v>
      </c>
      <c r="P740" t="str">
        <f>"12"</f>
        <v>12</v>
      </c>
      <c r="Q740" t="s">
        <v>835</v>
      </c>
      <c r="S740" t="s">
        <v>836</v>
      </c>
      <c r="T740" t="s">
        <v>836</v>
      </c>
      <c r="U740" t="str">
        <f t="shared" si="195"/>
        <v>2500-12-31 00:00:00.0</v>
      </c>
      <c r="V740" t="s">
        <v>837</v>
      </c>
      <c r="W740" t="str">
        <f>"048314-004796-12-SE"</f>
        <v>048314-004796-12-SE</v>
      </c>
      <c r="X740" t="s">
        <v>838</v>
      </c>
      <c r="Y740">
        <v>1254.5</v>
      </c>
      <c r="Z740">
        <v>1254.5</v>
      </c>
      <c r="AA740" t="str">
        <f t="shared" si="202"/>
        <v>06/08/2016</v>
      </c>
    </row>
    <row r="741" spans="1:27" x14ac:dyDescent="0.3">
      <c r="A741" t="str">
        <f t="shared" si="194"/>
        <v>048314</v>
      </c>
      <c r="B741" t="str">
        <f t="shared" si="182"/>
        <v>004796</v>
      </c>
      <c r="C741" t="s">
        <v>2793</v>
      </c>
      <c r="D741" t="s">
        <v>3839</v>
      </c>
      <c r="E741" t="s">
        <v>3840</v>
      </c>
      <c r="F741" t="s">
        <v>3841</v>
      </c>
      <c r="G741" t="s">
        <v>3842</v>
      </c>
      <c r="H741" t="str">
        <f t="shared" si="201"/>
        <v>048314</v>
      </c>
      <c r="I741" t="s">
        <v>833</v>
      </c>
      <c r="J741" t="str">
        <f>"2015-08-31 00:00:00.0"</f>
        <v>2015-08-31 00:00:00.0</v>
      </c>
      <c r="K741" t="s">
        <v>834</v>
      </c>
      <c r="L741" t="s">
        <v>0</v>
      </c>
      <c r="M741" t="str">
        <f t="shared" si="190"/>
        <v>048314</v>
      </c>
      <c r="N741">
        <v>1</v>
      </c>
      <c r="O741">
        <v>1</v>
      </c>
      <c r="P741" t="str">
        <f>"12"</f>
        <v>12</v>
      </c>
      <c r="Q741" t="s">
        <v>835</v>
      </c>
      <c r="S741" t="s">
        <v>860</v>
      </c>
      <c r="T741" t="s">
        <v>836</v>
      </c>
      <c r="U741" t="str">
        <f t="shared" si="195"/>
        <v>2500-12-31 00:00:00.0</v>
      </c>
      <c r="V741" t="s">
        <v>837</v>
      </c>
      <c r="W741" t="str">
        <f>"048314-004796-12-SE"</f>
        <v>048314-004796-12-SE</v>
      </c>
      <c r="X741" t="s">
        <v>838</v>
      </c>
      <c r="Y741">
        <v>1254.5</v>
      </c>
      <c r="Z741">
        <v>1254.5</v>
      </c>
      <c r="AA741" t="str">
        <f t="shared" si="202"/>
        <v>06/08/2016</v>
      </c>
    </row>
    <row r="742" spans="1:27" x14ac:dyDescent="0.3">
      <c r="A742" t="str">
        <f t="shared" si="194"/>
        <v>048314</v>
      </c>
      <c r="B742" t="str">
        <f t="shared" si="182"/>
        <v>004796</v>
      </c>
      <c r="C742" t="s">
        <v>1773</v>
      </c>
      <c r="D742" t="s">
        <v>3839</v>
      </c>
      <c r="E742" t="s">
        <v>3840</v>
      </c>
      <c r="F742" t="s">
        <v>3841</v>
      </c>
      <c r="G742" t="s">
        <v>3842</v>
      </c>
      <c r="H742" t="str">
        <f t="shared" si="201"/>
        <v>048314</v>
      </c>
      <c r="I742" t="s">
        <v>833</v>
      </c>
      <c r="J742" t="str">
        <f t="shared" ref="J742:J752" si="203">"2015-07-01 00:00:00.0"</f>
        <v>2015-07-01 00:00:00.0</v>
      </c>
      <c r="K742" t="s">
        <v>834</v>
      </c>
      <c r="L742" t="s">
        <v>0</v>
      </c>
      <c r="M742" t="str">
        <f t="shared" si="190"/>
        <v>048314</v>
      </c>
      <c r="N742">
        <v>1</v>
      </c>
      <c r="O742">
        <v>1</v>
      </c>
      <c r="P742" t="str">
        <f>"11"</f>
        <v>11</v>
      </c>
      <c r="Q742" t="s">
        <v>835</v>
      </c>
      <c r="S742" t="s">
        <v>836</v>
      </c>
      <c r="T742" t="s">
        <v>836</v>
      </c>
      <c r="U742" t="str">
        <f t="shared" si="195"/>
        <v>2500-12-31 00:00:00.0</v>
      </c>
      <c r="V742" t="s">
        <v>837</v>
      </c>
      <c r="W742" t="str">
        <f t="shared" ref="W742:W752" si="204">"048314-004796-**-**"</f>
        <v>048314-004796-**-**</v>
      </c>
      <c r="X742" t="s">
        <v>838</v>
      </c>
      <c r="Y742">
        <v>1254.5</v>
      </c>
      <c r="Z742">
        <v>1254.5</v>
      </c>
      <c r="AA742" t="str">
        <f t="shared" si="202"/>
        <v>06/08/2016</v>
      </c>
    </row>
    <row r="743" spans="1:27" x14ac:dyDescent="0.3">
      <c r="A743" t="str">
        <f t="shared" si="194"/>
        <v>048314</v>
      </c>
      <c r="B743" t="str">
        <f t="shared" si="182"/>
        <v>004796</v>
      </c>
      <c r="C743" t="s">
        <v>1642</v>
      </c>
      <c r="D743" t="s">
        <v>3839</v>
      </c>
      <c r="E743" t="s">
        <v>3840</v>
      </c>
      <c r="F743" t="s">
        <v>3841</v>
      </c>
      <c r="G743" t="s">
        <v>3842</v>
      </c>
      <c r="H743" t="str">
        <f t="shared" si="201"/>
        <v>048314</v>
      </c>
      <c r="I743" t="s">
        <v>833</v>
      </c>
      <c r="J743" t="str">
        <f t="shared" si="203"/>
        <v>2015-07-01 00:00:00.0</v>
      </c>
      <c r="K743" t="s">
        <v>834</v>
      </c>
      <c r="L743" t="s">
        <v>0</v>
      </c>
      <c r="M743" t="str">
        <f t="shared" si="190"/>
        <v>048314</v>
      </c>
      <c r="N743">
        <v>1</v>
      </c>
      <c r="O743">
        <v>1</v>
      </c>
      <c r="P743" t="str">
        <f>"10"</f>
        <v>10</v>
      </c>
      <c r="Q743" t="s">
        <v>835</v>
      </c>
      <c r="S743" t="s">
        <v>836</v>
      </c>
      <c r="T743" t="s">
        <v>836</v>
      </c>
      <c r="U743" t="str">
        <f t="shared" si="195"/>
        <v>2500-12-31 00:00:00.0</v>
      </c>
      <c r="V743" t="s">
        <v>837</v>
      </c>
      <c r="W743" t="str">
        <f t="shared" si="204"/>
        <v>048314-004796-**-**</v>
      </c>
      <c r="X743" t="s">
        <v>838</v>
      </c>
      <c r="Y743">
        <v>1254.5</v>
      </c>
      <c r="Z743">
        <v>1254.5</v>
      </c>
      <c r="AA743" t="str">
        <f t="shared" si="202"/>
        <v>06/08/2016</v>
      </c>
    </row>
    <row r="744" spans="1:27" x14ac:dyDescent="0.3">
      <c r="A744" t="str">
        <f t="shared" si="194"/>
        <v>048314</v>
      </c>
      <c r="B744" t="str">
        <f t="shared" si="182"/>
        <v>004796</v>
      </c>
      <c r="C744" t="s">
        <v>2549</v>
      </c>
      <c r="D744" t="s">
        <v>3839</v>
      </c>
      <c r="E744" t="s">
        <v>3840</v>
      </c>
      <c r="F744" t="s">
        <v>3841</v>
      </c>
      <c r="G744" t="s">
        <v>3842</v>
      </c>
      <c r="H744" t="str">
        <f t="shared" si="201"/>
        <v>048314</v>
      </c>
      <c r="I744" t="s">
        <v>833</v>
      </c>
      <c r="J744" t="str">
        <f t="shared" si="203"/>
        <v>2015-07-01 00:00:00.0</v>
      </c>
      <c r="K744" t="s">
        <v>834</v>
      </c>
      <c r="L744" t="s">
        <v>0</v>
      </c>
      <c r="M744" t="str">
        <f t="shared" si="190"/>
        <v>048314</v>
      </c>
      <c r="N744">
        <v>1</v>
      </c>
      <c r="O744">
        <v>1</v>
      </c>
      <c r="P744" t="str">
        <f>"11"</f>
        <v>11</v>
      </c>
      <c r="Q744" t="s">
        <v>835</v>
      </c>
      <c r="S744" t="s">
        <v>836</v>
      </c>
      <c r="T744" t="s">
        <v>836</v>
      </c>
      <c r="U744" t="str">
        <f t="shared" si="195"/>
        <v>2500-12-31 00:00:00.0</v>
      </c>
      <c r="V744" t="s">
        <v>837</v>
      </c>
      <c r="W744" t="str">
        <f t="shared" si="204"/>
        <v>048314-004796-**-**</v>
      </c>
      <c r="X744" t="s">
        <v>838</v>
      </c>
      <c r="Y744">
        <v>1254.5</v>
      </c>
      <c r="Z744">
        <v>1254.5</v>
      </c>
      <c r="AA744" t="str">
        <f t="shared" si="202"/>
        <v>06/08/2016</v>
      </c>
    </row>
    <row r="745" spans="1:27" x14ac:dyDescent="0.3">
      <c r="A745" t="str">
        <f t="shared" si="194"/>
        <v>048314</v>
      </c>
      <c r="B745" t="str">
        <f t="shared" si="182"/>
        <v>004796</v>
      </c>
      <c r="C745" t="s">
        <v>1321</v>
      </c>
      <c r="D745" t="s">
        <v>3839</v>
      </c>
      <c r="E745" t="s">
        <v>3840</v>
      </c>
      <c r="F745" t="s">
        <v>3841</v>
      </c>
      <c r="G745" t="s">
        <v>3842</v>
      </c>
      <c r="H745" t="str">
        <f t="shared" si="201"/>
        <v>048314</v>
      </c>
      <c r="I745" t="s">
        <v>833</v>
      </c>
      <c r="J745" t="str">
        <f t="shared" si="203"/>
        <v>2015-07-01 00:00:00.0</v>
      </c>
      <c r="K745" t="s">
        <v>834</v>
      </c>
      <c r="L745" t="s">
        <v>0</v>
      </c>
      <c r="M745" t="str">
        <f t="shared" si="190"/>
        <v>048314</v>
      </c>
      <c r="N745">
        <v>1</v>
      </c>
      <c r="O745">
        <v>1</v>
      </c>
      <c r="P745" t="str">
        <f>"11"</f>
        <v>11</v>
      </c>
      <c r="Q745" t="s">
        <v>835</v>
      </c>
      <c r="S745" t="s">
        <v>836</v>
      </c>
      <c r="T745" t="s">
        <v>836</v>
      </c>
      <c r="U745" t="str">
        <f t="shared" si="195"/>
        <v>2500-12-31 00:00:00.0</v>
      </c>
      <c r="V745" t="s">
        <v>837</v>
      </c>
      <c r="W745" t="str">
        <f t="shared" si="204"/>
        <v>048314-004796-**-**</v>
      </c>
      <c r="X745" t="s">
        <v>838</v>
      </c>
      <c r="Y745">
        <v>1254.5</v>
      </c>
      <c r="Z745">
        <v>1254.5</v>
      </c>
      <c r="AA745" t="str">
        <f t="shared" si="202"/>
        <v>06/08/2016</v>
      </c>
    </row>
    <row r="746" spans="1:27" x14ac:dyDescent="0.3">
      <c r="A746" t="str">
        <f t="shared" si="194"/>
        <v>048314</v>
      </c>
      <c r="B746" t="str">
        <f t="shared" si="182"/>
        <v>004796</v>
      </c>
      <c r="C746" t="s">
        <v>3655</v>
      </c>
      <c r="D746" t="s">
        <v>3839</v>
      </c>
      <c r="E746" t="s">
        <v>3840</v>
      </c>
      <c r="F746" t="s">
        <v>3841</v>
      </c>
      <c r="G746" t="s">
        <v>3842</v>
      </c>
      <c r="H746" t="str">
        <f t="shared" si="201"/>
        <v>048314</v>
      </c>
      <c r="I746" t="s">
        <v>833</v>
      </c>
      <c r="J746" t="str">
        <f t="shared" si="203"/>
        <v>2015-07-01 00:00:00.0</v>
      </c>
      <c r="K746" t="s">
        <v>834</v>
      </c>
      <c r="L746" t="s">
        <v>0</v>
      </c>
      <c r="M746" t="str">
        <f t="shared" si="190"/>
        <v>048314</v>
      </c>
      <c r="N746">
        <v>1</v>
      </c>
      <c r="O746">
        <v>1</v>
      </c>
      <c r="P746" t="str">
        <f>"10"</f>
        <v>10</v>
      </c>
      <c r="Q746" t="str">
        <f>"10"</f>
        <v>10</v>
      </c>
      <c r="R746" t="str">
        <f>"2"</f>
        <v>2</v>
      </c>
      <c r="S746" t="s">
        <v>860</v>
      </c>
      <c r="T746" t="s">
        <v>836</v>
      </c>
      <c r="U746" t="str">
        <f t="shared" si="195"/>
        <v>2500-12-31 00:00:00.0</v>
      </c>
      <c r="V746" t="s">
        <v>837</v>
      </c>
      <c r="W746" t="str">
        <f t="shared" si="204"/>
        <v>048314-004796-**-**</v>
      </c>
      <c r="X746" t="s">
        <v>838</v>
      </c>
      <c r="Y746">
        <v>1254.5</v>
      </c>
      <c r="Z746">
        <v>1254.5</v>
      </c>
      <c r="AA746" t="str">
        <f t="shared" si="202"/>
        <v>06/08/2016</v>
      </c>
    </row>
    <row r="747" spans="1:27" x14ac:dyDescent="0.3">
      <c r="A747" t="str">
        <f t="shared" si="194"/>
        <v>048314</v>
      </c>
      <c r="B747" t="str">
        <f t="shared" si="182"/>
        <v>004796</v>
      </c>
      <c r="C747" t="s">
        <v>1369</v>
      </c>
      <c r="D747" t="s">
        <v>3839</v>
      </c>
      <c r="E747" t="s">
        <v>3840</v>
      </c>
      <c r="F747" t="s">
        <v>3841</v>
      </c>
      <c r="G747" t="s">
        <v>3842</v>
      </c>
      <c r="H747" t="str">
        <f t="shared" si="201"/>
        <v>048314</v>
      </c>
      <c r="I747" t="s">
        <v>833</v>
      </c>
      <c r="J747" t="str">
        <f t="shared" si="203"/>
        <v>2015-07-01 00:00:00.0</v>
      </c>
      <c r="K747" t="s">
        <v>834</v>
      </c>
      <c r="L747" t="s">
        <v>0</v>
      </c>
      <c r="M747" t="str">
        <f t="shared" si="190"/>
        <v>048314</v>
      </c>
      <c r="N747">
        <v>1</v>
      </c>
      <c r="O747">
        <v>1</v>
      </c>
      <c r="P747" t="str">
        <f>"11"</f>
        <v>11</v>
      </c>
      <c r="Q747" t="s">
        <v>835</v>
      </c>
      <c r="S747" t="s">
        <v>860</v>
      </c>
      <c r="T747" t="s">
        <v>836</v>
      </c>
      <c r="U747" t="str">
        <f t="shared" si="195"/>
        <v>2500-12-31 00:00:00.0</v>
      </c>
      <c r="V747" t="s">
        <v>837</v>
      </c>
      <c r="W747" t="str">
        <f t="shared" si="204"/>
        <v>048314-004796-**-**</v>
      </c>
      <c r="X747" t="s">
        <v>838</v>
      </c>
      <c r="Y747">
        <v>1254.5</v>
      </c>
      <c r="Z747">
        <v>1254.5</v>
      </c>
      <c r="AA747" t="str">
        <f t="shared" si="202"/>
        <v>06/08/2016</v>
      </c>
    </row>
    <row r="748" spans="1:27" x14ac:dyDescent="0.3">
      <c r="A748" t="str">
        <f t="shared" si="194"/>
        <v>048314</v>
      </c>
      <c r="B748" t="str">
        <f t="shared" si="182"/>
        <v>004796</v>
      </c>
      <c r="C748" t="s">
        <v>1558</v>
      </c>
      <c r="D748" t="s">
        <v>3839</v>
      </c>
      <c r="E748" t="s">
        <v>3840</v>
      </c>
      <c r="F748" t="s">
        <v>3841</v>
      </c>
      <c r="G748" t="s">
        <v>3842</v>
      </c>
      <c r="H748" t="str">
        <f t="shared" si="201"/>
        <v>048314</v>
      </c>
      <c r="I748" t="s">
        <v>833</v>
      </c>
      <c r="J748" t="str">
        <f t="shared" si="203"/>
        <v>2015-07-01 00:00:00.0</v>
      </c>
      <c r="K748" t="s">
        <v>834</v>
      </c>
      <c r="L748" t="s">
        <v>0</v>
      </c>
      <c r="M748" t="str">
        <f t="shared" si="190"/>
        <v>048314</v>
      </c>
      <c r="N748">
        <v>1</v>
      </c>
      <c r="O748">
        <v>1</v>
      </c>
      <c r="P748" t="str">
        <f>"10"</f>
        <v>10</v>
      </c>
      <c r="Q748" t="s">
        <v>835</v>
      </c>
      <c r="S748" t="s">
        <v>860</v>
      </c>
      <c r="T748" t="s">
        <v>836</v>
      </c>
      <c r="U748" t="str">
        <f t="shared" si="195"/>
        <v>2500-12-31 00:00:00.0</v>
      </c>
      <c r="V748" t="s">
        <v>837</v>
      </c>
      <c r="W748" t="str">
        <f t="shared" si="204"/>
        <v>048314-004796-**-**</v>
      </c>
      <c r="X748" t="s">
        <v>838</v>
      </c>
      <c r="Y748">
        <v>1254.5</v>
      </c>
      <c r="Z748">
        <v>1254.5</v>
      </c>
      <c r="AA748" t="str">
        <f t="shared" si="202"/>
        <v>06/08/2016</v>
      </c>
    </row>
    <row r="749" spans="1:27" x14ac:dyDescent="0.3">
      <c r="A749" t="str">
        <f t="shared" si="194"/>
        <v>048314</v>
      </c>
      <c r="B749" t="str">
        <f t="shared" ref="B749:B812" si="205">"004796"</f>
        <v>004796</v>
      </c>
      <c r="C749" t="s">
        <v>1774</v>
      </c>
      <c r="D749" t="s">
        <v>3839</v>
      </c>
      <c r="E749" t="s">
        <v>3840</v>
      </c>
      <c r="F749" t="s">
        <v>3841</v>
      </c>
      <c r="G749" t="s">
        <v>3842</v>
      </c>
      <c r="H749" t="str">
        <f t="shared" si="201"/>
        <v>048314</v>
      </c>
      <c r="I749" t="s">
        <v>833</v>
      </c>
      <c r="J749" t="str">
        <f t="shared" si="203"/>
        <v>2015-07-01 00:00:00.0</v>
      </c>
      <c r="K749" t="s">
        <v>834</v>
      </c>
      <c r="L749" t="s">
        <v>0</v>
      </c>
      <c r="M749" t="str">
        <f t="shared" si="190"/>
        <v>048314</v>
      </c>
      <c r="N749">
        <v>1</v>
      </c>
      <c r="O749">
        <v>1</v>
      </c>
      <c r="P749" t="str">
        <f>"11"</f>
        <v>11</v>
      </c>
      <c r="Q749" t="s">
        <v>835</v>
      </c>
      <c r="S749" t="s">
        <v>836</v>
      </c>
      <c r="T749" t="s">
        <v>836</v>
      </c>
      <c r="U749" t="str">
        <f t="shared" si="195"/>
        <v>2500-12-31 00:00:00.0</v>
      </c>
      <c r="V749" t="s">
        <v>837</v>
      </c>
      <c r="W749" t="str">
        <f t="shared" si="204"/>
        <v>048314-004796-**-**</v>
      </c>
      <c r="X749" t="s">
        <v>838</v>
      </c>
      <c r="Y749">
        <v>1254.5</v>
      </c>
      <c r="Z749">
        <v>1254.5</v>
      </c>
      <c r="AA749" t="str">
        <f t="shared" si="202"/>
        <v>06/08/2016</v>
      </c>
    </row>
    <row r="750" spans="1:27" x14ac:dyDescent="0.3">
      <c r="A750" t="str">
        <f t="shared" si="194"/>
        <v>048314</v>
      </c>
      <c r="B750" t="str">
        <f t="shared" si="205"/>
        <v>004796</v>
      </c>
      <c r="C750" t="s">
        <v>1724</v>
      </c>
      <c r="D750" t="s">
        <v>3839</v>
      </c>
      <c r="E750" t="s">
        <v>3840</v>
      </c>
      <c r="F750" t="s">
        <v>3841</v>
      </c>
      <c r="G750" t="s">
        <v>3842</v>
      </c>
      <c r="H750" t="str">
        <f t="shared" si="201"/>
        <v>048314</v>
      </c>
      <c r="I750" t="s">
        <v>833</v>
      </c>
      <c r="J750" t="str">
        <f t="shared" si="203"/>
        <v>2015-07-01 00:00:00.0</v>
      </c>
      <c r="K750" t="s">
        <v>834</v>
      </c>
      <c r="L750" t="s">
        <v>0</v>
      </c>
      <c r="M750" t="str">
        <f t="shared" si="190"/>
        <v>048314</v>
      </c>
      <c r="N750">
        <v>1</v>
      </c>
      <c r="O750">
        <v>1</v>
      </c>
      <c r="P750" t="str">
        <f>"10"</f>
        <v>10</v>
      </c>
      <c r="Q750" t="s">
        <v>835</v>
      </c>
      <c r="S750" t="s">
        <v>836</v>
      </c>
      <c r="T750" t="s">
        <v>836</v>
      </c>
      <c r="U750" t="str">
        <f t="shared" si="195"/>
        <v>2500-12-31 00:00:00.0</v>
      </c>
      <c r="V750" t="s">
        <v>837</v>
      </c>
      <c r="W750" t="str">
        <f t="shared" si="204"/>
        <v>048314-004796-**-**</v>
      </c>
      <c r="X750" t="s">
        <v>838</v>
      </c>
      <c r="Y750">
        <v>1254.5</v>
      </c>
      <c r="Z750">
        <v>1254.5</v>
      </c>
      <c r="AA750" t="str">
        <f t="shared" si="202"/>
        <v>06/08/2016</v>
      </c>
    </row>
    <row r="751" spans="1:27" x14ac:dyDescent="0.3">
      <c r="A751" t="str">
        <f t="shared" si="194"/>
        <v>048314</v>
      </c>
      <c r="B751" t="str">
        <f t="shared" si="205"/>
        <v>004796</v>
      </c>
      <c r="C751" t="s">
        <v>1541</v>
      </c>
      <c r="D751" t="s">
        <v>3839</v>
      </c>
      <c r="E751" t="s">
        <v>3840</v>
      </c>
      <c r="F751" t="s">
        <v>3841</v>
      </c>
      <c r="G751" t="s">
        <v>3842</v>
      </c>
      <c r="H751" t="str">
        <f t="shared" si="201"/>
        <v>048314</v>
      </c>
      <c r="I751" t="s">
        <v>833</v>
      </c>
      <c r="J751" t="str">
        <f t="shared" si="203"/>
        <v>2015-07-01 00:00:00.0</v>
      </c>
      <c r="K751" t="s">
        <v>834</v>
      </c>
      <c r="L751" t="s">
        <v>0</v>
      </c>
      <c r="M751" t="str">
        <f t="shared" si="190"/>
        <v>048314</v>
      </c>
      <c r="N751">
        <v>1</v>
      </c>
      <c r="O751">
        <v>1</v>
      </c>
      <c r="P751" t="str">
        <f>"10"</f>
        <v>10</v>
      </c>
      <c r="Q751" t="s">
        <v>835</v>
      </c>
      <c r="S751" t="s">
        <v>836</v>
      </c>
      <c r="T751" t="s">
        <v>836</v>
      </c>
      <c r="U751" t="str">
        <f t="shared" si="195"/>
        <v>2500-12-31 00:00:00.0</v>
      </c>
      <c r="V751" t="s">
        <v>837</v>
      </c>
      <c r="W751" t="str">
        <f t="shared" si="204"/>
        <v>048314-004796-**-**</v>
      </c>
      <c r="X751" t="s">
        <v>838</v>
      </c>
      <c r="Y751">
        <v>1254.5</v>
      </c>
      <c r="Z751">
        <v>1254.5</v>
      </c>
      <c r="AA751" t="str">
        <f t="shared" si="202"/>
        <v>06/08/2016</v>
      </c>
    </row>
    <row r="752" spans="1:27" x14ac:dyDescent="0.3">
      <c r="A752" t="str">
        <f t="shared" si="194"/>
        <v>048314</v>
      </c>
      <c r="B752" t="str">
        <f t="shared" si="205"/>
        <v>004796</v>
      </c>
      <c r="C752" t="s">
        <v>1578</v>
      </c>
      <c r="D752" t="s">
        <v>3839</v>
      </c>
      <c r="E752" t="s">
        <v>3840</v>
      </c>
      <c r="F752" t="s">
        <v>3841</v>
      </c>
      <c r="G752" t="s">
        <v>3842</v>
      </c>
      <c r="H752" t="str">
        <f t="shared" si="201"/>
        <v>048314</v>
      </c>
      <c r="I752" t="s">
        <v>833</v>
      </c>
      <c r="J752" t="str">
        <f t="shared" si="203"/>
        <v>2015-07-01 00:00:00.0</v>
      </c>
      <c r="K752" t="s">
        <v>834</v>
      </c>
      <c r="L752" t="s">
        <v>0</v>
      </c>
      <c r="M752" t="str">
        <f t="shared" si="190"/>
        <v>048314</v>
      </c>
      <c r="N752">
        <v>1</v>
      </c>
      <c r="O752">
        <v>1</v>
      </c>
      <c r="P752" t="str">
        <f>"10"</f>
        <v>10</v>
      </c>
      <c r="Q752" t="s">
        <v>835</v>
      </c>
      <c r="S752" t="s">
        <v>836</v>
      </c>
      <c r="T752" t="s">
        <v>836</v>
      </c>
      <c r="U752" t="str">
        <f t="shared" si="195"/>
        <v>2500-12-31 00:00:00.0</v>
      </c>
      <c r="V752" t="s">
        <v>837</v>
      </c>
      <c r="W752" t="str">
        <f t="shared" si="204"/>
        <v>048314-004796-**-**</v>
      </c>
      <c r="X752" t="s">
        <v>838</v>
      </c>
      <c r="Y752">
        <v>1254.5</v>
      </c>
      <c r="Z752">
        <v>1254.5</v>
      </c>
      <c r="AA752" t="str">
        <f t="shared" si="202"/>
        <v>06/08/2016</v>
      </c>
    </row>
    <row r="753" spans="1:27" x14ac:dyDescent="0.3">
      <c r="A753" t="str">
        <f t="shared" si="194"/>
        <v>048314</v>
      </c>
      <c r="B753" t="str">
        <f t="shared" si="205"/>
        <v>004796</v>
      </c>
      <c r="C753" t="s">
        <v>2561</v>
      </c>
      <c r="D753" t="s">
        <v>3839</v>
      </c>
      <c r="E753" t="s">
        <v>3840</v>
      </c>
      <c r="F753" t="s">
        <v>3841</v>
      </c>
      <c r="G753" t="s">
        <v>3842</v>
      </c>
      <c r="H753" t="str">
        <f>"051243"</f>
        <v>051243</v>
      </c>
      <c r="I753" t="s">
        <v>833</v>
      </c>
      <c r="J753" t="str">
        <f>"2015-08-03 00:00:00.0"</f>
        <v>2015-08-03 00:00:00.0</v>
      </c>
      <c r="K753" t="s">
        <v>834</v>
      </c>
      <c r="L753" t="s">
        <v>0</v>
      </c>
      <c r="M753" t="str">
        <f t="shared" si="190"/>
        <v>048314</v>
      </c>
      <c r="N753">
        <v>1</v>
      </c>
      <c r="O753">
        <v>1</v>
      </c>
      <c r="P753" t="str">
        <f>"11"</f>
        <v>11</v>
      </c>
      <c r="Q753" t="str">
        <f>"15"</f>
        <v>15</v>
      </c>
      <c r="R753" t="str">
        <f>"2"</f>
        <v>2</v>
      </c>
      <c r="S753" t="s">
        <v>836</v>
      </c>
      <c r="T753" t="s">
        <v>836</v>
      </c>
      <c r="U753" t="str">
        <f t="shared" si="195"/>
        <v>2500-12-31 00:00:00.0</v>
      </c>
      <c r="V753" t="s">
        <v>886</v>
      </c>
      <c r="W753" t="str">
        <f>"051243-051250-11-**"</f>
        <v>051243-051250-11-**</v>
      </c>
      <c r="X753" t="s">
        <v>838</v>
      </c>
      <c r="Y753">
        <v>1144</v>
      </c>
      <c r="Z753">
        <v>1144</v>
      </c>
      <c r="AA753" t="str">
        <f>"05/21/2016"</f>
        <v>05/21/2016</v>
      </c>
    </row>
    <row r="754" spans="1:27" x14ac:dyDescent="0.3">
      <c r="A754" t="str">
        <f t="shared" si="194"/>
        <v>048314</v>
      </c>
      <c r="B754" t="str">
        <f t="shared" si="205"/>
        <v>004796</v>
      </c>
      <c r="C754" t="s">
        <v>2550</v>
      </c>
      <c r="D754" t="s">
        <v>3839</v>
      </c>
      <c r="E754" t="s">
        <v>3840</v>
      </c>
      <c r="F754" t="s">
        <v>3841</v>
      </c>
      <c r="G754" t="s">
        <v>3842</v>
      </c>
      <c r="H754" t="str">
        <f t="shared" ref="H754:H773" si="206">"048314"</f>
        <v>048314</v>
      </c>
      <c r="I754" t="s">
        <v>833</v>
      </c>
      <c r="J754" t="str">
        <f t="shared" ref="J754:J759" si="207">"2015-07-01 00:00:00.0"</f>
        <v>2015-07-01 00:00:00.0</v>
      </c>
      <c r="K754" t="s">
        <v>834</v>
      </c>
      <c r="L754" t="s">
        <v>0</v>
      </c>
      <c r="M754" t="str">
        <f t="shared" si="190"/>
        <v>048314</v>
      </c>
      <c r="N754">
        <v>1</v>
      </c>
      <c r="O754">
        <v>1</v>
      </c>
      <c r="P754" t="str">
        <f>"10"</f>
        <v>10</v>
      </c>
      <c r="Q754" t="s">
        <v>835</v>
      </c>
      <c r="S754" t="s">
        <v>836</v>
      </c>
      <c r="T754" t="s">
        <v>836</v>
      </c>
      <c r="U754" t="str">
        <f t="shared" si="195"/>
        <v>2500-12-31 00:00:00.0</v>
      </c>
      <c r="V754" t="s">
        <v>837</v>
      </c>
      <c r="W754" t="str">
        <f>"048314-004796-**-**"</f>
        <v>048314-004796-**-**</v>
      </c>
      <c r="X754" t="s">
        <v>838</v>
      </c>
      <c r="Y754">
        <v>1254.5</v>
      </c>
      <c r="Z754">
        <v>1254.5</v>
      </c>
      <c r="AA754" t="str">
        <f t="shared" ref="AA754:AA785" si="208">"06/08/2016"</f>
        <v>06/08/2016</v>
      </c>
    </row>
    <row r="755" spans="1:27" x14ac:dyDescent="0.3">
      <c r="A755" t="str">
        <f t="shared" si="194"/>
        <v>048314</v>
      </c>
      <c r="B755" t="str">
        <f t="shared" si="205"/>
        <v>004796</v>
      </c>
      <c r="C755" t="s">
        <v>2001</v>
      </c>
      <c r="D755" t="s">
        <v>3839</v>
      </c>
      <c r="E755" t="s">
        <v>3840</v>
      </c>
      <c r="F755" t="s">
        <v>3841</v>
      </c>
      <c r="G755" t="s">
        <v>3842</v>
      </c>
      <c r="H755" t="str">
        <f t="shared" si="206"/>
        <v>048314</v>
      </c>
      <c r="I755" t="s">
        <v>833</v>
      </c>
      <c r="J755" t="str">
        <f t="shared" si="207"/>
        <v>2015-07-01 00:00:00.0</v>
      </c>
      <c r="K755" t="s">
        <v>834</v>
      </c>
      <c r="L755" t="s">
        <v>0</v>
      </c>
      <c r="M755" t="str">
        <f t="shared" si="190"/>
        <v>048314</v>
      </c>
      <c r="N755">
        <v>0.1</v>
      </c>
      <c r="O755">
        <v>0.1</v>
      </c>
      <c r="P755" t="str">
        <f>"12"</f>
        <v>12</v>
      </c>
      <c r="Q755" t="s">
        <v>835</v>
      </c>
      <c r="S755" t="s">
        <v>836</v>
      </c>
      <c r="T755" t="s">
        <v>836</v>
      </c>
      <c r="U755" t="str">
        <f t="shared" si="195"/>
        <v>2500-12-31 00:00:00.0</v>
      </c>
      <c r="V755" t="s">
        <v>837</v>
      </c>
      <c r="W755" t="str">
        <f>"048314-004796-**-**"</f>
        <v>048314-004796-**-**</v>
      </c>
      <c r="X755" t="s">
        <v>838</v>
      </c>
      <c r="Y755">
        <v>125.45</v>
      </c>
      <c r="Z755">
        <v>1254.5</v>
      </c>
      <c r="AA755" t="str">
        <f t="shared" si="208"/>
        <v>06/08/2016</v>
      </c>
    </row>
    <row r="756" spans="1:27" x14ac:dyDescent="0.3">
      <c r="A756" t="str">
        <f t="shared" si="194"/>
        <v>048314</v>
      </c>
      <c r="B756" t="str">
        <f t="shared" si="205"/>
        <v>004796</v>
      </c>
      <c r="C756" t="s">
        <v>1416</v>
      </c>
      <c r="D756" t="s">
        <v>3839</v>
      </c>
      <c r="E756" t="s">
        <v>3840</v>
      </c>
      <c r="F756" t="s">
        <v>3841</v>
      </c>
      <c r="G756" t="s">
        <v>3842</v>
      </c>
      <c r="H756" t="str">
        <f t="shared" si="206"/>
        <v>048314</v>
      </c>
      <c r="I756" t="s">
        <v>833</v>
      </c>
      <c r="J756" t="str">
        <f t="shared" si="207"/>
        <v>2015-07-01 00:00:00.0</v>
      </c>
      <c r="K756" t="s">
        <v>834</v>
      </c>
      <c r="L756" t="s">
        <v>0</v>
      </c>
      <c r="M756" t="str">
        <f t="shared" si="190"/>
        <v>048314</v>
      </c>
      <c r="N756">
        <v>1</v>
      </c>
      <c r="O756">
        <v>1</v>
      </c>
      <c r="P756" t="str">
        <f>"12"</f>
        <v>12</v>
      </c>
      <c r="Q756" t="s">
        <v>835</v>
      </c>
      <c r="S756" t="s">
        <v>836</v>
      </c>
      <c r="T756" t="s">
        <v>836</v>
      </c>
      <c r="U756" t="str">
        <f t="shared" si="195"/>
        <v>2500-12-31 00:00:00.0</v>
      </c>
      <c r="V756" t="s">
        <v>837</v>
      </c>
      <c r="W756" t="str">
        <f>"048314-004796-12-SE"</f>
        <v>048314-004796-12-SE</v>
      </c>
      <c r="X756" t="s">
        <v>838</v>
      </c>
      <c r="Y756">
        <v>1254.5</v>
      </c>
      <c r="Z756">
        <v>1254.5</v>
      </c>
      <c r="AA756" t="str">
        <f t="shared" si="208"/>
        <v>06/08/2016</v>
      </c>
    </row>
    <row r="757" spans="1:27" x14ac:dyDescent="0.3">
      <c r="A757" t="str">
        <f t="shared" si="194"/>
        <v>048314</v>
      </c>
      <c r="B757" t="str">
        <f t="shared" si="205"/>
        <v>004796</v>
      </c>
      <c r="C757" t="s">
        <v>2002</v>
      </c>
      <c r="D757" t="s">
        <v>3839</v>
      </c>
      <c r="E757" t="s">
        <v>3840</v>
      </c>
      <c r="F757" t="s">
        <v>3841</v>
      </c>
      <c r="G757" t="s">
        <v>3842</v>
      </c>
      <c r="H757" t="str">
        <f t="shared" si="206"/>
        <v>048314</v>
      </c>
      <c r="I757" t="s">
        <v>833</v>
      </c>
      <c r="J757" t="str">
        <f t="shared" si="207"/>
        <v>2015-07-01 00:00:00.0</v>
      </c>
      <c r="K757" t="s">
        <v>834</v>
      </c>
      <c r="L757" t="s">
        <v>0</v>
      </c>
      <c r="M757" t="str">
        <f t="shared" si="190"/>
        <v>048314</v>
      </c>
      <c r="N757">
        <v>1</v>
      </c>
      <c r="O757">
        <v>1</v>
      </c>
      <c r="P757" t="str">
        <f>"12"</f>
        <v>12</v>
      </c>
      <c r="Q757" t="s">
        <v>835</v>
      </c>
      <c r="S757" t="s">
        <v>836</v>
      </c>
      <c r="T757" t="s">
        <v>836</v>
      </c>
      <c r="U757" t="str">
        <f t="shared" si="195"/>
        <v>2500-12-31 00:00:00.0</v>
      </c>
      <c r="V757" t="s">
        <v>837</v>
      </c>
      <c r="W757" t="str">
        <f>"048314-004796-12-SE"</f>
        <v>048314-004796-12-SE</v>
      </c>
      <c r="X757" t="s">
        <v>838</v>
      </c>
      <c r="Y757">
        <v>1254.5</v>
      </c>
      <c r="Z757">
        <v>1254.5</v>
      </c>
      <c r="AA757" t="str">
        <f t="shared" si="208"/>
        <v>06/08/2016</v>
      </c>
    </row>
    <row r="758" spans="1:27" x14ac:dyDescent="0.3">
      <c r="A758" t="str">
        <f t="shared" si="194"/>
        <v>048314</v>
      </c>
      <c r="B758" t="str">
        <f t="shared" si="205"/>
        <v>004796</v>
      </c>
      <c r="C758" t="s">
        <v>1522</v>
      </c>
      <c r="D758" t="s">
        <v>3839</v>
      </c>
      <c r="E758" t="s">
        <v>3840</v>
      </c>
      <c r="F758" t="s">
        <v>3841</v>
      </c>
      <c r="G758" t="s">
        <v>3842</v>
      </c>
      <c r="H758" t="str">
        <f t="shared" si="206"/>
        <v>048314</v>
      </c>
      <c r="I758" t="s">
        <v>833</v>
      </c>
      <c r="J758" t="str">
        <f t="shared" si="207"/>
        <v>2015-07-01 00:00:00.0</v>
      </c>
      <c r="K758" t="s">
        <v>834</v>
      </c>
      <c r="L758" t="s">
        <v>0</v>
      </c>
      <c r="M758" t="str">
        <f t="shared" si="190"/>
        <v>048314</v>
      </c>
      <c r="N758">
        <v>1</v>
      </c>
      <c r="O758">
        <v>1</v>
      </c>
      <c r="P758" t="str">
        <f>"10"</f>
        <v>10</v>
      </c>
      <c r="Q758" t="s">
        <v>835</v>
      </c>
      <c r="S758" t="s">
        <v>836</v>
      </c>
      <c r="T758" t="s">
        <v>836</v>
      </c>
      <c r="U758" t="str">
        <f t="shared" si="195"/>
        <v>2500-12-31 00:00:00.0</v>
      </c>
      <c r="V758" t="s">
        <v>837</v>
      </c>
      <c r="W758" t="str">
        <f t="shared" ref="W758:W766" si="209">"048314-004796-**-**"</f>
        <v>048314-004796-**-**</v>
      </c>
      <c r="X758" t="s">
        <v>838</v>
      </c>
      <c r="Y758">
        <v>1254.5</v>
      </c>
      <c r="Z758">
        <v>1254.5</v>
      </c>
      <c r="AA758" t="str">
        <f t="shared" si="208"/>
        <v>06/08/2016</v>
      </c>
    </row>
    <row r="759" spans="1:27" x14ac:dyDescent="0.3">
      <c r="A759" t="str">
        <f t="shared" si="194"/>
        <v>048314</v>
      </c>
      <c r="B759" t="str">
        <f t="shared" si="205"/>
        <v>004796</v>
      </c>
      <c r="C759" t="s">
        <v>1322</v>
      </c>
      <c r="D759" t="s">
        <v>3839</v>
      </c>
      <c r="E759" t="s">
        <v>3840</v>
      </c>
      <c r="F759" t="s">
        <v>3841</v>
      </c>
      <c r="G759" t="s">
        <v>3842</v>
      </c>
      <c r="H759" t="str">
        <f t="shared" si="206"/>
        <v>048314</v>
      </c>
      <c r="I759" t="s">
        <v>833</v>
      </c>
      <c r="J759" t="str">
        <f t="shared" si="207"/>
        <v>2015-07-01 00:00:00.0</v>
      </c>
      <c r="K759" t="s">
        <v>834</v>
      </c>
      <c r="L759" t="s">
        <v>0</v>
      </c>
      <c r="M759" t="str">
        <f t="shared" si="190"/>
        <v>048314</v>
      </c>
      <c r="N759">
        <v>0.559585</v>
      </c>
      <c r="O759">
        <v>0.559585</v>
      </c>
      <c r="P759" t="str">
        <f>"11"</f>
        <v>11</v>
      </c>
      <c r="Q759" t="str">
        <f>"10"</f>
        <v>10</v>
      </c>
      <c r="R759" t="str">
        <f>"2"</f>
        <v>2</v>
      </c>
      <c r="S759" t="s">
        <v>836</v>
      </c>
      <c r="T759" t="s">
        <v>836</v>
      </c>
      <c r="U759" t="str">
        <f>"2016-02-04 00:00:00.0"</f>
        <v>2016-02-04 00:00:00.0</v>
      </c>
      <c r="V759" t="s">
        <v>837</v>
      </c>
      <c r="W759" t="str">
        <f t="shared" si="209"/>
        <v>048314-004796-**-**</v>
      </c>
      <c r="X759" t="s">
        <v>838</v>
      </c>
      <c r="Y759">
        <v>702</v>
      </c>
      <c r="Z759">
        <v>1254.5</v>
      </c>
      <c r="AA759" t="str">
        <f t="shared" si="208"/>
        <v>06/08/2016</v>
      </c>
    </row>
    <row r="760" spans="1:27" x14ac:dyDescent="0.3">
      <c r="A760" t="str">
        <f t="shared" si="194"/>
        <v>048314</v>
      </c>
      <c r="B760" t="str">
        <f t="shared" si="205"/>
        <v>004796</v>
      </c>
      <c r="C760" t="s">
        <v>1322</v>
      </c>
      <c r="D760" t="s">
        <v>3839</v>
      </c>
      <c r="E760" t="s">
        <v>3840</v>
      </c>
      <c r="F760" t="s">
        <v>3841</v>
      </c>
      <c r="G760" t="s">
        <v>3842</v>
      </c>
      <c r="H760" t="str">
        <f t="shared" si="206"/>
        <v>048314</v>
      </c>
      <c r="I760" t="s">
        <v>833</v>
      </c>
      <c r="J760" t="str">
        <f>"2016-02-05 00:00:00.0"</f>
        <v>2016-02-05 00:00:00.0</v>
      </c>
      <c r="K760" t="s">
        <v>834</v>
      </c>
      <c r="L760" t="s">
        <v>0</v>
      </c>
      <c r="M760" t="str">
        <f t="shared" si="190"/>
        <v>048314</v>
      </c>
      <c r="N760">
        <v>0.440415</v>
      </c>
      <c r="O760">
        <v>0.440415</v>
      </c>
      <c r="P760" t="str">
        <f>"11"</f>
        <v>11</v>
      </c>
      <c r="Q760" t="str">
        <f>"10"</f>
        <v>10</v>
      </c>
      <c r="R760" t="str">
        <f>"2"</f>
        <v>2</v>
      </c>
      <c r="S760" t="s">
        <v>860</v>
      </c>
      <c r="T760" t="s">
        <v>836</v>
      </c>
      <c r="U760" t="str">
        <f t="shared" ref="U760:U796" si="210">"2500-12-31 00:00:00.0"</f>
        <v>2500-12-31 00:00:00.0</v>
      </c>
      <c r="V760" t="s">
        <v>837</v>
      </c>
      <c r="W760" t="str">
        <f t="shared" si="209"/>
        <v>048314-004796-**-**</v>
      </c>
      <c r="X760" t="s">
        <v>838</v>
      </c>
      <c r="Y760">
        <v>552.5</v>
      </c>
      <c r="Z760">
        <v>1254.5</v>
      </c>
      <c r="AA760" t="str">
        <f t="shared" si="208"/>
        <v>06/08/2016</v>
      </c>
    </row>
    <row r="761" spans="1:27" x14ac:dyDescent="0.3">
      <c r="A761" t="str">
        <f t="shared" si="194"/>
        <v>048314</v>
      </c>
      <c r="B761" t="str">
        <f t="shared" si="205"/>
        <v>004796</v>
      </c>
      <c r="C761" t="s">
        <v>2016</v>
      </c>
      <c r="D761" t="s">
        <v>3839</v>
      </c>
      <c r="E761" t="s">
        <v>3840</v>
      </c>
      <c r="F761" t="s">
        <v>3841</v>
      </c>
      <c r="G761" t="s">
        <v>3842</v>
      </c>
      <c r="H761" t="str">
        <f t="shared" si="206"/>
        <v>048314</v>
      </c>
      <c r="I761" t="s">
        <v>833</v>
      </c>
      <c r="J761" t="str">
        <f t="shared" ref="J761:J772" si="211">"2015-07-01 00:00:00.0"</f>
        <v>2015-07-01 00:00:00.0</v>
      </c>
      <c r="K761" t="s">
        <v>834</v>
      </c>
      <c r="L761" t="s">
        <v>0</v>
      </c>
      <c r="M761" t="str">
        <f t="shared" si="190"/>
        <v>048314</v>
      </c>
      <c r="N761">
        <v>1</v>
      </c>
      <c r="O761">
        <v>1</v>
      </c>
      <c r="P761" t="str">
        <f>"11"</f>
        <v>11</v>
      </c>
      <c r="Q761" t="s">
        <v>835</v>
      </c>
      <c r="S761" t="s">
        <v>836</v>
      </c>
      <c r="T761" t="s">
        <v>836</v>
      </c>
      <c r="U761" t="str">
        <f t="shared" si="210"/>
        <v>2500-12-31 00:00:00.0</v>
      </c>
      <c r="V761" t="s">
        <v>837</v>
      </c>
      <c r="W761" t="str">
        <f t="shared" si="209"/>
        <v>048314-004796-**-**</v>
      </c>
      <c r="X761" t="s">
        <v>838</v>
      </c>
      <c r="Y761">
        <v>1254.5</v>
      </c>
      <c r="Z761">
        <v>1254.5</v>
      </c>
      <c r="AA761" t="str">
        <f t="shared" si="208"/>
        <v>06/08/2016</v>
      </c>
    </row>
    <row r="762" spans="1:27" x14ac:dyDescent="0.3">
      <c r="A762" t="str">
        <f t="shared" si="194"/>
        <v>048314</v>
      </c>
      <c r="B762" t="str">
        <f t="shared" si="205"/>
        <v>004796</v>
      </c>
      <c r="C762" t="s">
        <v>1437</v>
      </c>
      <c r="D762" t="s">
        <v>3839</v>
      </c>
      <c r="E762" t="s">
        <v>3840</v>
      </c>
      <c r="F762" t="s">
        <v>3841</v>
      </c>
      <c r="G762" t="s">
        <v>3842</v>
      </c>
      <c r="H762" t="str">
        <f t="shared" si="206"/>
        <v>048314</v>
      </c>
      <c r="I762" t="s">
        <v>833</v>
      </c>
      <c r="J762" t="str">
        <f t="shared" si="211"/>
        <v>2015-07-01 00:00:00.0</v>
      </c>
      <c r="K762" t="s">
        <v>834</v>
      </c>
      <c r="L762" t="s">
        <v>0</v>
      </c>
      <c r="M762" t="str">
        <f t="shared" si="190"/>
        <v>048314</v>
      </c>
      <c r="N762">
        <v>1</v>
      </c>
      <c r="O762">
        <v>1</v>
      </c>
      <c r="P762" t="str">
        <f>"11"</f>
        <v>11</v>
      </c>
      <c r="Q762" t="s">
        <v>835</v>
      </c>
      <c r="S762" t="s">
        <v>836</v>
      </c>
      <c r="T762" t="s">
        <v>836</v>
      </c>
      <c r="U762" t="str">
        <f t="shared" si="210"/>
        <v>2500-12-31 00:00:00.0</v>
      </c>
      <c r="V762" t="s">
        <v>837</v>
      </c>
      <c r="W762" t="str">
        <f t="shared" si="209"/>
        <v>048314-004796-**-**</v>
      </c>
      <c r="X762" t="s">
        <v>838</v>
      </c>
      <c r="Y762">
        <v>1254.5</v>
      </c>
      <c r="Z762">
        <v>1254.5</v>
      </c>
      <c r="AA762" t="str">
        <f t="shared" si="208"/>
        <v>06/08/2016</v>
      </c>
    </row>
    <row r="763" spans="1:27" x14ac:dyDescent="0.3">
      <c r="A763" t="str">
        <f t="shared" si="194"/>
        <v>048314</v>
      </c>
      <c r="B763" t="str">
        <f t="shared" si="205"/>
        <v>004796</v>
      </c>
      <c r="C763" t="s">
        <v>1559</v>
      </c>
      <c r="D763" t="s">
        <v>3839</v>
      </c>
      <c r="E763" t="s">
        <v>3840</v>
      </c>
      <c r="F763" t="s">
        <v>3841</v>
      </c>
      <c r="G763" t="s">
        <v>3842</v>
      </c>
      <c r="H763" t="str">
        <f t="shared" si="206"/>
        <v>048314</v>
      </c>
      <c r="I763" t="s">
        <v>833</v>
      </c>
      <c r="J763" t="str">
        <f t="shared" si="211"/>
        <v>2015-07-01 00:00:00.0</v>
      </c>
      <c r="K763" t="s">
        <v>834</v>
      </c>
      <c r="L763" t="s">
        <v>0</v>
      </c>
      <c r="M763" t="str">
        <f t="shared" si="190"/>
        <v>048314</v>
      </c>
      <c r="N763">
        <v>1</v>
      </c>
      <c r="O763">
        <v>1</v>
      </c>
      <c r="P763" t="str">
        <f>"10"</f>
        <v>10</v>
      </c>
      <c r="Q763" t="s">
        <v>835</v>
      </c>
      <c r="S763" t="s">
        <v>836</v>
      </c>
      <c r="T763" t="s">
        <v>836</v>
      </c>
      <c r="U763" t="str">
        <f t="shared" si="210"/>
        <v>2500-12-31 00:00:00.0</v>
      </c>
      <c r="V763" t="s">
        <v>837</v>
      </c>
      <c r="W763" t="str">
        <f t="shared" si="209"/>
        <v>048314-004796-**-**</v>
      </c>
      <c r="X763" t="s">
        <v>838</v>
      </c>
      <c r="Y763">
        <v>1254.5</v>
      </c>
      <c r="Z763">
        <v>1254.5</v>
      </c>
      <c r="AA763" t="str">
        <f t="shared" si="208"/>
        <v>06/08/2016</v>
      </c>
    </row>
    <row r="764" spans="1:27" x14ac:dyDescent="0.3">
      <c r="A764" t="str">
        <f t="shared" si="194"/>
        <v>048314</v>
      </c>
      <c r="B764" t="str">
        <f t="shared" si="205"/>
        <v>004796</v>
      </c>
      <c r="C764" t="s">
        <v>1370</v>
      </c>
      <c r="D764" t="s">
        <v>3839</v>
      </c>
      <c r="E764" t="s">
        <v>3840</v>
      </c>
      <c r="F764" t="s">
        <v>3841</v>
      </c>
      <c r="G764" t="s">
        <v>3842</v>
      </c>
      <c r="H764" t="str">
        <f t="shared" si="206"/>
        <v>048314</v>
      </c>
      <c r="I764" t="s">
        <v>833</v>
      </c>
      <c r="J764" t="str">
        <f t="shared" si="211"/>
        <v>2015-07-01 00:00:00.0</v>
      </c>
      <c r="K764" t="s">
        <v>834</v>
      </c>
      <c r="L764" t="s">
        <v>0</v>
      </c>
      <c r="M764" t="str">
        <f t="shared" si="190"/>
        <v>048314</v>
      </c>
      <c r="N764">
        <v>1</v>
      </c>
      <c r="O764">
        <v>1</v>
      </c>
      <c r="P764" t="str">
        <f>"11"</f>
        <v>11</v>
      </c>
      <c r="Q764" t="s">
        <v>835</v>
      </c>
      <c r="S764" t="s">
        <v>836</v>
      </c>
      <c r="T764" t="s">
        <v>836</v>
      </c>
      <c r="U764" t="str">
        <f t="shared" si="210"/>
        <v>2500-12-31 00:00:00.0</v>
      </c>
      <c r="V764" t="s">
        <v>837</v>
      </c>
      <c r="W764" t="str">
        <f t="shared" si="209"/>
        <v>048314-004796-**-**</v>
      </c>
      <c r="X764" t="s">
        <v>838</v>
      </c>
      <c r="Y764">
        <v>1254.5</v>
      </c>
      <c r="Z764">
        <v>1254.5</v>
      </c>
      <c r="AA764" t="str">
        <f t="shared" si="208"/>
        <v>06/08/2016</v>
      </c>
    </row>
    <row r="765" spans="1:27" x14ac:dyDescent="0.3">
      <c r="A765" t="str">
        <f t="shared" si="194"/>
        <v>048314</v>
      </c>
      <c r="B765" t="str">
        <f t="shared" si="205"/>
        <v>004796</v>
      </c>
      <c r="C765" t="s">
        <v>3109</v>
      </c>
      <c r="D765" t="s">
        <v>3839</v>
      </c>
      <c r="E765" t="s">
        <v>3840</v>
      </c>
      <c r="F765" t="s">
        <v>3841</v>
      </c>
      <c r="G765" t="s">
        <v>3842</v>
      </c>
      <c r="H765" t="str">
        <f t="shared" si="206"/>
        <v>048314</v>
      </c>
      <c r="I765" t="s">
        <v>833</v>
      </c>
      <c r="J765" t="str">
        <f t="shared" si="211"/>
        <v>2015-07-01 00:00:00.0</v>
      </c>
      <c r="K765" t="s">
        <v>834</v>
      </c>
      <c r="L765" t="s">
        <v>0</v>
      </c>
      <c r="M765" t="str">
        <f t="shared" si="190"/>
        <v>048314</v>
      </c>
      <c r="N765">
        <v>1</v>
      </c>
      <c r="O765">
        <v>1</v>
      </c>
      <c r="P765" t="str">
        <f>"10"</f>
        <v>10</v>
      </c>
      <c r="Q765" t="s">
        <v>835</v>
      </c>
      <c r="S765" t="s">
        <v>836</v>
      </c>
      <c r="T765" t="s">
        <v>836</v>
      </c>
      <c r="U765" t="str">
        <f t="shared" si="210"/>
        <v>2500-12-31 00:00:00.0</v>
      </c>
      <c r="V765" t="s">
        <v>837</v>
      </c>
      <c r="W765" t="str">
        <f t="shared" si="209"/>
        <v>048314-004796-**-**</v>
      </c>
      <c r="X765" t="s">
        <v>838</v>
      </c>
      <c r="Y765">
        <v>1254.5</v>
      </c>
      <c r="Z765">
        <v>1254.5</v>
      </c>
      <c r="AA765" t="str">
        <f t="shared" si="208"/>
        <v>06/08/2016</v>
      </c>
    </row>
    <row r="766" spans="1:27" x14ac:dyDescent="0.3">
      <c r="A766" t="str">
        <f t="shared" si="194"/>
        <v>048314</v>
      </c>
      <c r="B766" t="str">
        <f t="shared" si="205"/>
        <v>004796</v>
      </c>
      <c r="C766" t="s">
        <v>1560</v>
      </c>
      <c r="D766" t="s">
        <v>3839</v>
      </c>
      <c r="E766" t="s">
        <v>3840</v>
      </c>
      <c r="F766" t="s">
        <v>3841</v>
      </c>
      <c r="G766" t="s">
        <v>3842</v>
      </c>
      <c r="H766" t="str">
        <f t="shared" si="206"/>
        <v>048314</v>
      </c>
      <c r="I766" t="s">
        <v>833</v>
      </c>
      <c r="J766" t="str">
        <f t="shared" si="211"/>
        <v>2015-07-01 00:00:00.0</v>
      </c>
      <c r="K766" t="s">
        <v>834</v>
      </c>
      <c r="L766" t="s">
        <v>0</v>
      </c>
      <c r="M766" t="str">
        <f t="shared" ref="M766:M829" si="212">"048314"</f>
        <v>048314</v>
      </c>
      <c r="N766">
        <v>1</v>
      </c>
      <c r="O766">
        <v>1</v>
      </c>
      <c r="P766" t="str">
        <f>"10"</f>
        <v>10</v>
      </c>
      <c r="Q766" t="s">
        <v>835</v>
      </c>
      <c r="S766" t="s">
        <v>836</v>
      </c>
      <c r="T766" t="s">
        <v>836</v>
      </c>
      <c r="U766" t="str">
        <f t="shared" si="210"/>
        <v>2500-12-31 00:00:00.0</v>
      </c>
      <c r="V766" t="s">
        <v>837</v>
      </c>
      <c r="W766" t="str">
        <f t="shared" si="209"/>
        <v>048314-004796-**-**</v>
      </c>
      <c r="X766" t="s">
        <v>838</v>
      </c>
      <c r="Y766">
        <v>1254.5</v>
      </c>
      <c r="Z766">
        <v>1254.5</v>
      </c>
      <c r="AA766" t="str">
        <f t="shared" si="208"/>
        <v>06/08/2016</v>
      </c>
    </row>
    <row r="767" spans="1:27" x14ac:dyDescent="0.3">
      <c r="A767" t="str">
        <f t="shared" si="194"/>
        <v>048314</v>
      </c>
      <c r="B767" t="str">
        <f t="shared" si="205"/>
        <v>004796</v>
      </c>
      <c r="C767" t="s">
        <v>894</v>
      </c>
      <c r="D767" t="s">
        <v>3839</v>
      </c>
      <c r="E767" t="s">
        <v>3840</v>
      </c>
      <c r="F767" t="s">
        <v>3841</v>
      </c>
      <c r="G767" t="s">
        <v>3842</v>
      </c>
      <c r="H767" t="str">
        <f t="shared" si="206"/>
        <v>048314</v>
      </c>
      <c r="I767" t="s">
        <v>833</v>
      </c>
      <c r="J767" t="str">
        <f t="shared" si="211"/>
        <v>2015-07-01 00:00:00.0</v>
      </c>
      <c r="K767" t="s">
        <v>834</v>
      </c>
      <c r="L767" t="s">
        <v>0</v>
      </c>
      <c r="M767" t="str">
        <f t="shared" si="212"/>
        <v>048314</v>
      </c>
      <c r="N767">
        <v>1</v>
      </c>
      <c r="O767">
        <v>1</v>
      </c>
      <c r="P767" t="str">
        <f>"12"</f>
        <v>12</v>
      </c>
      <c r="Q767" t="s">
        <v>835</v>
      </c>
      <c r="S767" t="s">
        <v>836</v>
      </c>
      <c r="T767" t="s">
        <v>836</v>
      </c>
      <c r="U767" t="str">
        <f t="shared" si="210"/>
        <v>2500-12-31 00:00:00.0</v>
      </c>
      <c r="V767" t="s">
        <v>837</v>
      </c>
      <c r="W767" t="str">
        <f>"048314-004796-12-SE"</f>
        <v>048314-004796-12-SE</v>
      </c>
      <c r="X767" t="s">
        <v>838</v>
      </c>
      <c r="Y767">
        <v>1254.5</v>
      </c>
      <c r="Z767">
        <v>1254.5</v>
      </c>
      <c r="AA767" t="str">
        <f t="shared" si="208"/>
        <v>06/08/2016</v>
      </c>
    </row>
    <row r="768" spans="1:27" x14ac:dyDescent="0.3">
      <c r="A768" t="str">
        <f t="shared" si="194"/>
        <v>048314</v>
      </c>
      <c r="B768" t="str">
        <f t="shared" si="205"/>
        <v>004796</v>
      </c>
      <c r="C768" t="s">
        <v>1323</v>
      </c>
      <c r="D768" t="s">
        <v>3839</v>
      </c>
      <c r="E768" t="s">
        <v>3840</v>
      </c>
      <c r="F768" t="s">
        <v>3841</v>
      </c>
      <c r="G768" t="s">
        <v>3842</v>
      </c>
      <c r="H768" t="str">
        <f t="shared" si="206"/>
        <v>048314</v>
      </c>
      <c r="I768" t="s">
        <v>833</v>
      </c>
      <c r="J768" t="str">
        <f t="shared" si="211"/>
        <v>2015-07-01 00:00:00.0</v>
      </c>
      <c r="K768" t="s">
        <v>834</v>
      </c>
      <c r="L768" t="s">
        <v>0</v>
      </c>
      <c r="M768" t="str">
        <f t="shared" si="212"/>
        <v>048314</v>
      </c>
      <c r="N768">
        <v>1</v>
      </c>
      <c r="O768">
        <v>1</v>
      </c>
      <c r="P768" t="str">
        <f>"11"</f>
        <v>11</v>
      </c>
      <c r="Q768" t="s">
        <v>835</v>
      </c>
      <c r="S768" t="s">
        <v>836</v>
      </c>
      <c r="T768" t="s">
        <v>836</v>
      </c>
      <c r="U768" t="str">
        <f t="shared" si="210"/>
        <v>2500-12-31 00:00:00.0</v>
      </c>
      <c r="V768" t="s">
        <v>837</v>
      </c>
      <c r="W768" t="str">
        <f>"048314-004796-**-**"</f>
        <v>048314-004796-**-**</v>
      </c>
      <c r="X768" t="s">
        <v>838</v>
      </c>
      <c r="Y768">
        <v>1254.5</v>
      </c>
      <c r="Z768">
        <v>1254.5</v>
      </c>
      <c r="AA768" t="str">
        <f t="shared" si="208"/>
        <v>06/08/2016</v>
      </c>
    </row>
    <row r="769" spans="1:27" x14ac:dyDescent="0.3">
      <c r="A769" t="str">
        <f t="shared" si="194"/>
        <v>048314</v>
      </c>
      <c r="B769" t="str">
        <f t="shared" si="205"/>
        <v>004796</v>
      </c>
      <c r="C769" t="s">
        <v>2482</v>
      </c>
      <c r="D769" t="s">
        <v>3839</v>
      </c>
      <c r="E769" t="s">
        <v>3840</v>
      </c>
      <c r="F769" t="s">
        <v>3841</v>
      </c>
      <c r="G769" t="s">
        <v>3842</v>
      </c>
      <c r="H769" t="str">
        <f t="shared" si="206"/>
        <v>048314</v>
      </c>
      <c r="I769" t="s">
        <v>833</v>
      </c>
      <c r="J769" t="str">
        <f t="shared" si="211"/>
        <v>2015-07-01 00:00:00.0</v>
      </c>
      <c r="K769" t="s">
        <v>834</v>
      </c>
      <c r="L769" t="s">
        <v>0</v>
      </c>
      <c r="M769" t="str">
        <f t="shared" si="212"/>
        <v>048314</v>
      </c>
      <c r="N769">
        <v>1</v>
      </c>
      <c r="O769">
        <v>1</v>
      </c>
      <c r="P769" t="str">
        <f>"12"</f>
        <v>12</v>
      </c>
      <c r="Q769" t="s">
        <v>835</v>
      </c>
      <c r="S769" t="s">
        <v>836</v>
      </c>
      <c r="T769" t="s">
        <v>836</v>
      </c>
      <c r="U769" t="str">
        <f t="shared" si="210"/>
        <v>2500-12-31 00:00:00.0</v>
      </c>
      <c r="V769" t="s">
        <v>837</v>
      </c>
      <c r="W769" t="str">
        <f>"048314-004796-12-SE"</f>
        <v>048314-004796-12-SE</v>
      </c>
      <c r="X769" t="s">
        <v>838</v>
      </c>
      <c r="Y769">
        <v>1254.5</v>
      </c>
      <c r="Z769">
        <v>1254.5</v>
      </c>
      <c r="AA769" t="str">
        <f t="shared" si="208"/>
        <v>06/08/2016</v>
      </c>
    </row>
    <row r="770" spans="1:27" x14ac:dyDescent="0.3">
      <c r="A770" t="str">
        <f t="shared" ref="A770:A833" si="213">"048314"</f>
        <v>048314</v>
      </c>
      <c r="B770" t="str">
        <f t="shared" si="205"/>
        <v>004796</v>
      </c>
      <c r="C770" t="s">
        <v>1561</v>
      </c>
      <c r="D770" t="s">
        <v>3839</v>
      </c>
      <c r="E770" t="s">
        <v>3840</v>
      </c>
      <c r="F770" t="s">
        <v>3841</v>
      </c>
      <c r="G770" t="s">
        <v>3842</v>
      </c>
      <c r="H770" t="str">
        <f t="shared" si="206"/>
        <v>048314</v>
      </c>
      <c r="I770" t="s">
        <v>833</v>
      </c>
      <c r="J770" t="str">
        <f t="shared" si="211"/>
        <v>2015-07-01 00:00:00.0</v>
      </c>
      <c r="K770" t="s">
        <v>834</v>
      </c>
      <c r="L770" t="s">
        <v>0</v>
      </c>
      <c r="M770" t="str">
        <f t="shared" si="212"/>
        <v>048314</v>
      </c>
      <c r="N770">
        <v>1</v>
      </c>
      <c r="O770">
        <v>1</v>
      </c>
      <c r="P770" t="str">
        <f>"10"</f>
        <v>10</v>
      </c>
      <c r="Q770" t="s">
        <v>835</v>
      </c>
      <c r="S770" t="s">
        <v>836</v>
      </c>
      <c r="T770" t="s">
        <v>836</v>
      </c>
      <c r="U770" t="str">
        <f t="shared" si="210"/>
        <v>2500-12-31 00:00:00.0</v>
      </c>
      <c r="V770" t="s">
        <v>837</v>
      </c>
      <c r="W770" t="str">
        <f>"048314-004796-**-**"</f>
        <v>048314-004796-**-**</v>
      </c>
      <c r="X770" t="s">
        <v>838</v>
      </c>
      <c r="Y770">
        <v>1254.5</v>
      </c>
      <c r="Z770">
        <v>1254.5</v>
      </c>
      <c r="AA770" t="str">
        <f t="shared" si="208"/>
        <v>06/08/2016</v>
      </c>
    </row>
    <row r="771" spans="1:27" x14ac:dyDescent="0.3">
      <c r="A771" t="str">
        <f t="shared" si="213"/>
        <v>048314</v>
      </c>
      <c r="B771" t="str">
        <f t="shared" si="205"/>
        <v>004796</v>
      </c>
      <c r="C771" t="s">
        <v>1371</v>
      </c>
      <c r="D771" t="s">
        <v>3839</v>
      </c>
      <c r="E771" t="s">
        <v>3840</v>
      </c>
      <c r="F771" t="s">
        <v>3841</v>
      </c>
      <c r="G771" t="s">
        <v>3842</v>
      </c>
      <c r="H771" t="str">
        <f t="shared" si="206"/>
        <v>048314</v>
      </c>
      <c r="I771" t="s">
        <v>833</v>
      </c>
      <c r="J771" t="str">
        <f t="shared" si="211"/>
        <v>2015-07-01 00:00:00.0</v>
      </c>
      <c r="K771" t="s">
        <v>834</v>
      </c>
      <c r="L771" t="s">
        <v>0</v>
      </c>
      <c r="M771" t="str">
        <f t="shared" si="212"/>
        <v>048314</v>
      </c>
      <c r="N771">
        <v>1</v>
      </c>
      <c r="O771">
        <v>1</v>
      </c>
      <c r="P771" t="str">
        <f>"11"</f>
        <v>11</v>
      </c>
      <c r="Q771" t="s">
        <v>835</v>
      </c>
      <c r="S771" t="s">
        <v>836</v>
      </c>
      <c r="T771" t="s">
        <v>836</v>
      </c>
      <c r="U771" t="str">
        <f t="shared" si="210"/>
        <v>2500-12-31 00:00:00.0</v>
      </c>
      <c r="V771" t="s">
        <v>837</v>
      </c>
      <c r="W771" t="str">
        <f>"048314-004796-**-**"</f>
        <v>048314-004796-**-**</v>
      </c>
      <c r="X771" t="s">
        <v>838</v>
      </c>
      <c r="Y771">
        <v>1254.5</v>
      </c>
      <c r="Z771">
        <v>1254.5</v>
      </c>
      <c r="AA771" t="str">
        <f t="shared" si="208"/>
        <v>06/08/2016</v>
      </c>
    </row>
    <row r="772" spans="1:27" x14ac:dyDescent="0.3">
      <c r="A772" t="str">
        <f t="shared" si="213"/>
        <v>048314</v>
      </c>
      <c r="B772" t="str">
        <f t="shared" si="205"/>
        <v>004796</v>
      </c>
      <c r="C772" t="s">
        <v>2838</v>
      </c>
      <c r="D772" t="s">
        <v>3839</v>
      </c>
      <c r="E772" t="s">
        <v>3840</v>
      </c>
      <c r="F772" t="s">
        <v>3841</v>
      </c>
      <c r="G772" t="s">
        <v>3842</v>
      </c>
      <c r="H772" t="str">
        <f t="shared" si="206"/>
        <v>048314</v>
      </c>
      <c r="I772" t="s">
        <v>833</v>
      </c>
      <c r="J772" t="str">
        <f t="shared" si="211"/>
        <v>2015-07-01 00:00:00.0</v>
      </c>
      <c r="K772" t="s">
        <v>834</v>
      </c>
      <c r="L772" t="s">
        <v>0</v>
      </c>
      <c r="M772" t="str">
        <f t="shared" si="212"/>
        <v>048314</v>
      </c>
      <c r="N772">
        <v>1</v>
      </c>
      <c r="O772">
        <v>1</v>
      </c>
      <c r="P772" t="str">
        <f>"10"</f>
        <v>10</v>
      </c>
      <c r="Q772" t="s">
        <v>835</v>
      </c>
      <c r="S772" t="s">
        <v>836</v>
      </c>
      <c r="T772" t="s">
        <v>836</v>
      </c>
      <c r="U772" t="str">
        <f t="shared" si="210"/>
        <v>2500-12-31 00:00:00.0</v>
      </c>
      <c r="V772" t="s">
        <v>837</v>
      </c>
      <c r="W772" t="str">
        <f>"048314-004796-**-**"</f>
        <v>048314-004796-**-**</v>
      </c>
      <c r="X772" t="s">
        <v>838</v>
      </c>
      <c r="Y772">
        <v>1254.5</v>
      </c>
      <c r="Z772">
        <v>1254.5</v>
      </c>
      <c r="AA772" t="str">
        <f t="shared" si="208"/>
        <v>06/08/2016</v>
      </c>
    </row>
    <row r="773" spans="1:27" x14ac:dyDescent="0.3">
      <c r="A773" t="str">
        <f t="shared" si="213"/>
        <v>048314</v>
      </c>
      <c r="B773" t="str">
        <f t="shared" si="205"/>
        <v>004796</v>
      </c>
      <c r="C773" t="s">
        <v>1568</v>
      </c>
      <c r="D773" t="s">
        <v>3839</v>
      </c>
      <c r="E773" t="s">
        <v>3840</v>
      </c>
      <c r="F773" t="s">
        <v>3841</v>
      </c>
      <c r="G773" t="s">
        <v>3842</v>
      </c>
      <c r="H773" t="str">
        <f t="shared" si="206"/>
        <v>048314</v>
      </c>
      <c r="I773" t="s">
        <v>833</v>
      </c>
      <c r="J773" t="str">
        <f>"2015-08-31 00:00:00.0"</f>
        <v>2015-08-31 00:00:00.0</v>
      </c>
      <c r="K773" t="s">
        <v>834</v>
      </c>
      <c r="L773" t="s">
        <v>0</v>
      </c>
      <c r="M773" t="str">
        <f t="shared" si="212"/>
        <v>048314</v>
      </c>
      <c r="N773">
        <v>1</v>
      </c>
      <c r="O773">
        <v>1</v>
      </c>
      <c r="P773" t="str">
        <f>"10"</f>
        <v>10</v>
      </c>
      <c r="Q773" t="s">
        <v>835</v>
      </c>
      <c r="S773" t="s">
        <v>836</v>
      </c>
      <c r="T773" t="s">
        <v>836</v>
      </c>
      <c r="U773" t="str">
        <f t="shared" si="210"/>
        <v>2500-12-31 00:00:00.0</v>
      </c>
      <c r="V773" t="s">
        <v>837</v>
      </c>
      <c r="W773" t="str">
        <f>"048314-004796-**-**"</f>
        <v>048314-004796-**-**</v>
      </c>
      <c r="X773" t="s">
        <v>838</v>
      </c>
      <c r="Y773">
        <v>1254.5</v>
      </c>
      <c r="Z773">
        <v>1254.5</v>
      </c>
      <c r="AA773" t="str">
        <f t="shared" si="208"/>
        <v>06/08/2016</v>
      </c>
    </row>
    <row r="774" spans="1:27" x14ac:dyDescent="0.3">
      <c r="A774" t="str">
        <f t="shared" si="213"/>
        <v>048314</v>
      </c>
      <c r="B774" t="str">
        <f t="shared" si="205"/>
        <v>004796</v>
      </c>
      <c r="C774" t="s">
        <v>2017</v>
      </c>
      <c r="D774" t="s">
        <v>3839</v>
      </c>
      <c r="E774" t="s">
        <v>3840</v>
      </c>
      <c r="F774" t="s">
        <v>3841</v>
      </c>
      <c r="G774" t="s">
        <v>3842</v>
      </c>
      <c r="H774" t="str">
        <f>"048397"</f>
        <v>048397</v>
      </c>
      <c r="I774" t="s">
        <v>833</v>
      </c>
      <c r="J774" t="str">
        <f t="shared" ref="J774:J785" si="214">"2015-07-01 00:00:00.0"</f>
        <v>2015-07-01 00:00:00.0</v>
      </c>
      <c r="K774" t="s">
        <v>834</v>
      </c>
      <c r="L774" t="s">
        <v>1</v>
      </c>
      <c r="M774" t="str">
        <f t="shared" si="212"/>
        <v>048314</v>
      </c>
      <c r="N774">
        <v>1</v>
      </c>
      <c r="O774">
        <v>1</v>
      </c>
      <c r="P774" t="str">
        <f>"10"</f>
        <v>10</v>
      </c>
      <c r="Q774" t="str">
        <f>"10"</f>
        <v>10</v>
      </c>
      <c r="R774" t="str">
        <f>"2"</f>
        <v>2</v>
      </c>
      <c r="S774" t="s">
        <v>836</v>
      </c>
      <c r="T774" t="s">
        <v>836</v>
      </c>
      <c r="U774" t="str">
        <f t="shared" si="210"/>
        <v>2500-12-31 00:00:00.0</v>
      </c>
      <c r="V774" t="s">
        <v>837</v>
      </c>
      <c r="W774" t="str">
        <f>"048397-042333-**-**"</f>
        <v>048397-042333-**-**</v>
      </c>
      <c r="X774" t="s">
        <v>838</v>
      </c>
      <c r="Y774">
        <v>1113.0999999999999</v>
      </c>
      <c r="Z774">
        <v>1113.0999999999999</v>
      </c>
      <c r="AA774" t="str">
        <f t="shared" si="208"/>
        <v>06/08/2016</v>
      </c>
    </row>
    <row r="775" spans="1:27" x14ac:dyDescent="0.3">
      <c r="A775" t="str">
        <f t="shared" si="213"/>
        <v>048314</v>
      </c>
      <c r="B775" t="str">
        <f t="shared" si="205"/>
        <v>004796</v>
      </c>
      <c r="C775" t="s">
        <v>2018</v>
      </c>
      <c r="D775" t="s">
        <v>3839</v>
      </c>
      <c r="E775" t="s">
        <v>3840</v>
      </c>
      <c r="F775" t="s">
        <v>3841</v>
      </c>
      <c r="G775" t="s">
        <v>3842</v>
      </c>
      <c r="H775" t="str">
        <f>"048397"</f>
        <v>048397</v>
      </c>
      <c r="I775" t="s">
        <v>833</v>
      </c>
      <c r="J775" t="str">
        <f t="shared" si="214"/>
        <v>2015-07-01 00:00:00.0</v>
      </c>
      <c r="K775" t="s">
        <v>834</v>
      </c>
      <c r="L775" t="s">
        <v>1</v>
      </c>
      <c r="M775" t="str">
        <f t="shared" si="212"/>
        <v>048314</v>
      </c>
      <c r="N775">
        <v>1</v>
      </c>
      <c r="O775">
        <v>1</v>
      </c>
      <c r="P775" t="str">
        <f>"10"</f>
        <v>10</v>
      </c>
      <c r="Q775" t="str">
        <f>"10"</f>
        <v>10</v>
      </c>
      <c r="R775" t="str">
        <f>"2"</f>
        <v>2</v>
      </c>
      <c r="S775" t="s">
        <v>836</v>
      </c>
      <c r="T775" t="s">
        <v>836</v>
      </c>
      <c r="U775" t="str">
        <f t="shared" si="210"/>
        <v>2500-12-31 00:00:00.0</v>
      </c>
      <c r="V775" t="s">
        <v>837</v>
      </c>
      <c r="W775" t="str">
        <f>"048397-042333-**-**"</f>
        <v>048397-042333-**-**</v>
      </c>
      <c r="X775" t="s">
        <v>838</v>
      </c>
      <c r="Y775">
        <v>1113.0999999999999</v>
      </c>
      <c r="Z775">
        <v>1113.0999999999999</v>
      </c>
      <c r="AA775" t="str">
        <f t="shared" si="208"/>
        <v>06/08/2016</v>
      </c>
    </row>
    <row r="776" spans="1:27" x14ac:dyDescent="0.3">
      <c r="A776" t="str">
        <f t="shared" si="213"/>
        <v>048314</v>
      </c>
      <c r="B776" t="str">
        <f t="shared" si="205"/>
        <v>004796</v>
      </c>
      <c r="C776" t="s">
        <v>2019</v>
      </c>
      <c r="D776" t="s">
        <v>3839</v>
      </c>
      <c r="E776" t="s">
        <v>3840</v>
      </c>
      <c r="F776" t="s">
        <v>3841</v>
      </c>
      <c r="G776" t="s">
        <v>3842</v>
      </c>
      <c r="H776" t="str">
        <f>"048397"</f>
        <v>048397</v>
      </c>
      <c r="I776" t="s">
        <v>833</v>
      </c>
      <c r="J776" t="str">
        <f t="shared" si="214"/>
        <v>2015-07-01 00:00:00.0</v>
      </c>
      <c r="K776" t="s">
        <v>834</v>
      </c>
      <c r="L776" t="s">
        <v>1</v>
      </c>
      <c r="M776" t="str">
        <f t="shared" si="212"/>
        <v>048314</v>
      </c>
      <c r="N776">
        <v>1</v>
      </c>
      <c r="O776">
        <v>1</v>
      </c>
      <c r="P776" t="str">
        <f>"10"</f>
        <v>10</v>
      </c>
      <c r="Q776" t="str">
        <f>"10"</f>
        <v>10</v>
      </c>
      <c r="R776" t="str">
        <f>"2"</f>
        <v>2</v>
      </c>
      <c r="S776" t="s">
        <v>836</v>
      </c>
      <c r="T776" t="s">
        <v>836</v>
      </c>
      <c r="U776" t="str">
        <f t="shared" si="210"/>
        <v>2500-12-31 00:00:00.0</v>
      </c>
      <c r="V776" t="s">
        <v>837</v>
      </c>
      <c r="W776" t="str">
        <f>"048397-042333-**-**"</f>
        <v>048397-042333-**-**</v>
      </c>
      <c r="X776" t="s">
        <v>838</v>
      </c>
      <c r="Y776">
        <v>1113.0999999999999</v>
      </c>
      <c r="Z776">
        <v>1113.0999999999999</v>
      </c>
      <c r="AA776" t="str">
        <f t="shared" si="208"/>
        <v>06/08/2016</v>
      </c>
    </row>
    <row r="777" spans="1:27" x14ac:dyDescent="0.3">
      <c r="A777" t="str">
        <f t="shared" si="213"/>
        <v>048314</v>
      </c>
      <c r="B777" t="str">
        <f t="shared" si="205"/>
        <v>004796</v>
      </c>
      <c r="C777" t="s">
        <v>1324</v>
      </c>
      <c r="D777" t="s">
        <v>3839</v>
      </c>
      <c r="E777" t="s">
        <v>3840</v>
      </c>
      <c r="F777" t="s">
        <v>3841</v>
      </c>
      <c r="G777" t="s">
        <v>3842</v>
      </c>
      <c r="H777" t="str">
        <f t="shared" ref="H777:H785" si="215">"048314"</f>
        <v>048314</v>
      </c>
      <c r="I777" t="s">
        <v>833</v>
      </c>
      <c r="J777" t="str">
        <f t="shared" si="214"/>
        <v>2015-07-01 00:00:00.0</v>
      </c>
      <c r="K777" t="s">
        <v>834</v>
      </c>
      <c r="L777" t="s">
        <v>0</v>
      </c>
      <c r="M777" t="str">
        <f t="shared" si="212"/>
        <v>048314</v>
      </c>
      <c r="N777">
        <v>1</v>
      </c>
      <c r="O777">
        <v>1</v>
      </c>
      <c r="P777" t="str">
        <f>"11"</f>
        <v>11</v>
      </c>
      <c r="Q777" t="s">
        <v>835</v>
      </c>
      <c r="S777" t="s">
        <v>836</v>
      </c>
      <c r="T777" t="s">
        <v>836</v>
      </c>
      <c r="U777" t="str">
        <f t="shared" si="210"/>
        <v>2500-12-31 00:00:00.0</v>
      </c>
      <c r="V777" t="s">
        <v>837</v>
      </c>
      <c r="W777" t="str">
        <f>"048314-004796-**-**"</f>
        <v>048314-004796-**-**</v>
      </c>
      <c r="X777" t="s">
        <v>838</v>
      </c>
      <c r="Y777">
        <v>1254.5</v>
      </c>
      <c r="Z777">
        <v>1254.5</v>
      </c>
      <c r="AA777" t="str">
        <f t="shared" si="208"/>
        <v>06/08/2016</v>
      </c>
    </row>
    <row r="778" spans="1:27" x14ac:dyDescent="0.3">
      <c r="A778" t="str">
        <f t="shared" si="213"/>
        <v>048314</v>
      </c>
      <c r="B778" t="str">
        <f t="shared" si="205"/>
        <v>004796</v>
      </c>
      <c r="C778" t="s">
        <v>1579</v>
      </c>
      <c r="D778" t="s">
        <v>3839</v>
      </c>
      <c r="E778" t="s">
        <v>3840</v>
      </c>
      <c r="F778" t="s">
        <v>3841</v>
      </c>
      <c r="G778" t="s">
        <v>3842</v>
      </c>
      <c r="H778" t="str">
        <f t="shared" si="215"/>
        <v>048314</v>
      </c>
      <c r="I778" t="s">
        <v>833</v>
      </c>
      <c r="J778" t="str">
        <f t="shared" si="214"/>
        <v>2015-07-01 00:00:00.0</v>
      </c>
      <c r="K778" t="s">
        <v>834</v>
      </c>
      <c r="L778" t="s">
        <v>0</v>
      </c>
      <c r="M778" t="str">
        <f t="shared" si="212"/>
        <v>048314</v>
      </c>
      <c r="N778">
        <v>1</v>
      </c>
      <c r="O778">
        <v>1</v>
      </c>
      <c r="P778" t="str">
        <f>"10"</f>
        <v>10</v>
      </c>
      <c r="Q778" t="str">
        <f>"10"</f>
        <v>10</v>
      </c>
      <c r="R778" t="str">
        <f>"2"</f>
        <v>2</v>
      </c>
      <c r="S778" t="s">
        <v>836</v>
      </c>
      <c r="T778" t="s">
        <v>836</v>
      </c>
      <c r="U778" t="str">
        <f t="shared" si="210"/>
        <v>2500-12-31 00:00:00.0</v>
      </c>
      <c r="V778" t="s">
        <v>837</v>
      </c>
      <c r="W778" t="str">
        <f>"048314-004796-**-**"</f>
        <v>048314-004796-**-**</v>
      </c>
      <c r="X778" t="s">
        <v>838</v>
      </c>
      <c r="Y778">
        <v>1254.5</v>
      </c>
      <c r="Z778">
        <v>1254.5</v>
      </c>
      <c r="AA778" t="str">
        <f t="shared" si="208"/>
        <v>06/08/2016</v>
      </c>
    </row>
    <row r="779" spans="1:27" x14ac:dyDescent="0.3">
      <c r="A779" t="str">
        <f t="shared" si="213"/>
        <v>048314</v>
      </c>
      <c r="B779" t="str">
        <f t="shared" si="205"/>
        <v>004796</v>
      </c>
      <c r="C779" t="s">
        <v>1455</v>
      </c>
      <c r="D779" t="s">
        <v>3839</v>
      </c>
      <c r="E779" t="s">
        <v>3840</v>
      </c>
      <c r="F779" t="s">
        <v>3841</v>
      </c>
      <c r="G779" t="s">
        <v>3842</v>
      </c>
      <c r="H779" t="str">
        <f t="shared" si="215"/>
        <v>048314</v>
      </c>
      <c r="I779" t="s">
        <v>833</v>
      </c>
      <c r="J779" t="str">
        <f t="shared" si="214"/>
        <v>2015-07-01 00:00:00.0</v>
      </c>
      <c r="K779" t="s">
        <v>834</v>
      </c>
      <c r="L779" t="s">
        <v>0</v>
      </c>
      <c r="M779" t="str">
        <f t="shared" si="212"/>
        <v>048314</v>
      </c>
      <c r="N779">
        <v>1</v>
      </c>
      <c r="O779">
        <v>1</v>
      </c>
      <c r="P779" t="str">
        <f>"12"</f>
        <v>12</v>
      </c>
      <c r="Q779" t="s">
        <v>835</v>
      </c>
      <c r="S779" t="s">
        <v>836</v>
      </c>
      <c r="T779" t="s">
        <v>836</v>
      </c>
      <c r="U779" t="str">
        <f t="shared" si="210"/>
        <v>2500-12-31 00:00:00.0</v>
      </c>
      <c r="V779" t="s">
        <v>837</v>
      </c>
      <c r="W779" t="str">
        <f>"048314-004796-12-SE"</f>
        <v>048314-004796-12-SE</v>
      </c>
      <c r="X779" t="s">
        <v>838</v>
      </c>
      <c r="Y779">
        <v>1254.5</v>
      </c>
      <c r="Z779">
        <v>1254.5</v>
      </c>
      <c r="AA779" t="str">
        <f t="shared" si="208"/>
        <v>06/08/2016</v>
      </c>
    </row>
    <row r="780" spans="1:27" x14ac:dyDescent="0.3">
      <c r="A780" t="str">
        <f t="shared" si="213"/>
        <v>048314</v>
      </c>
      <c r="B780" t="str">
        <f t="shared" si="205"/>
        <v>004796</v>
      </c>
      <c r="C780" t="s">
        <v>2020</v>
      </c>
      <c r="D780" t="s">
        <v>3839</v>
      </c>
      <c r="E780" t="s">
        <v>3840</v>
      </c>
      <c r="F780" t="s">
        <v>3841</v>
      </c>
      <c r="G780" t="s">
        <v>3842</v>
      </c>
      <c r="H780" t="str">
        <f t="shared" si="215"/>
        <v>048314</v>
      </c>
      <c r="I780" t="s">
        <v>833</v>
      </c>
      <c r="J780" t="str">
        <f t="shared" si="214"/>
        <v>2015-07-01 00:00:00.0</v>
      </c>
      <c r="K780" t="s">
        <v>834</v>
      </c>
      <c r="L780" t="s">
        <v>0</v>
      </c>
      <c r="M780" t="str">
        <f t="shared" si="212"/>
        <v>048314</v>
      </c>
      <c r="N780">
        <v>1</v>
      </c>
      <c r="O780">
        <v>1</v>
      </c>
      <c r="P780" t="str">
        <f>"10"</f>
        <v>10</v>
      </c>
      <c r="Q780" t="s">
        <v>835</v>
      </c>
      <c r="S780" t="s">
        <v>836</v>
      </c>
      <c r="T780" t="s">
        <v>836</v>
      </c>
      <c r="U780" t="str">
        <f t="shared" si="210"/>
        <v>2500-12-31 00:00:00.0</v>
      </c>
      <c r="V780" t="s">
        <v>837</v>
      </c>
      <c r="W780" t="str">
        <f t="shared" ref="W780:W785" si="216">"048314-004796-**-**"</f>
        <v>048314-004796-**-**</v>
      </c>
      <c r="X780" t="s">
        <v>838</v>
      </c>
      <c r="Y780">
        <v>1254.5</v>
      </c>
      <c r="Z780">
        <v>1254.5</v>
      </c>
      <c r="AA780" t="str">
        <f t="shared" si="208"/>
        <v>06/08/2016</v>
      </c>
    </row>
    <row r="781" spans="1:27" x14ac:dyDescent="0.3">
      <c r="A781" t="str">
        <f t="shared" si="213"/>
        <v>048314</v>
      </c>
      <c r="B781" t="str">
        <f t="shared" si="205"/>
        <v>004796</v>
      </c>
      <c r="C781" t="s">
        <v>1325</v>
      </c>
      <c r="D781" t="s">
        <v>3839</v>
      </c>
      <c r="E781" t="s">
        <v>3840</v>
      </c>
      <c r="F781" t="s">
        <v>3841</v>
      </c>
      <c r="G781" t="s">
        <v>3842</v>
      </c>
      <c r="H781" t="str">
        <f t="shared" si="215"/>
        <v>048314</v>
      </c>
      <c r="I781" t="s">
        <v>833</v>
      </c>
      <c r="J781" t="str">
        <f t="shared" si="214"/>
        <v>2015-07-01 00:00:00.0</v>
      </c>
      <c r="K781" t="s">
        <v>834</v>
      </c>
      <c r="L781" t="s">
        <v>0</v>
      </c>
      <c r="M781" t="str">
        <f t="shared" si="212"/>
        <v>048314</v>
      </c>
      <c r="N781">
        <v>1</v>
      </c>
      <c r="O781">
        <v>1</v>
      </c>
      <c r="P781" t="str">
        <f>"11"</f>
        <v>11</v>
      </c>
      <c r="Q781" t="s">
        <v>835</v>
      </c>
      <c r="S781" t="s">
        <v>836</v>
      </c>
      <c r="T781" t="s">
        <v>836</v>
      </c>
      <c r="U781" t="str">
        <f t="shared" si="210"/>
        <v>2500-12-31 00:00:00.0</v>
      </c>
      <c r="V781" t="s">
        <v>837</v>
      </c>
      <c r="W781" t="str">
        <f t="shared" si="216"/>
        <v>048314-004796-**-**</v>
      </c>
      <c r="X781" t="s">
        <v>838</v>
      </c>
      <c r="Y781">
        <v>1254.5</v>
      </c>
      <c r="Z781">
        <v>1254.5</v>
      </c>
      <c r="AA781" t="str">
        <f t="shared" si="208"/>
        <v>06/08/2016</v>
      </c>
    </row>
    <row r="782" spans="1:27" x14ac:dyDescent="0.3">
      <c r="A782" t="str">
        <f t="shared" si="213"/>
        <v>048314</v>
      </c>
      <c r="B782" t="str">
        <f t="shared" si="205"/>
        <v>004796</v>
      </c>
      <c r="C782" t="s">
        <v>3493</v>
      </c>
      <c r="D782" t="s">
        <v>3839</v>
      </c>
      <c r="E782" t="s">
        <v>3840</v>
      </c>
      <c r="F782" t="s">
        <v>3841</v>
      </c>
      <c r="G782" t="s">
        <v>3842</v>
      </c>
      <c r="H782" t="str">
        <f t="shared" si="215"/>
        <v>048314</v>
      </c>
      <c r="I782" t="s">
        <v>833</v>
      </c>
      <c r="J782" t="str">
        <f t="shared" si="214"/>
        <v>2015-07-01 00:00:00.0</v>
      </c>
      <c r="K782" t="s">
        <v>834</v>
      </c>
      <c r="L782" t="s">
        <v>0</v>
      </c>
      <c r="M782" t="str">
        <f t="shared" si="212"/>
        <v>048314</v>
      </c>
      <c r="N782">
        <v>1</v>
      </c>
      <c r="O782">
        <v>1</v>
      </c>
      <c r="P782" t="str">
        <f>"11"</f>
        <v>11</v>
      </c>
      <c r="Q782" t="s">
        <v>835</v>
      </c>
      <c r="S782" t="s">
        <v>860</v>
      </c>
      <c r="T782" t="s">
        <v>836</v>
      </c>
      <c r="U782" t="str">
        <f t="shared" si="210"/>
        <v>2500-12-31 00:00:00.0</v>
      </c>
      <c r="V782" t="s">
        <v>837</v>
      </c>
      <c r="W782" t="str">
        <f t="shared" si="216"/>
        <v>048314-004796-**-**</v>
      </c>
      <c r="X782" t="s">
        <v>838</v>
      </c>
      <c r="Y782">
        <v>1254.5</v>
      </c>
      <c r="Z782">
        <v>1254.5</v>
      </c>
      <c r="AA782" t="str">
        <f t="shared" si="208"/>
        <v>06/08/2016</v>
      </c>
    </row>
    <row r="783" spans="1:27" x14ac:dyDescent="0.3">
      <c r="A783" t="str">
        <f t="shared" si="213"/>
        <v>048314</v>
      </c>
      <c r="B783" t="str">
        <f t="shared" si="205"/>
        <v>004796</v>
      </c>
      <c r="C783" t="s">
        <v>1562</v>
      </c>
      <c r="D783" t="s">
        <v>3839</v>
      </c>
      <c r="E783" t="s">
        <v>3840</v>
      </c>
      <c r="F783" t="s">
        <v>3841</v>
      </c>
      <c r="G783" t="s">
        <v>3842</v>
      </c>
      <c r="H783" t="str">
        <f t="shared" si="215"/>
        <v>048314</v>
      </c>
      <c r="I783" t="s">
        <v>833</v>
      </c>
      <c r="J783" t="str">
        <f t="shared" si="214"/>
        <v>2015-07-01 00:00:00.0</v>
      </c>
      <c r="K783" t="s">
        <v>834</v>
      </c>
      <c r="L783" t="s">
        <v>0</v>
      </c>
      <c r="M783" t="str">
        <f t="shared" si="212"/>
        <v>048314</v>
      </c>
      <c r="N783">
        <v>1</v>
      </c>
      <c r="O783">
        <v>1</v>
      </c>
      <c r="P783" t="str">
        <f>"10"</f>
        <v>10</v>
      </c>
      <c r="Q783" t="s">
        <v>835</v>
      </c>
      <c r="S783" t="s">
        <v>836</v>
      </c>
      <c r="T783" t="s">
        <v>836</v>
      </c>
      <c r="U783" t="str">
        <f t="shared" si="210"/>
        <v>2500-12-31 00:00:00.0</v>
      </c>
      <c r="V783" t="s">
        <v>837</v>
      </c>
      <c r="W783" t="str">
        <f t="shared" si="216"/>
        <v>048314-004796-**-**</v>
      </c>
      <c r="X783" t="s">
        <v>838</v>
      </c>
      <c r="Y783">
        <v>1254.5</v>
      </c>
      <c r="Z783">
        <v>1254.5</v>
      </c>
      <c r="AA783" t="str">
        <f t="shared" si="208"/>
        <v>06/08/2016</v>
      </c>
    </row>
    <row r="784" spans="1:27" x14ac:dyDescent="0.3">
      <c r="A784" t="str">
        <f t="shared" si="213"/>
        <v>048314</v>
      </c>
      <c r="B784" t="str">
        <f t="shared" si="205"/>
        <v>004796</v>
      </c>
      <c r="C784" t="s">
        <v>1580</v>
      </c>
      <c r="D784" t="s">
        <v>3839</v>
      </c>
      <c r="E784" t="s">
        <v>3840</v>
      </c>
      <c r="F784" t="s">
        <v>3841</v>
      </c>
      <c r="G784" t="s">
        <v>3842</v>
      </c>
      <c r="H784" t="str">
        <f t="shared" si="215"/>
        <v>048314</v>
      </c>
      <c r="I784" t="s">
        <v>833</v>
      </c>
      <c r="J784" t="str">
        <f t="shared" si="214"/>
        <v>2015-07-01 00:00:00.0</v>
      </c>
      <c r="K784" t="s">
        <v>834</v>
      </c>
      <c r="L784" t="s">
        <v>0</v>
      </c>
      <c r="M784" t="str">
        <f t="shared" si="212"/>
        <v>048314</v>
      </c>
      <c r="N784">
        <v>1</v>
      </c>
      <c r="O784">
        <v>1</v>
      </c>
      <c r="P784" t="str">
        <f>"11"</f>
        <v>11</v>
      </c>
      <c r="Q784" t="s">
        <v>835</v>
      </c>
      <c r="S784" t="s">
        <v>836</v>
      </c>
      <c r="T784" t="s">
        <v>836</v>
      </c>
      <c r="U784" t="str">
        <f t="shared" si="210"/>
        <v>2500-12-31 00:00:00.0</v>
      </c>
      <c r="V784" t="s">
        <v>837</v>
      </c>
      <c r="W784" t="str">
        <f t="shared" si="216"/>
        <v>048314-004796-**-**</v>
      </c>
      <c r="X784" t="s">
        <v>838</v>
      </c>
      <c r="Y784">
        <v>1254.5</v>
      </c>
      <c r="Z784">
        <v>1254.5</v>
      </c>
      <c r="AA784" t="str">
        <f t="shared" si="208"/>
        <v>06/08/2016</v>
      </c>
    </row>
    <row r="785" spans="1:27" x14ac:dyDescent="0.3">
      <c r="A785" t="str">
        <f t="shared" si="213"/>
        <v>048314</v>
      </c>
      <c r="B785" t="str">
        <f t="shared" si="205"/>
        <v>004796</v>
      </c>
      <c r="C785" t="s">
        <v>1757</v>
      </c>
      <c r="D785" t="s">
        <v>3839</v>
      </c>
      <c r="E785" t="s">
        <v>3840</v>
      </c>
      <c r="F785" t="s">
        <v>3841</v>
      </c>
      <c r="G785" t="s">
        <v>3842</v>
      </c>
      <c r="H785" t="str">
        <f t="shared" si="215"/>
        <v>048314</v>
      </c>
      <c r="I785" t="s">
        <v>833</v>
      </c>
      <c r="J785" t="str">
        <f t="shared" si="214"/>
        <v>2015-07-01 00:00:00.0</v>
      </c>
      <c r="K785" t="s">
        <v>834</v>
      </c>
      <c r="L785" t="s">
        <v>0</v>
      </c>
      <c r="M785" t="str">
        <f t="shared" si="212"/>
        <v>048314</v>
      </c>
      <c r="N785">
        <v>0.53</v>
      </c>
      <c r="O785">
        <v>0.53</v>
      </c>
      <c r="P785" t="str">
        <f>"11"</f>
        <v>11</v>
      </c>
      <c r="Q785" t="s">
        <v>835</v>
      </c>
      <c r="S785" t="s">
        <v>836</v>
      </c>
      <c r="T785" t="s">
        <v>836</v>
      </c>
      <c r="U785" t="str">
        <f t="shared" si="210"/>
        <v>2500-12-31 00:00:00.0</v>
      </c>
      <c r="V785" t="s">
        <v>837</v>
      </c>
      <c r="W785" t="str">
        <f t="shared" si="216"/>
        <v>048314-004796-**-**</v>
      </c>
      <c r="X785" t="s">
        <v>838</v>
      </c>
      <c r="Y785">
        <v>664.89</v>
      </c>
      <c r="Z785">
        <v>1254.5</v>
      </c>
      <c r="AA785" t="str">
        <f t="shared" si="208"/>
        <v>06/08/2016</v>
      </c>
    </row>
    <row r="786" spans="1:27" x14ac:dyDescent="0.3">
      <c r="A786" t="str">
        <f t="shared" si="213"/>
        <v>048314</v>
      </c>
      <c r="B786" t="str">
        <f t="shared" si="205"/>
        <v>004796</v>
      </c>
      <c r="C786" t="s">
        <v>1757</v>
      </c>
      <c r="D786" t="s">
        <v>3839</v>
      </c>
      <c r="E786" t="s">
        <v>3840</v>
      </c>
      <c r="F786" t="s">
        <v>3841</v>
      </c>
      <c r="G786" t="s">
        <v>3842</v>
      </c>
      <c r="H786" t="str">
        <f>"051243"</f>
        <v>051243</v>
      </c>
      <c r="I786" t="s">
        <v>833</v>
      </c>
      <c r="J786" t="str">
        <f>"2015-08-03 00:00:00.0"</f>
        <v>2015-08-03 00:00:00.0</v>
      </c>
      <c r="K786" t="s">
        <v>834</v>
      </c>
      <c r="L786" t="s">
        <v>0</v>
      </c>
      <c r="M786" t="str">
        <f t="shared" si="212"/>
        <v>048314</v>
      </c>
      <c r="N786">
        <v>0.47</v>
      </c>
      <c r="O786">
        <v>0.47</v>
      </c>
      <c r="P786" t="str">
        <f>"11"</f>
        <v>11</v>
      </c>
      <c r="Q786" t="s">
        <v>835</v>
      </c>
      <c r="S786" t="s">
        <v>836</v>
      </c>
      <c r="T786" t="s">
        <v>836</v>
      </c>
      <c r="U786" t="str">
        <f t="shared" si="210"/>
        <v>2500-12-31 00:00:00.0</v>
      </c>
      <c r="V786" t="s">
        <v>886</v>
      </c>
      <c r="W786" t="str">
        <f>"051243-051250-11-PM"</f>
        <v>051243-051250-11-PM</v>
      </c>
      <c r="X786" t="s">
        <v>838</v>
      </c>
      <c r="Y786">
        <v>537.67999999999995</v>
      </c>
      <c r="Z786">
        <v>1144</v>
      </c>
      <c r="AA786" t="str">
        <f>"05/21/2016"</f>
        <v>05/21/2016</v>
      </c>
    </row>
    <row r="787" spans="1:27" x14ac:dyDescent="0.3">
      <c r="A787" t="str">
        <f t="shared" si="213"/>
        <v>048314</v>
      </c>
      <c r="B787" t="str">
        <f t="shared" si="205"/>
        <v>004796</v>
      </c>
      <c r="C787" t="s">
        <v>1326</v>
      </c>
      <c r="D787" t="s">
        <v>3839</v>
      </c>
      <c r="E787" t="s">
        <v>3840</v>
      </c>
      <c r="F787" t="s">
        <v>3841</v>
      </c>
      <c r="G787" t="s">
        <v>3842</v>
      </c>
      <c r="H787" t="str">
        <f t="shared" ref="H787:H793" si="217">"048314"</f>
        <v>048314</v>
      </c>
      <c r="I787" t="s">
        <v>833</v>
      </c>
      <c r="J787" t="str">
        <f t="shared" ref="J787:J797" si="218">"2015-07-01 00:00:00.0"</f>
        <v>2015-07-01 00:00:00.0</v>
      </c>
      <c r="K787" t="s">
        <v>834</v>
      </c>
      <c r="L787" t="s">
        <v>0</v>
      </c>
      <c r="M787" t="str">
        <f t="shared" si="212"/>
        <v>048314</v>
      </c>
      <c r="N787">
        <v>1</v>
      </c>
      <c r="O787">
        <v>1</v>
      </c>
      <c r="P787" t="str">
        <f>"11"</f>
        <v>11</v>
      </c>
      <c r="Q787" t="s">
        <v>835</v>
      </c>
      <c r="S787" t="s">
        <v>836</v>
      </c>
      <c r="T787" t="s">
        <v>836</v>
      </c>
      <c r="U787" t="str">
        <f t="shared" si="210"/>
        <v>2500-12-31 00:00:00.0</v>
      </c>
      <c r="V787" t="s">
        <v>837</v>
      </c>
      <c r="W787" t="str">
        <f>"048314-004796-**-**"</f>
        <v>048314-004796-**-**</v>
      </c>
      <c r="X787" t="s">
        <v>838</v>
      </c>
      <c r="Y787">
        <v>1254.5</v>
      </c>
      <c r="Z787">
        <v>1254.5</v>
      </c>
      <c r="AA787" t="str">
        <f t="shared" ref="AA787:AA800" si="219">"06/08/2016"</f>
        <v>06/08/2016</v>
      </c>
    </row>
    <row r="788" spans="1:27" x14ac:dyDescent="0.3">
      <c r="A788" t="str">
        <f t="shared" si="213"/>
        <v>048314</v>
      </c>
      <c r="B788" t="str">
        <f t="shared" si="205"/>
        <v>004796</v>
      </c>
      <c r="C788" t="s">
        <v>1581</v>
      </c>
      <c r="D788" t="s">
        <v>3839</v>
      </c>
      <c r="E788" t="s">
        <v>3840</v>
      </c>
      <c r="F788" t="s">
        <v>3841</v>
      </c>
      <c r="G788" t="s">
        <v>3842</v>
      </c>
      <c r="H788" t="str">
        <f t="shared" si="217"/>
        <v>048314</v>
      </c>
      <c r="I788" t="s">
        <v>833</v>
      </c>
      <c r="J788" t="str">
        <f t="shared" si="218"/>
        <v>2015-07-01 00:00:00.0</v>
      </c>
      <c r="K788" t="s">
        <v>834</v>
      </c>
      <c r="L788" t="s">
        <v>0</v>
      </c>
      <c r="M788" t="str">
        <f t="shared" si="212"/>
        <v>048314</v>
      </c>
      <c r="N788">
        <v>1</v>
      </c>
      <c r="O788">
        <v>1</v>
      </c>
      <c r="P788" t="str">
        <f>"10"</f>
        <v>10</v>
      </c>
      <c r="Q788" t="s">
        <v>835</v>
      </c>
      <c r="S788" t="s">
        <v>836</v>
      </c>
      <c r="T788" t="s">
        <v>836</v>
      </c>
      <c r="U788" t="str">
        <f t="shared" si="210"/>
        <v>2500-12-31 00:00:00.0</v>
      </c>
      <c r="V788" t="s">
        <v>837</v>
      </c>
      <c r="W788" t="str">
        <f>"048314-004796-**-**"</f>
        <v>048314-004796-**-**</v>
      </c>
      <c r="X788" t="s">
        <v>838</v>
      </c>
      <c r="Y788">
        <v>1254.5</v>
      </c>
      <c r="Z788">
        <v>1254.5</v>
      </c>
      <c r="AA788" t="str">
        <f t="shared" si="219"/>
        <v>06/08/2016</v>
      </c>
    </row>
    <row r="789" spans="1:27" x14ac:dyDescent="0.3">
      <c r="A789" t="str">
        <f t="shared" si="213"/>
        <v>048314</v>
      </c>
      <c r="B789" t="str">
        <f t="shared" si="205"/>
        <v>004796</v>
      </c>
      <c r="C789" t="s">
        <v>1520</v>
      </c>
      <c r="D789" t="s">
        <v>3839</v>
      </c>
      <c r="E789" t="s">
        <v>3840</v>
      </c>
      <c r="F789" t="s">
        <v>3841</v>
      </c>
      <c r="G789" t="s">
        <v>3842</v>
      </c>
      <c r="H789" t="str">
        <f t="shared" si="217"/>
        <v>048314</v>
      </c>
      <c r="I789" t="s">
        <v>833</v>
      </c>
      <c r="J789" t="str">
        <f t="shared" si="218"/>
        <v>2015-07-01 00:00:00.0</v>
      </c>
      <c r="K789" t="s">
        <v>834</v>
      </c>
      <c r="L789" t="s">
        <v>0</v>
      </c>
      <c r="M789" t="str">
        <f t="shared" si="212"/>
        <v>048314</v>
      </c>
      <c r="N789">
        <v>1</v>
      </c>
      <c r="O789">
        <v>1</v>
      </c>
      <c r="P789" t="str">
        <f>"10"</f>
        <v>10</v>
      </c>
      <c r="Q789" t="s">
        <v>835</v>
      </c>
      <c r="S789" t="s">
        <v>836</v>
      </c>
      <c r="T789" t="s">
        <v>836</v>
      </c>
      <c r="U789" t="str">
        <f t="shared" si="210"/>
        <v>2500-12-31 00:00:00.0</v>
      </c>
      <c r="V789" t="s">
        <v>837</v>
      </c>
      <c r="W789" t="str">
        <f>"048314-004796-**-**"</f>
        <v>048314-004796-**-**</v>
      </c>
      <c r="X789" t="s">
        <v>838</v>
      </c>
      <c r="Y789">
        <v>1254.5</v>
      </c>
      <c r="Z789">
        <v>1254.5</v>
      </c>
      <c r="AA789" t="str">
        <f t="shared" si="219"/>
        <v>06/08/2016</v>
      </c>
    </row>
    <row r="790" spans="1:27" x14ac:dyDescent="0.3">
      <c r="A790" t="str">
        <f t="shared" si="213"/>
        <v>048314</v>
      </c>
      <c r="B790" t="str">
        <f t="shared" si="205"/>
        <v>004796</v>
      </c>
      <c r="C790" t="s">
        <v>1563</v>
      </c>
      <c r="D790" t="s">
        <v>3839</v>
      </c>
      <c r="E790" t="s">
        <v>3840</v>
      </c>
      <c r="F790" t="s">
        <v>3841</v>
      </c>
      <c r="G790" t="s">
        <v>3842</v>
      </c>
      <c r="H790" t="str">
        <f t="shared" si="217"/>
        <v>048314</v>
      </c>
      <c r="I790" t="s">
        <v>833</v>
      </c>
      <c r="J790" t="str">
        <f t="shared" si="218"/>
        <v>2015-07-01 00:00:00.0</v>
      </c>
      <c r="K790" t="s">
        <v>834</v>
      </c>
      <c r="L790" t="s">
        <v>0</v>
      </c>
      <c r="M790" t="str">
        <f t="shared" si="212"/>
        <v>048314</v>
      </c>
      <c r="N790">
        <v>1</v>
      </c>
      <c r="O790">
        <v>1</v>
      </c>
      <c r="P790" t="str">
        <f>"10"</f>
        <v>10</v>
      </c>
      <c r="Q790" t="s">
        <v>835</v>
      </c>
      <c r="S790" t="s">
        <v>860</v>
      </c>
      <c r="T790" t="s">
        <v>836</v>
      </c>
      <c r="U790" t="str">
        <f t="shared" si="210"/>
        <v>2500-12-31 00:00:00.0</v>
      </c>
      <c r="V790" t="s">
        <v>837</v>
      </c>
      <c r="W790" t="str">
        <f>"048314-004796-**-**"</f>
        <v>048314-004796-**-**</v>
      </c>
      <c r="X790" t="s">
        <v>838</v>
      </c>
      <c r="Y790">
        <v>1254.5</v>
      </c>
      <c r="Z790">
        <v>1254.5</v>
      </c>
      <c r="AA790" t="str">
        <f t="shared" si="219"/>
        <v>06/08/2016</v>
      </c>
    </row>
    <row r="791" spans="1:27" x14ac:dyDescent="0.3">
      <c r="A791" t="str">
        <f t="shared" si="213"/>
        <v>048314</v>
      </c>
      <c r="B791" t="str">
        <f t="shared" si="205"/>
        <v>004796</v>
      </c>
      <c r="C791" t="s">
        <v>1564</v>
      </c>
      <c r="D791" t="s">
        <v>3839</v>
      </c>
      <c r="E791" t="s">
        <v>3840</v>
      </c>
      <c r="F791" t="s">
        <v>3841</v>
      </c>
      <c r="G791" t="s">
        <v>3842</v>
      </c>
      <c r="H791" t="str">
        <f t="shared" si="217"/>
        <v>048314</v>
      </c>
      <c r="I791" t="s">
        <v>833</v>
      </c>
      <c r="J791" t="str">
        <f t="shared" si="218"/>
        <v>2015-07-01 00:00:00.0</v>
      </c>
      <c r="K791" t="s">
        <v>834</v>
      </c>
      <c r="L791" t="s">
        <v>0</v>
      </c>
      <c r="M791" t="str">
        <f t="shared" si="212"/>
        <v>048314</v>
      </c>
      <c r="N791">
        <v>1</v>
      </c>
      <c r="O791">
        <v>1</v>
      </c>
      <c r="P791" t="str">
        <f>"10"</f>
        <v>10</v>
      </c>
      <c r="Q791" t="s">
        <v>835</v>
      </c>
      <c r="S791" t="s">
        <v>836</v>
      </c>
      <c r="T791" t="s">
        <v>836</v>
      </c>
      <c r="U791" t="str">
        <f t="shared" si="210"/>
        <v>2500-12-31 00:00:00.0</v>
      </c>
      <c r="V791" t="s">
        <v>837</v>
      </c>
      <c r="W791" t="str">
        <f>"048314-004796-**-**"</f>
        <v>048314-004796-**-**</v>
      </c>
      <c r="X791" t="s">
        <v>838</v>
      </c>
      <c r="Y791">
        <v>1254.5</v>
      </c>
      <c r="Z791">
        <v>1254.5</v>
      </c>
      <c r="AA791" t="str">
        <f t="shared" si="219"/>
        <v>06/08/2016</v>
      </c>
    </row>
    <row r="792" spans="1:27" x14ac:dyDescent="0.3">
      <c r="A792" t="str">
        <f t="shared" si="213"/>
        <v>048314</v>
      </c>
      <c r="B792" t="str">
        <f t="shared" si="205"/>
        <v>004796</v>
      </c>
      <c r="C792" t="s">
        <v>1176</v>
      </c>
      <c r="D792" t="s">
        <v>3839</v>
      </c>
      <c r="E792" t="s">
        <v>3840</v>
      </c>
      <c r="F792" t="s">
        <v>3841</v>
      </c>
      <c r="G792" t="s">
        <v>3842</v>
      </c>
      <c r="H792" t="str">
        <f t="shared" si="217"/>
        <v>048314</v>
      </c>
      <c r="I792" t="s">
        <v>833</v>
      </c>
      <c r="J792" t="str">
        <f t="shared" si="218"/>
        <v>2015-07-01 00:00:00.0</v>
      </c>
      <c r="K792" t="s">
        <v>834</v>
      </c>
      <c r="L792" t="s">
        <v>0</v>
      </c>
      <c r="M792" t="str">
        <f t="shared" si="212"/>
        <v>048314</v>
      </c>
      <c r="N792">
        <v>1</v>
      </c>
      <c r="O792">
        <v>1</v>
      </c>
      <c r="P792" t="str">
        <f>"12"</f>
        <v>12</v>
      </c>
      <c r="Q792" t="s">
        <v>835</v>
      </c>
      <c r="S792" t="s">
        <v>836</v>
      </c>
      <c r="T792" t="s">
        <v>836</v>
      </c>
      <c r="U792" t="str">
        <f t="shared" si="210"/>
        <v>2500-12-31 00:00:00.0</v>
      </c>
      <c r="V792" t="s">
        <v>837</v>
      </c>
      <c r="W792" t="str">
        <f>"048314-004796-12-SE"</f>
        <v>048314-004796-12-SE</v>
      </c>
      <c r="X792" t="s">
        <v>838</v>
      </c>
      <c r="Y792">
        <v>1254.5</v>
      </c>
      <c r="Z792">
        <v>1254.5</v>
      </c>
      <c r="AA792" t="str">
        <f t="shared" si="219"/>
        <v>06/08/2016</v>
      </c>
    </row>
    <row r="793" spans="1:27" x14ac:dyDescent="0.3">
      <c r="A793" t="str">
        <f t="shared" si="213"/>
        <v>048314</v>
      </c>
      <c r="B793" t="str">
        <f t="shared" si="205"/>
        <v>004796</v>
      </c>
      <c r="C793" t="s">
        <v>1582</v>
      </c>
      <c r="D793" t="s">
        <v>3839</v>
      </c>
      <c r="E793" t="s">
        <v>3840</v>
      </c>
      <c r="F793" t="s">
        <v>3841</v>
      </c>
      <c r="G793" t="s">
        <v>3842</v>
      </c>
      <c r="H793" t="str">
        <f t="shared" si="217"/>
        <v>048314</v>
      </c>
      <c r="I793" t="s">
        <v>833</v>
      </c>
      <c r="J793" t="str">
        <f t="shared" si="218"/>
        <v>2015-07-01 00:00:00.0</v>
      </c>
      <c r="K793" t="s">
        <v>834</v>
      </c>
      <c r="L793" t="s">
        <v>0</v>
      </c>
      <c r="M793" t="str">
        <f t="shared" si="212"/>
        <v>048314</v>
      </c>
      <c r="N793">
        <v>1</v>
      </c>
      <c r="O793">
        <v>1</v>
      </c>
      <c r="P793" t="str">
        <f>"10"</f>
        <v>10</v>
      </c>
      <c r="Q793" t="s">
        <v>835</v>
      </c>
      <c r="S793" t="s">
        <v>836</v>
      </c>
      <c r="T793" t="s">
        <v>836</v>
      </c>
      <c r="U793" t="str">
        <f t="shared" si="210"/>
        <v>2500-12-31 00:00:00.0</v>
      </c>
      <c r="V793" t="s">
        <v>837</v>
      </c>
      <c r="W793" t="str">
        <f>"048314-004796-**-**"</f>
        <v>048314-004796-**-**</v>
      </c>
      <c r="X793" t="s">
        <v>838</v>
      </c>
      <c r="Y793">
        <v>1254.5</v>
      </c>
      <c r="Z793">
        <v>1254.5</v>
      </c>
      <c r="AA793" t="str">
        <f t="shared" si="219"/>
        <v>06/08/2016</v>
      </c>
    </row>
    <row r="794" spans="1:27" x14ac:dyDescent="0.3">
      <c r="A794" t="str">
        <f t="shared" si="213"/>
        <v>048314</v>
      </c>
      <c r="B794" t="str">
        <f t="shared" si="205"/>
        <v>004796</v>
      </c>
      <c r="C794" t="s">
        <v>1448</v>
      </c>
      <c r="D794" t="s">
        <v>3839</v>
      </c>
      <c r="E794" t="s">
        <v>3840</v>
      </c>
      <c r="F794" t="s">
        <v>3841</v>
      </c>
      <c r="G794" t="s">
        <v>3842</v>
      </c>
      <c r="H794" t="str">
        <f>"048397"</f>
        <v>048397</v>
      </c>
      <c r="I794" t="s">
        <v>833</v>
      </c>
      <c r="J794" t="str">
        <f t="shared" si="218"/>
        <v>2015-07-01 00:00:00.0</v>
      </c>
      <c r="K794" t="s">
        <v>834</v>
      </c>
      <c r="L794" t="s">
        <v>1</v>
      </c>
      <c r="M794" t="str">
        <f t="shared" si="212"/>
        <v>048314</v>
      </c>
      <c r="N794">
        <v>1</v>
      </c>
      <c r="O794">
        <v>1</v>
      </c>
      <c r="P794" t="str">
        <f>"10"</f>
        <v>10</v>
      </c>
      <c r="Q794" t="str">
        <f>"10"</f>
        <v>10</v>
      </c>
      <c r="R794" t="str">
        <f>"2"</f>
        <v>2</v>
      </c>
      <c r="S794" t="s">
        <v>860</v>
      </c>
      <c r="T794" t="s">
        <v>836</v>
      </c>
      <c r="U794" t="str">
        <f t="shared" si="210"/>
        <v>2500-12-31 00:00:00.0</v>
      </c>
      <c r="V794" t="s">
        <v>837</v>
      </c>
      <c r="W794" t="str">
        <f>"048397-042333-**-**"</f>
        <v>048397-042333-**-**</v>
      </c>
      <c r="X794" t="s">
        <v>838</v>
      </c>
      <c r="Y794">
        <v>1113.0999999999999</v>
      </c>
      <c r="Z794">
        <v>1113.0999999999999</v>
      </c>
      <c r="AA794" t="str">
        <f t="shared" si="219"/>
        <v>06/08/2016</v>
      </c>
    </row>
    <row r="795" spans="1:27" x14ac:dyDescent="0.3">
      <c r="A795" t="str">
        <f t="shared" si="213"/>
        <v>048314</v>
      </c>
      <c r="B795" t="str">
        <f t="shared" si="205"/>
        <v>004796</v>
      </c>
      <c r="C795" t="s">
        <v>1372</v>
      </c>
      <c r="D795" t="s">
        <v>3839</v>
      </c>
      <c r="E795" t="s">
        <v>3840</v>
      </c>
      <c r="F795" t="s">
        <v>3841</v>
      </c>
      <c r="G795" t="s">
        <v>3842</v>
      </c>
      <c r="H795" t="str">
        <f t="shared" ref="H795:H800" si="220">"048314"</f>
        <v>048314</v>
      </c>
      <c r="I795" t="s">
        <v>833</v>
      </c>
      <c r="J795" t="str">
        <f t="shared" si="218"/>
        <v>2015-07-01 00:00:00.0</v>
      </c>
      <c r="K795" t="s">
        <v>834</v>
      </c>
      <c r="L795" t="s">
        <v>0</v>
      </c>
      <c r="M795" t="str">
        <f t="shared" si="212"/>
        <v>048314</v>
      </c>
      <c r="N795">
        <v>1</v>
      </c>
      <c r="O795">
        <v>1</v>
      </c>
      <c r="P795" t="str">
        <f>"11"</f>
        <v>11</v>
      </c>
      <c r="Q795" t="s">
        <v>835</v>
      </c>
      <c r="S795" t="s">
        <v>836</v>
      </c>
      <c r="T795" t="s">
        <v>836</v>
      </c>
      <c r="U795" t="str">
        <f t="shared" si="210"/>
        <v>2500-12-31 00:00:00.0</v>
      </c>
      <c r="V795" t="s">
        <v>837</v>
      </c>
      <c r="W795" t="str">
        <f>"048314-004796-**-**"</f>
        <v>048314-004796-**-**</v>
      </c>
      <c r="X795" t="s">
        <v>838</v>
      </c>
      <c r="Y795">
        <v>1254.5</v>
      </c>
      <c r="Z795">
        <v>1254.5</v>
      </c>
      <c r="AA795" t="str">
        <f t="shared" si="219"/>
        <v>06/08/2016</v>
      </c>
    </row>
    <row r="796" spans="1:27" x14ac:dyDescent="0.3">
      <c r="A796" t="str">
        <f t="shared" si="213"/>
        <v>048314</v>
      </c>
      <c r="B796" t="str">
        <f t="shared" si="205"/>
        <v>004796</v>
      </c>
      <c r="C796" t="s">
        <v>1644</v>
      </c>
      <c r="D796" t="s">
        <v>3839</v>
      </c>
      <c r="E796" t="s">
        <v>3840</v>
      </c>
      <c r="F796" t="s">
        <v>3841</v>
      </c>
      <c r="G796" t="s">
        <v>3842</v>
      </c>
      <c r="H796" t="str">
        <f t="shared" si="220"/>
        <v>048314</v>
      </c>
      <c r="I796" t="s">
        <v>833</v>
      </c>
      <c r="J796" t="str">
        <f t="shared" si="218"/>
        <v>2015-07-01 00:00:00.0</v>
      </c>
      <c r="K796" t="s">
        <v>834</v>
      </c>
      <c r="L796" t="s">
        <v>0</v>
      </c>
      <c r="M796" t="str">
        <f t="shared" si="212"/>
        <v>048314</v>
      </c>
      <c r="N796">
        <v>1</v>
      </c>
      <c r="O796">
        <v>1</v>
      </c>
      <c r="P796" t="str">
        <f>"10"</f>
        <v>10</v>
      </c>
      <c r="Q796" t="s">
        <v>835</v>
      </c>
      <c r="S796" t="s">
        <v>836</v>
      </c>
      <c r="T796" t="s">
        <v>836</v>
      </c>
      <c r="U796" t="str">
        <f t="shared" si="210"/>
        <v>2500-12-31 00:00:00.0</v>
      </c>
      <c r="V796" t="s">
        <v>837</v>
      </c>
      <c r="W796" t="str">
        <f>"048314-004796-**-**"</f>
        <v>048314-004796-**-**</v>
      </c>
      <c r="X796" t="s">
        <v>838</v>
      </c>
      <c r="Y796">
        <v>1254.5</v>
      </c>
      <c r="Z796">
        <v>1254.5</v>
      </c>
      <c r="AA796" t="str">
        <f t="shared" si="219"/>
        <v>06/08/2016</v>
      </c>
    </row>
    <row r="797" spans="1:27" x14ac:dyDescent="0.3">
      <c r="A797" t="str">
        <f t="shared" si="213"/>
        <v>048314</v>
      </c>
      <c r="B797" t="str">
        <f t="shared" si="205"/>
        <v>004796</v>
      </c>
      <c r="C797" t="s">
        <v>1327</v>
      </c>
      <c r="D797" t="s">
        <v>3839</v>
      </c>
      <c r="E797" t="s">
        <v>3840</v>
      </c>
      <c r="F797" t="s">
        <v>3841</v>
      </c>
      <c r="G797" t="s">
        <v>3842</v>
      </c>
      <c r="H797" t="str">
        <f t="shared" si="220"/>
        <v>048314</v>
      </c>
      <c r="I797" t="s">
        <v>833</v>
      </c>
      <c r="J797" t="str">
        <f t="shared" si="218"/>
        <v>2015-07-01 00:00:00.0</v>
      </c>
      <c r="K797" t="s">
        <v>834</v>
      </c>
      <c r="L797" t="s">
        <v>0</v>
      </c>
      <c r="M797" t="str">
        <f t="shared" si="212"/>
        <v>048314</v>
      </c>
      <c r="N797">
        <v>0.58549200000000001</v>
      </c>
      <c r="O797">
        <v>0.58549200000000001</v>
      </c>
      <c r="P797" t="str">
        <f>"11"</f>
        <v>11</v>
      </c>
      <c r="Q797" t="s">
        <v>835</v>
      </c>
      <c r="S797" t="s">
        <v>836</v>
      </c>
      <c r="T797" t="s">
        <v>836</v>
      </c>
      <c r="U797" t="str">
        <f>"2016-02-11 00:00:00.0"</f>
        <v>2016-02-11 00:00:00.0</v>
      </c>
      <c r="V797" t="s">
        <v>837</v>
      </c>
      <c r="W797" t="str">
        <f>"048314-004796-**-**"</f>
        <v>048314-004796-**-**</v>
      </c>
      <c r="X797" t="s">
        <v>838</v>
      </c>
      <c r="Y797">
        <v>734.5</v>
      </c>
      <c r="Z797">
        <v>1254.5</v>
      </c>
      <c r="AA797" t="str">
        <f t="shared" si="219"/>
        <v>06/08/2016</v>
      </c>
    </row>
    <row r="798" spans="1:27" x14ac:dyDescent="0.3">
      <c r="A798" t="str">
        <f t="shared" si="213"/>
        <v>048314</v>
      </c>
      <c r="B798" t="str">
        <f t="shared" si="205"/>
        <v>004796</v>
      </c>
      <c r="C798" t="s">
        <v>1327</v>
      </c>
      <c r="D798" t="s">
        <v>3839</v>
      </c>
      <c r="E798" t="s">
        <v>3840</v>
      </c>
      <c r="F798" t="s">
        <v>3841</v>
      </c>
      <c r="G798" t="s">
        <v>3842</v>
      </c>
      <c r="H798" t="str">
        <f t="shared" si="220"/>
        <v>048314</v>
      </c>
      <c r="I798" t="s">
        <v>833</v>
      </c>
      <c r="J798" t="str">
        <f>"2016-02-12 00:00:00.0"</f>
        <v>2016-02-12 00:00:00.0</v>
      </c>
      <c r="K798" t="s">
        <v>834</v>
      </c>
      <c r="L798" t="s">
        <v>0</v>
      </c>
      <c r="M798" t="str">
        <f t="shared" si="212"/>
        <v>048314</v>
      </c>
      <c r="N798">
        <v>0.41450799999999999</v>
      </c>
      <c r="O798">
        <v>0.41450799999999999</v>
      </c>
      <c r="P798" t="str">
        <f>"11"</f>
        <v>11</v>
      </c>
      <c r="Q798" t="s">
        <v>835</v>
      </c>
      <c r="S798" t="s">
        <v>860</v>
      </c>
      <c r="T798" t="s">
        <v>836</v>
      </c>
      <c r="U798" t="str">
        <f>"2500-12-31 00:00:00.0"</f>
        <v>2500-12-31 00:00:00.0</v>
      </c>
      <c r="V798" t="s">
        <v>837</v>
      </c>
      <c r="W798" t="str">
        <f>"048314-004796-**-**"</f>
        <v>048314-004796-**-**</v>
      </c>
      <c r="X798" t="s">
        <v>838</v>
      </c>
      <c r="Y798">
        <v>520</v>
      </c>
      <c r="Z798">
        <v>1254.5</v>
      </c>
      <c r="AA798" t="str">
        <f t="shared" si="219"/>
        <v>06/08/2016</v>
      </c>
    </row>
    <row r="799" spans="1:27" x14ac:dyDescent="0.3">
      <c r="A799" t="str">
        <f t="shared" si="213"/>
        <v>048314</v>
      </c>
      <c r="B799" t="str">
        <f t="shared" si="205"/>
        <v>004796</v>
      </c>
      <c r="C799" t="s">
        <v>1074</v>
      </c>
      <c r="D799" t="s">
        <v>3839</v>
      </c>
      <c r="E799" t="s">
        <v>3840</v>
      </c>
      <c r="F799" t="s">
        <v>3841</v>
      </c>
      <c r="G799" t="s">
        <v>3842</v>
      </c>
      <c r="H799" t="str">
        <f t="shared" si="220"/>
        <v>048314</v>
      </c>
      <c r="I799" t="s">
        <v>833</v>
      </c>
      <c r="J799" t="str">
        <f>"2015-07-01 00:00:00.0"</f>
        <v>2015-07-01 00:00:00.0</v>
      </c>
      <c r="K799" t="s">
        <v>834</v>
      </c>
      <c r="L799" t="s">
        <v>0</v>
      </c>
      <c r="M799" t="str">
        <f t="shared" si="212"/>
        <v>048314</v>
      </c>
      <c r="N799">
        <v>1</v>
      </c>
      <c r="O799">
        <v>1</v>
      </c>
      <c r="P799" t="str">
        <f>"12"</f>
        <v>12</v>
      </c>
      <c r="Q799" t="s">
        <v>835</v>
      </c>
      <c r="S799" t="s">
        <v>836</v>
      </c>
      <c r="T799" t="s">
        <v>836</v>
      </c>
      <c r="U799" t="str">
        <f>"2500-12-31 00:00:00.0"</f>
        <v>2500-12-31 00:00:00.0</v>
      </c>
      <c r="V799" t="s">
        <v>837</v>
      </c>
      <c r="W799" t="str">
        <f>"048314-004796-12-SE"</f>
        <v>048314-004796-12-SE</v>
      </c>
      <c r="X799" t="s">
        <v>838</v>
      </c>
      <c r="Y799">
        <v>1254.5</v>
      </c>
      <c r="Z799">
        <v>1254.5</v>
      </c>
      <c r="AA799" t="str">
        <f t="shared" si="219"/>
        <v>06/08/2016</v>
      </c>
    </row>
    <row r="800" spans="1:27" x14ac:dyDescent="0.3">
      <c r="A800" t="str">
        <f t="shared" si="213"/>
        <v>048314</v>
      </c>
      <c r="B800" t="str">
        <f t="shared" si="205"/>
        <v>004796</v>
      </c>
      <c r="C800" t="s">
        <v>1469</v>
      </c>
      <c r="D800" t="s">
        <v>3839</v>
      </c>
      <c r="E800" t="s">
        <v>3840</v>
      </c>
      <c r="F800" t="s">
        <v>3841</v>
      </c>
      <c r="G800" t="s">
        <v>3842</v>
      </c>
      <c r="H800" t="str">
        <f t="shared" si="220"/>
        <v>048314</v>
      </c>
      <c r="I800" t="s">
        <v>833</v>
      </c>
      <c r="J800" t="str">
        <f>"2015-07-01 00:00:00.0"</f>
        <v>2015-07-01 00:00:00.0</v>
      </c>
      <c r="K800" t="s">
        <v>834</v>
      </c>
      <c r="L800" t="s">
        <v>0</v>
      </c>
      <c r="M800" t="str">
        <f t="shared" si="212"/>
        <v>048314</v>
      </c>
      <c r="N800">
        <v>1</v>
      </c>
      <c r="O800">
        <v>1</v>
      </c>
      <c r="P800" t="str">
        <f>"11"</f>
        <v>11</v>
      </c>
      <c r="Q800" t="s">
        <v>835</v>
      </c>
      <c r="S800" t="s">
        <v>836</v>
      </c>
      <c r="T800" t="s">
        <v>836</v>
      </c>
      <c r="U800" t="str">
        <f>"2500-12-31 00:00:00.0"</f>
        <v>2500-12-31 00:00:00.0</v>
      </c>
      <c r="V800" t="s">
        <v>837</v>
      </c>
      <c r="W800" t="str">
        <f>"048314-004796-**-**"</f>
        <v>048314-004796-**-**</v>
      </c>
      <c r="X800" t="s">
        <v>838</v>
      </c>
      <c r="Y800">
        <v>1254.5</v>
      </c>
      <c r="Z800">
        <v>1254.5</v>
      </c>
      <c r="AA800" t="str">
        <f t="shared" si="219"/>
        <v>06/08/2016</v>
      </c>
    </row>
    <row r="801" spans="1:27" x14ac:dyDescent="0.3">
      <c r="A801" t="str">
        <f t="shared" si="213"/>
        <v>048314</v>
      </c>
      <c r="B801" t="str">
        <f t="shared" si="205"/>
        <v>004796</v>
      </c>
      <c r="C801" t="s">
        <v>1269</v>
      </c>
      <c r="D801" t="s">
        <v>3839</v>
      </c>
      <c r="E801" t="s">
        <v>3840</v>
      </c>
      <c r="F801" t="s">
        <v>3841</v>
      </c>
      <c r="G801" t="s">
        <v>3842</v>
      </c>
      <c r="H801" t="str">
        <f>"051243"</f>
        <v>051243</v>
      </c>
      <c r="I801" t="s">
        <v>833</v>
      </c>
      <c r="J801" t="str">
        <f>"2015-07-01 00:00:00.0"</f>
        <v>2015-07-01 00:00:00.0</v>
      </c>
      <c r="K801" t="s">
        <v>834</v>
      </c>
      <c r="L801" t="s">
        <v>0</v>
      </c>
      <c r="M801" t="str">
        <f t="shared" si="212"/>
        <v>048314</v>
      </c>
      <c r="N801">
        <v>5.8824000000000001E-2</v>
      </c>
      <c r="O801">
        <v>5.8824000000000001E-2</v>
      </c>
      <c r="P801" t="str">
        <f>"12"</f>
        <v>12</v>
      </c>
      <c r="Q801" t="str">
        <f>"10"</f>
        <v>10</v>
      </c>
      <c r="R801" t="str">
        <f>"2"</f>
        <v>2</v>
      </c>
      <c r="S801" t="s">
        <v>836</v>
      </c>
      <c r="T801" t="s">
        <v>836</v>
      </c>
      <c r="U801" t="str">
        <f>"2015-09-10 00:00:00.0"</f>
        <v>2015-09-10 00:00:00.0</v>
      </c>
      <c r="V801" t="s">
        <v>886</v>
      </c>
      <c r="W801" t="str">
        <f>"051243-051250-12-SE"</f>
        <v>051243-051250-12-SE</v>
      </c>
      <c r="X801" t="s">
        <v>838</v>
      </c>
      <c r="Y801">
        <v>65</v>
      </c>
      <c r="Z801">
        <v>1105</v>
      </c>
      <c r="AA801" t="str">
        <f>"05/21/2016"</f>
        <v>05/21/2016</v>
      </c>
    </row>
    <row r="802" spans="1:27" x14ac:dyDescent="0.3">
      <c r="A802" t="str">
        <f t="shared" si="213"/>
        <v>048314</v>
      </c>
      <c r="B802" t="str">
        <f t="shared" si="205"/>
        <v>004796</v>
      </c>
      <c r="C802" t="s">
        <v>1269</v>
      </c>
      <c r="D802" t="s">
        <v>3839</v>
      </c>
      <c r="E802" t="s">
        <v>3840</v>
      </c>
      <c r="F802" t="s">
        <v>3841</v>
      </c>
      <c r="G802" t="s">
        <v>3842</v>
      </c>
      <c r="H802" t="str">
        <f>"051243"</f>
        <v>051243</v>
      </c>
      <c r="I802" t="s">
        <v>833</v>
      </c>
      <c r="J802" t="str">
        <f>"2015-09-11 00:00:00.0"</f>
        <v>2015-09-11 00:00:00.0</v>
      </c>
      <c r="K802" t="s">
        <v>834</v>
      </c>
      <c r="L802" t="s">
        <v>0</v>
      </c>
      <c r="M802" t="str">
        <f t="shared" si="212"/>
        <v>048314</v>
      </c>
      <c r="N802">
        <v>0.94117600000000001</v>
      </c>
      <c r="O802">
        <v>0.94117600000000001</v>
      </c>
      <c r="P802" t="str">
        <f>"12"</f>
        <v>12</v>
      </c>
      <c r="Q802" t="str">
        <f>"10"</f>
        <v>10</v>
      </c>
      <c r="R802" t="str">
        <f>"2"</f>
        <v>2</v>
      </c>
      <c r="S802" t="s">
        <v>860</v>
      </c>
      <c r="T802" t="s">
        <v>836</v>
      </c>
      <c r="U802" t="str">
        <f t="shared" ref="U802:U840" si="221">"2500-12-31 00:00:00.0"</f>
        <v>2500-12-31 00:00:00.0</v>
      </c>
      <c r="V802" t="s">
        <v>886</v>
      </c>
      <c r="W802" t="str">
        <f>"051243-051250-12-SE"</f>
        <v>051243-051250-12-SE</v>
      </c>
      <c r="X802" t="s">
        <v>838</v>
      </c>
      <c r="Y802">
        <v>1040</v>
      </c>
      <c r="Z802">
        <v>1105</v>
      </c>
      <c r="AA802" t="str">
        <f>"05/21/2016"</f>
        <v>05/21/2016</v>
      </c>
    </row>
    <row r="803" spans="1:27" x14ac:dyDescent="0.3">
      <c r="A803" t="str">
        <f t="shared" si="213"/>
        <v>048314</v>
      </c>
      <c r="B803" t="str">
        <f t="shared" si="205"/>
        <v>004796</v>
      </c>
      <c r="C803" t="s">
        <v>1565</v>
      </c>
      <c r="D803" t="s">
        <v>3839</v>
      </c>
      <c r="E803" t="s">
        <v>3840</v>
      </c>
      <c r="F803" t="s">
        <v>3841</v>
      </c>
      <c r="G803" t="s">
        <v>3842</v>
      </c>
      <c r="H803" t="str">
        <f>"048314"</f>
        <v>048314</v>
      </c>
      <c r="I803" t="s">
        <v>833</v>
      </c>
      <c r="J803" t="str">
        <f t="shared" ref="J803:J816" si="222">"2015-07-01 00:00:00.0"</f>
        <v>2015-07-01 00:00:00.0</v>
      </c>
      <c r="K803" t="s">
        <v>834</v>
      </c>
      <c r="L803" t="s">
        <v>0</v>
      </c>
      <c r="M803" t="str">
        <f t="shared" si="212"/>
        <v>048314</v>
      </c>
      <c r="N803">
        <v>1</v>
      </c>
      <c r="O803">
        <v>1</v>
      </c>
      <c r="P803" t="str">
        <f>"10"</f>
        <v>10</v>
      </c>
      <c r="Q803" t="s">
        <v>835</v>
      </c>
      <c r="S803" t="s">
        <v>836</v>
      </c>
      <c r="T803" t="s">
        <v>836</v>
      </c>
      <c r="U803" t="str">
        <f t="shared" si="221"/>
        <v>2500-12-31 00:00:00.0</v>
      </c>
      <c r="V803" t="s">
        <v>837</v>
      </c>
      <c r="W803" t="str">
        <f>"048314-004796-**-**"</f>
        <v>048314-004796-**-**</v>
      </c>
      <c r="X803" t="s">
        <v>838</v>
      </c>
      <c r="Y803">
        <v>1254.5</v>
      </c>
      <c r="Z803">
        <v>1254.5</v>
      </c>
      <c r="AA803" t="str">
        <f t="shared" ref="AA803:AA834" si="223">"06/08/2016"</f>
        <v>06/08/2016</v>
      </c>
    </row>
    <row r="804" spans="1:27" x14ac:dyDescent="0.3">
      <c r="A804" t="str">
        <f t="shared" si="213"/>
        <v>048314</v>
      </c>
      <c r="B804" t="str">
        <f t="shared" si="205"/>
        <v>004796</v>
      </c>
      <c r="C804" t="s">
        <v>1704</v>
      </c>
      <c r="D804" t="s">
        <v>3839</v>
      </c>
      <c r="E804" t="s">
        <v>3840</v>
      </c>
      <c r="F804" t="s">
        <v>3841</v>
      </c>
      <c r="G804" t="s">
        <v>3842</v>
      </c>
      <c r="H804" t="str">
        <f>"048314"</f>
        <v>048314</v>
      </c>
      <c r="I804" t="s">
        <v>833</v>
      </c>
      <c r="J804" t="str">
        <f t="shared" si="222"/>
        <v>2015-07-01 00:00:00.0</v>
      </c>
      <c r="K804" t="s">
        <v>834</v>
      </c>
      <c r="L804" t="s">
        <v>0</v>
      </c>
      <c r="M804" t="str">
        <f t="shared" si="212"/>
        <v>048314</v>
      </c>
      <c r="N804">
        <v>1</v>
      </c>
      <c r="O804">
        <v>1</v>
      </c>
      <c r="P804" t="str">
        <f>"10"</f>
        <v>10</v>
      </c>
      <c r="Q804" t="s">
        <v>835</v>
      </c>
      <c r="S804" t="s">
        <v>836</v>
      </c>
      <c r="T804" t="s">
        <v>836</v>
      </c>
      <c r="U804" t="str">
        <f t="shared" si="221"/>
        <v>2500-12-31 00:00:00.0</v>
      </c>
      <c r="V804" t="s">
        <v>837</v>
      </c>
      <c r="W804" t="str">
        <f>"048314-004796-**-**"</f>
        <v>048314-004796-**-**</v>
      </c>
      <c r="X804" t="s">
        <v>838</v>
      </c>
      <c r="Y804">
        <v>1254.5</v>
      </c>
      <c r="Z804">
        <v>1254.5</v>
      </c>
      <c r="AA804" t="str">
        <f t="shared" si="223"/>
        <v>06/08/2016</v>
      </c>
    </row>
    <row r="805" spans="1:27" x14ac:dyDescent="0.3">
      <c r="A805" t="str">
        <f t="shared" si="213"/>
        <v>048314</v>
      </c>
      <c r="B805" t="str">
        <f t="shared" si="205"/>
        <v>004796</v>
      </c>
      <c r="C805" t="s">
        <v>1645</v>
      </c>
      <c r="D805" t="s">
        <v>3839</v>
      </c>
      <c r="E805" t="s">
        <v>3840</v>
      </c>
      <c r="F805" t="s">
        <v>3841</v>
      </c>
      <c r="G805" t="s">
        <v>3842</v>
      </c>
      <c r="H805" t="str">
        <f>"048314"</f>
        <v>048314</v>
      </c>
      <c r="I805" t="s">
        <v>833</v>
      </c>
      <c r="J805" t="str">
        <f t="shared" si="222"/>
        <v>2015-07-01 00:00:00.0</v>
      </c>
      <c r="K805" t="s">
        <v>834</v>
      </c>
      <c r="L805" t="s">
        <v>0</v>
      </c>
      <c r="M805" t="str">
        <f t="shared" si="212"/>
        <v>048314</v>
      </c>
      <c r="N805">
        <v>1</v>
      </c>
      <c r="O805">
        <v>1</v>
      </c>
      <c r="P805" t="str">
        <f>"10"</f>
        <v>10</v>
      </c>
      <c r="Q805" t="s">
        <v>835</v>
      </c>
      <c r="S805" t="s">
        <v>836</v>
      </c>
      <c r="T805" t="s">
        <v>836</v>
      </c>
      <c r="U805" t="str">
        <f t="shared" si="221"/>
        <v>2500-12-31 00:00:00.0</v>
      </c>
      <c r="V805" t="s">
        <v>837</v>
      </c>
      <c r="W805" t="str">
        <f>"048314-004796-**-**"</f>
        <v>048314-004796-**-**</v>
      </c>
      <c r="X805" t="s">
        <v>838</v>
      </c>
      <c r="Y805">
        <v>1254.5</v>
      </c>
      <c r="Z805">
        <v>1254.5</v>
      </c>
      <c r="AA805" t="str">
        <f t="shared" si="223"/>
        <v>06/08/2016</v>
      </c>
    </row>
    <row r="806" spans="1:27" x14ac:dyDescent="0.3">
      <c r="A806" t="str">
        <f t="shared" si="213"/>
        <v>048314</v>
      </c>
      <c r="B806" t="str">
        <f t="shared" si="205"/>
        <v>004796</v>
      </c>
      <c r="C806" t="s">
        <v>1177</v>
      </c>
      <c r="D806" t="s">
        <v>3839</v>
      </c>
      <c r="E806" t="s">
        <v>3840</v>
      </c>
      <c r="F806" t="s">
        <v>3841</v>
      </c>
      <c r="G806" t="s">
        <v>3842</v>
      </c>
      <c r="H806" t="str">
        <f>"048397"</f>
        <v>048397</v>
      </c>
      <c r="I806" t="s">
        <v>833</v>
      </c>
      <c r="J806" t="str">
        <f t="shared" si="222"/>
        <v>2015-07-01 00:00:00.0</v>
      </c>
      <c r="K806" t="s">
        <v>834</v>
      </c>
      <c r="L806" t="s">
        <v>1</v>
      </c>
      <c r="M806" t="str">
        <f t="shared" si="212"/>
        <v>048314</v>
      </c>
      <c r="N806">
        <v>1</v>
      </c>
      <c r="O806">
        <v>1</v>
      </c>
      <c r="P806" t="str">
        <f>"11"</f>
        <v>11</v>
      </c>
      <c r="Q806" t="s">
        <v>835</v>
      </c>
      <c r="S806" t="s">
        <v>836</v>
      </c>
      <c r="T806" t="s">
        <v>836</v>
      </c>
      <c r="U806" t="str">
        <f t="shared" si="221"/>
        <v>2500-12-31 00:00:00.0</v>
      </c>
      <c r="V806" t="s">
        <v>837</v>
      </c>
      <c r="W806" t="str">
        <f>"048397-042333-**-**"</f>
        <v>048397-042333-**-**</v>
      </c>
      <c r="X806" t="s">
        <v>838</v>
      </c>
      <c r="Y806">
        <v>1113.0999999999999</v>
      </c>
      <c r="Z806">
        <v>1113.0999999999999</v>
      </c>
      <c r="AA806" t="str">
        <f t="shared" si="223"/>
        <v>06/08/2016</v>
      </c>
    </row>
    <row r="807" spans="1:27" x14ac:dyDescent="0.3">
      <c r="A807" t="str">
        <f t="shared" si="213"/>
        <v>048314</v>
      </c>
      <c r="B807" t="str">
        <f t="shared" si="205"/>
        <v>004796</v>
      </c>
      <c r="C807" t="s">
        <v>1178</v>
      </c>
      <c r="D807" t="s">
        <v>3839</v>
      </c>
      <c r="E807" t="s">
        <v>3840</v>
      </c>
      <c r="F807" t="s">
        <v>3841</v>
      </c>
      <c r="G807" t="s">
        <v>3842</v>
      </c>
      <c r="H807" t="str">
        <f t="shared" ref="H807:H834" si="224">"048314"</f>
        <v>048314</v>
      </c>
      <c r="I807" t="s">
        <v>833</v>
      </c>
      <c r="J807" t="str">
        <f t="shared" si="222"/>
        <v>2015-07-01 00:00:00.0</v>
      </c>
      <c r="K807" t="s">
        <v>834</v>
      </c>
      <c r="L807" t="s">
        <v>0</v>
      </c>
      <c r="M807" t="str">
        <f t="shared" si="212"/>
        <v>048314</v>
      </c>
      <c r="N807">
        <v>1</v>
      </c>
      <c r="O807">
        <v>1</v>
      </c>
      <c r="P807" t="str">
        <f>"12"</f>
        <v>12</v>
      </c>
      <c r="Q807" t="s">
        <v>835</v>
      </c>
      <c r="S807" t="s">
        <v>836</v>
      </c>
      <c r="T807" t="s">
        <v>836</v>
      </c>
      <c r="U807" t="str">
        <f t="shared" si="221"/>
        <v>2500-12-31 00:00:00.0</v>
      </c>
      <c r="V807" t="s">
        <v>837</v>
      </c>
      <c r="W807" t="str">
        <f>"048314-004796-12-SE"</f>
        <v>048314-004796-12-SE</v>
      </c>
      <c r="X807" t="s">
        <v>838</v>
      </c>
      <c r="Y807">
        <v>1254.5</v>
      </c>
      <c r="Z807">
        <v>1254.5</v>
      </c>
      <c r="AA807" t="str">
        <f t="shared" si="223"/>
        <v>06/08/2016</v>
      </c>
    </row>
    <row r="808" spans="1:27" x14ac:dyDescent="0.3">
      <c r="A808" t="str">
        <f t="shared" si="213"/>
        <v>048314</v>
      </c>
      <c r="B808" t="str">
        <f t="shared" si="205"/>
        <v>004796</v>
      </c>
      <c r="C808" t="s">
        <v>1373</v>
      </c>
      <c r="D808" t="s">
        <v>3839</v>
      </c>
      <c r="E808" t="s">
        <v>3840</v>
      </c>
      <c r="F808" t="s">
        <v>3841</v>
      </c>
      <c r="G808" t="s">
        <v>3842</v>
      </c>
      <c r="H808" t="str">
        <f t="shared" si="224"/>
        <v>048314</v>
      </c>
      <c r="I808" t="s">
        <v>833</v>
      </c>
      <c r="J808" t="str">
        <f t="shared" si="222"/>
        <v>2015-07-01 00:00:00.0</v>
      </c>
      <c r="K808" t="s">
        <v>834</v>
      </c>
      <c r="L808" t="s">
        <v>0</v>
      </c>
      <c r="M808" t="str">
        <f t="shared" si="212"/>
        <v>048314</v>
      </c>
      <c r="N808">
        <v>1</v>
      </c>
      <c r="O808">
        <v>1</v>
      </c>
      <c r="P808" t="str">
        <f>"11"</f>
        <v>11</v>
      </c>
      <c r="Q808" t="s">
        <v>835</v>
      </c>
      <c r="S808" t="s">
        <v>836</v>
      </c>
      <c r="T808" t="s">
        <v>836</v>
      </c>
      <c r="U808" t="str">
        <f t="shared" si="221"/>
        <v>2500-12-31 00:00:00.0</v>
      </c>
      <c r="V808" t="s">
        <v>837</v>
      </c>
      <c r="W808" t="str">
        <f>"048314-004796-**-**"</f>
        <v>048314-004796-**-**</v>
      </c>
      <c r="X808" t="s">
        <v>838</v>
      </c>
      <c r="Y808">
        <v>1254.5</v>
      </c>
      <c r="Z808">
        <v>1254.5</v>
      </c>
      <c r="AA808" t="str">
        <f t="shared" si="223"/>
        <v>06/08/2016</v>
      </c>
    </row>
    <row r="809" spans="1:27" x14ac:dyDescent="0.3">
      <c r="A809" t="str">
        <f t="shared" si="213"/>
        <v>048314</v>
      </c>
      <c r="B809" t="str">
        <f t="shared" si="205"/>
        <v>004796</v>
      </c>
      <c r="C809" t="s">
        <v>1126</v>
      </c>
      <c r="D809" t="s">
        <v>3839</v>
      </c>
      <c r="E809" t="s">
        <v>3840</v>
      </c>
      <c r="F809" t="s">
        <v>3841</v>
      </c>
      <c r="G809" t="s">
        <v>3842</v>
      </c>
      <c r="H809" t="str">
        <f t="shared" si="224"/>
        <v>048314</v>
      </c>
      <c r="I809" t="s">
        <v>833</v>
      </c>
      <c r="J809" t="str">
        <f t="shared" si="222"/>
        <v>2015-07-01 00:00:00.0</v>
      </c>
      <c r="K809" t="s">
        <v>834</v>
      </c>
      <c r="L809" t="s">
        <v>0</v>
      </c>
      <c r="M809" t="str">
        <f t="shared" si="212"/>
        <v>048314</v>
      </c>
      <c r="N809">
        <v>1</v>
      </c>
      <c r="O809">
        <v>1</v>
      </c>
      <c r="P809" t="str">
        <f>"12"</f>
        <v>12</v>
      </c>
      <c r="Q809" t="s">
        <v>835</v>
      </c>
      <c r="S809" t="s">
        <v>836</v>
      </c>
      <c r="T809" t="s">
        <v>836</v>
      </c>
      <c r="U809" t="str">
        <f t="shared" si="221"/>
        <v>2500-12-31 00:00:00.0</v>
      </c>
      <c r="V809" t="s">
        <v>837</v>
      </c>
      <c r="W809" t="str">
        <f>"048314-004796-12-SE"</f>
        <v>048314-004796-12-SE</v>
      </c>
      <c r="X809" t="s">
        <v>838</v>
      </c>
      <c r="Y809">
        <v>1254.5</v>
      </c>
      <c r="Z809">
        <v>1254.5</v>
      </c>
      <c r="AA809" t="str">
        <f t="shared" si="223"/>
        <v>06/08/2016</v>
      </c>
    </row>
    <row r="810" spans="1:27" x14ac:dyDescent="0.3">
      <c r="A810" t="str">
        <f t="shared" si="213"/>
        <v>048314</v>
      </c>
      <c r="B810" t="str">
        <f t="shared" si="205"/>
        <v>004796</v>
      </c>
      <c r="C810" t="s">
        <v>1179</v>
      </c>
      <c r="D810" t="s">
        <v>3839</v>
      </c>
      <c r="E810" t="s">
        <v>3840</v>
      </c>
      <c r="F810" t="s">
        <v>3841</v>
      </c>
      <c r="G810" t="s">
        <v>3842</v>
      </c>
      <c r="H810" t="str">
        <f t="shared" si="224"/>
        <v>048314</v>
      </c>
      <c r="I810" t="s">
        <v>833</v>
      </c>
      <c r="J810" t="str">
        <f t="shared" si="222"/>
        <v>2015-07-01 00:00:00.0</v>
      </c>
      <c r="K810" t="s">
        <v>834</v>
      </c>
      <c r="L810" t="s">
        <v>0</v>
      </c>
      <c r="M810" t="str">
        <f t="shared" si="212"/>
        <v>048314</v>
      </c>
      <c r="N810">
        <v>1</v>
      </c>
      <c r="O810">
        <v>1</v>
      </c>
      <c r="P810" t="str">
        <f>"12"</f>
        <v>12</v>
      </c>
      <c r="Q810" t="s">
        <v>835</v>
      </c>
      <c r="S810" t="s">
        <v>836</v>
      </c>
      <c r="T810" t="s">
        <v>836</v>
      </c>
      <c r="U810" t="str">
        <f t="shared" si="221"/>
        <v>2500-12-31 00:00:00.0</v>
      </c>
      <c r="V810" t="s">
        <v>837</v>
      </c>
      <c r="W810" t="str">
        <f>"048314-004796-12-SE"</f>
        <v>048314-004796-12-SE</v>
      </c>
      <c r="X810" t="s">
        <v>838</v>
      </c>
      <c r="Y810">
        <v>1254.5</v>
      </c>
      <c r="Z810">
        <v>1254.5</v>
      </c>
      <c r="AA810" t="str">
        <f t="shared" si="223"/>
        <v>06/08/2016</v>
      </c>
    </row>
    <row r="811" spans="1:27" x14ac:dyDescent="0.3">
      <c r="A811" t="str">
        <f t="shared" si="213"/>
        <v>048314</v>
      </c>
      <c r="B811" t="str">
        <f t="shared" si="205"/>
        <v>004796</v>
      </c>
      <c r="C811" t="s">
        <v>3142</v>
      </c>
      <c r="D811" t="s">
        <v>3839</v>
      </c>
      <c r="E811" t="s">
        <v>3840</v>
      </c>
      <c r="F811" t="s">
        <v>3841</v>
      </c>
      <c r="G811" t="s">
        <v>3842</v>
      </c>
      <c r="H811" t="str">
        <f t="shared" si="224"/>
        <v>048314</v>
      </c>
      <c r="I811" t="s">
        <v>833</v>
      </c>
      <c r="J811" t="str">
        <f t="shared" si="222"/>
        <v>2015-07-01 00:00:00.0</v>
      </c>
      <c r="K811" t="s">
        <v>834</v>
      </c>
      <c r="L811" t="s">
        <v>0</v>
      </c>
      <c r="M811" t="str">
        <f t="shared" si="212"/>
        <v>048314</v>
      </c>
      <c r="N811">
        <v>1</v>
      </c>
      <c r="O811">
        <v>1</v>
      </c>
      <c r="P811" t="str">
        <f>"10"</f>
        <v>10</v>
      </c>
      <c r="Q811" t="s">
        <v>835</v>
      </c>
      <c r="S811" t="s">
        <v>836</v>
      </c>
      <c r="T811" t="s">
        <v>836</v>
      </c>
      <c r="U811" t="str">
        <f t="shared" si="221"/>
        <v>2500-12-31 00:00:00.0</v>
      </c>
      <c r="V811" t="s">
        <v>837</v>
      </c>
      <c r="W811" t="str">
        <f>"048314-004796-**-**"</f>
        <v>048314-004796-**-**</v>
      </c>
      <c r="X811" t="s">
        <v>838</v>
      </c>
      <c r="Y811">
        <v>1254.5</v>
      </c>
      <c r="Z811">
        <v>1254.5</v>
      </c>
      <c r="AA811" t="str">
        <f t="shared" si="223"/>
        <v>06/08/2016</v>
      </c>
    </row>
    <row r="812" spans="1:27" x14ac:dyDescent="0.3">
      <c r="A812" t="str">
        <f t="shared" si="213"/>
        <v>048314</v>
      </c>
      <c r="B812" t="str">
        <f t="shared" si="205"/>
        <v>004796</v>
      </c>
      <c r="C812" t="s">
        <v>1069</v>
      </c>
      <c r="D812" t="s">
        <v>3839</v>
      </c>
      <c r="E812" t="s">
        <v>3840</v>
      </c>
      <c r="F812" t="s">
        <v>3841</v>
      </c>
      <c r="G812" t="s">
        <v>3842</v>
      </c>
      <c r="H812" t="str">
        <f t="shared" si="224"/>
        <v>048314</v>
      </c>
      <c r="I812" t="s">
        <v>833</v>
      </c>
      <c r="J812" t="str">
        <f t="shared" si="222"/>
        <v>2015-07-01 00:00:00.0</v>
      </c>
      <c r="K812" t="s">
        <v>834</v>
      </c>
      <c r="L812" t="s">
        <v>0</v>
      </c>
      <c r="M812" t="str">
        <f t="shared" si="212"/>
        <v>048314</v>
      </c>
      <c r="N812">
        <v>1</v>
      </c>
      <c r="O812">
        <v>1</v>
      </c>
      <c r="P812" t="str">
        <f>"12"</f>
        <v>12</v>
      </c>
      <c r="Q812" t="s">
        <v>835</v>
      </c>
      <c r="S812" t="s">
        <v>836</v>
      </c>
      <c r="T812" t="s">
        <v>836</v>
      </c>
      <c r="U812" t="str">
        <f t="shared" si="221"/>
        <v>2500-12-31 00:00:00.0</v>
      </c>
      <c r="V812" t="s">
        <v>837</v>
      </c>
      <c r="W812" t="str">
        <f>"048314-004796-12-SE"</f>
        <v>048314-004796-12-SE</v>
      </c>
      <c r="X812" t="s">
        <v>838</v>
      </c>
      <c r="Y812">
        <v>1254.5</v>
      </c>
      <c r="Z812">
        <v>1254.5</v>
      </c>
      <c r="AA812" t="str">
        <f t="shared" si="223"/>
        <v>06/08/2016</v>
      </c>
    </row>
    <row r="813" spans="1:27" x14ac:dyDescent="0.3">
      <c r="A813" t="str">
        <f t="shared" si="213"/>
        <v>048314</v>
      </c>
      <c r="B813" t="str">
        <f t="shared" ref="B813:B876" si="225">"004796"</f>
        <v>004796</v>
      </c>
      <c r="C813" t="s">
        <v>1127</v>
      </c>
      <c r="D813" t="s">
        <v>3839</v>
      </c>
      <c r="E813" t="s">
        <v>3840</v>
      </c>
      <c r="F813" t="s">
        <v>3841</v>
      </c>
      <c r="G813" t="s">
        <v>3842</v>
      </c>
      <c r="H813" t="str">
        <f t="shared" si="224"/>
        <v>048314</v>
      </c>
      <c r="I813" t="s">
        <v>833</v>
      </c>
      <c r="J813" t="str">
        <f t="shared" si="222"/>
        <v>2015-07-01 00:00:00.0</v>
      </c>
      <c r="K813" t="s">
        <v>834</v>
      </c>
      <c r="L813" t="s">
        <v>0</v>
      </c>
      <c r="M813" t="str">
        <f t="shared" si="212"/>
        <v>048314</v>
      </c>
      <c r="N813">
        <v>1</v>
      </c>
      <c r="O813">
        <v>1</v>
      </c>
      <c r="P813" t="str">
        <f>"12"</f>
        <v>12</v>
      </c>
      <c r="Q813" t="s">
        <v>835</v>
      </c>
      <c r="S813" t="s">
        <v>860</v>
      </c>
      <c r="T813" t="s">
        <v>836</v>
      </c>
      <c r="U813" t="str">
        <f t="shared" si="221"/>
        <v>2500-12-31 00:00:00.0</v>
      </c>
      <c r="V813" t="s">
        <v>837</v>
      </c>
      <c r="W813" t="str">
        <f>"048314-004796-12-SE"</f>
        <v>048314-004796-12-SE</v>
      </c>
      <c r="X813" t="s">
        <v>838</v>
      </c>
      <c r="Y813">
        <v>1254.5</v>
      </c>
      <c r="Z813">
        <v>1254.5</v>
      </c>
      <c r="AA813" t="str">
        <f t="shared" si="223"/>
        <v>06/08/2016</v>
      </c>
    </row>
    <row r="814" spans="1:27" x14ac:dyDescent="0.3">
      <c r="A814" t="str">
        <f t="shared" si="213"/>
        <v>048314</v>
      </c>
      <c r="B814" t="str">
        <f t="shared" si="225"/>
        <v>004796</v>
      </c>
      <c r="C814" t="s">
        <v>1583</v>
      </c>
      <c r="D814" t="s">
        <v>3839</v>
      </c>
      <c r="E814" t="s">
        <v>3840</v>
      </c>
      <c r="F814" t="s">
        <v>3841</v>
      </c>
      <c r="G814" t="s">
        <v>3842</v>
      </c>
      <c r="H814" t="str">
        <f t="shared" si="224"/>
        <v>048314</v>
      </c>
      <c r="I814" t="s">
        <v>833</v>
      </c>
      <c r="J814" t="str">
        <f t="shared" si="222"/>
        <v>2015-07-01 00:00:00.0</v>
      </c>
      <c r="K814" t="s">
        <v>834</v>
      </c>
      <c r="L814" t="s">
        <v>0</v>
      </c>
      <c r="M814" t="str">
        <f t="shared" si="212"/>
        <v>048314</v>
      </c>
      <c r="N814">
        <v>1</v>
      </c>
      <c r="O814">
        <v>1</v>
      </c>
      <c r="P814" t="str">
        <f>"10"</f>
        <v>10</v>
      </c>
      <c r="Q814" t="s">
        <v>835</v>
      </c>
      <c r="S814" t="s">
        <v>860</v>
      </c>
      <c r="T814" t="s">
        <v>836</v>
      </c>
      <c r="U814" t="str">
        <f t="shared" si="221"/>
        <v>2500-12-31 00:00:00.0</v>
      </c>
      <c r="V814" t="s">
        <v>837</v>
      </c>
      <c r="W814" t="str">
        <f>"048314-004796-**-**"</f>
        <v>048314-004796-**-**</v>
      </c>
      <c r="X814" t="s">
        <v>838</v>
      </c>
      <c r="Y814">
        <v>1254.5</v>
      </c>
      <c r="Z814">
        <v>1254.5</v>
      </c>
      <c r="AA814" t="str">
        <f t="shared" si="223"/>
        <v>06/08/2016</v>
      </c>
    </row>
    <row r="815" spans="1:27" x14ac:dyDescent="0.3">
      <c r="A815" t="str">
        <f t="shared" si="213"/>
        <v>048314</v>
      </c>
      <c r="B815" t="str">
        <f t="shared" si="225"/>
        <v>004796</v>
      </c>
      <c r="C815" t="s">
        <v>1128</v>
      </c>
      <c r="D815" t="s">
        <v>3839</v>
      </c>
      <c r="E815" t="s">
        <v>3840</v>
      </c>
      <c r="F815" t="s">
        <v>3841</v>
      </c>
      <c r="G815" t="s">
        <v>3842</v>
      </c>
      <c r="H815" t="str">
        <f t="shared" si="224"/>
        <v>048314</v>
      </c>
      <c r="I815" t="s">
        <v>833</v>
      </c>
      <c r="J815" t="str">
        <f t="shared" si="222"/>
        <v>2015-07-01 00:00:00.0</v>
      </c>
      <c r="K815" t="s">
        <v>834</v>
      </c>
      <c r="L815" t="s">
        <v>0</v>
      </c>
      <c r="M815" t="str">
        <f t="shared" si="212"/>
        <v>048314</v>
      </c>
      <c r="N815">
        <v>1</v>
      </c>
      <c r="O815">
        <v>1</v>
      </c>
      <c r="P815" t="str">
        <f>"12"</f>
        <v>12</v>
      </c>
      <c r="Q815" t="s">
        <v>835</v>
      </c>
      <c r="S815" t="s">
        <v>860</v>
      </c>
      <c r="T815" t="s">
        <v>836</v>
      </c>
      <c r="U815" t="str">
        <f t="shared" si="221"/>
        <v>2500-12-31 00:00:00.0</v>
      </c>
      <c r="V815" t="s">
        <v>837</v>
      </c>
      <c r="W815" t="str">
        <f>"048314-004796-12-SE"</f>
        <v>048314-004796-12-SE</v>
      </c>
      <c r="X815" t="s">
        <v>838</v>
      </c>
      <c r="Y815">
        <v>1254.5</v>
      </c>
      <c r="Z815">
        <v>1254.5</v>
      </c>
      <c r="AA815" t="str">
        <f t="shared" si="223"/>
        <v>06/08/2016</v>
      </c>
    </row>
    <row r="816" spans="1:27" x14ac:dyDescent="0.3">
      <c r="A816" t="str">
        <f t="shared" si="213"/>
        <v>048314</v>
      </c>
      <c r="B816" t="str">
        <f t="shared" si="225"/>
        <v>004796</v>
      </c>
      <c r="C816" t="s">
        <v>1374</v>
      </c>
      <c r="D816" t="s">
        <v>3839</v>
      </c>
      <c r="E816" t="s">
        <v>3840</v>
      </c>
      <c r="F816" t="s">
        <v>3841</v>
      </c>
      <c r="G816" t="s">
        <v>3842</v>
      </c>
      <c r="H816" t="str">
        <f t="shared" si="224"/>
        <v>048314</v>
      </c>
      <c r="I816" t="s">
        <v>833</v>
      </c>
      <c r="J816" t="str">
        <f t="shared" si="222"/>
        <v>2015-07-01 00:00:00.0</v>
      </c>
      <c r="K816" t="s">
        <v>834</v>
      </c>
      <c r="L816" t="s">
        <v>0</v>
      </c>
      <c r="M816" t="str">
        <f t="shared" si="212"/>
        <v>048314</v>
      </c>
      <c r="N816">
        <v>1</v>
      </c>
      <c r="O816">
        <v>1</v>
      </c>
      <c r="P816" t="str">
        <f>"11"</f>
        <v>11</v>
      </c>
      <c r="Q816" t="s">
        <v>835</v>
      </c>
      <c r="S816" t="s">
        <v>836</v>
      </c>
      <c r="T816" t="s">
        <v>836</v>
      </c>
      <c r="U816" t="str">
        <f t="shared" si="221"/>
        <v>2500-12-31 00:00:00.0</v>
      </c>
      <c r="V816" t="s">
        <v>837</v>
      </c>
      <c r="W816" t="str">
        <f>"048314-004796-**-**"</f>
        <v>048314-004796-**-**</v>
      </c>
      <c r="X816" t="s">
        <v>838</v>
      </c>
      <c r="Y816">
        <v>1254.5</v>
      </c>
      <c r="Z816">
        <v>1254.5</v>
      </c>
      <c r="AA816" t="str">
        <f t="shared" si="223"/>
        <v>06/08/2016</v>
      </c>
    </row>
    <row r="817" spans="1:27" x14ac:dyDescent="0.3">
      <c r="A817" t="str">
        <f t="shared" si="213"/>
        <v>048314</v>
      </c>
      <c r="B817" t="str">
        <f t="shared" si="225"/>
        <v>004796</v>
      </c>
      <c r="C817" t="s">
        <v>3465</v>
      </c>
      <c r="D817" t="s">
        <v>3839</v>
      </c>
      <c r="E817" t="s">
        <v>3840</v>
      </c>
      <c r="F817" t="s">
        <v>3841</v>
      </c>
      <c r="G817" t="s">
        <v>3842</v>
      </c>
      <c r="H817" t="str">
        <f t="shared" si="224"/>
        <v>048314</v>
      </c>
      <c r="I817" t="s">
        <v>833</v>
      </c>
      <c r="J817" t="str">
        <f>"2015-08-31 00:00:00.0"</f>
        <v>2015-08-31 00:00:00.0</v>
      </c>
      <c r="K817" t="s">
        <v>834</v>
      </c>
      <c r="L817" t="s">
        <v>0</v>
      </c>
      <c r="M817" t="str">
        <f t="shared" si="212"/>
        <v>048314</v>
      </c>
      <c r="N817">
        <v>1</v>
      </c>
      <c r="O817">
        <v>1</v>
      </c>
      <c r="P817" t="str">
        <f>"09"</f>
        <v>09</v>
      </c>
      <c r="Q817" t="s">
        <v>835</v>
      </c>
      <c r="S817" t="s">
        <v>836</v>
      </c>
      <c r="T817" t="s">
        <v>836</v>
      </c>
      <c r="U817" t="str">
        <f t="shared" si="221"/>
        <v>2500-12-31 00:00:00.0</v>
      </c>
      <c r="V817" t="s">
        <v>837</v>
      </c>
      <c r="W817" t="str">
        <f>"048314-004796-**-**"</f>
        <v>048314-004796-**-**</v>
      </c>
      <c r="X817" t="s">
        <v>838</v>
      </c>
      <c r="Y817">
        <v>1254.5</v>
      </c>
      <c r="Z817">
        <v>1254.5</v>
      </c>
      <c r="AA817" t="str">
        <f t="shared" si="223"/>
        <v>06/08/2016</v>
      </c>
    </row>
    <row r="818" spans="1:27" x14ac:dyDescent="0.3">
      <c r="A818" t="str">
        <f t="shared" si="213"/>
        <v>048314</v>
      </c>
      <c r="B818" t="str">
        <f t="shared" si="225"/>
        <v>004796</v>
      </c>
      <c r="C818" t="s">
        <v>1758</v>
      </c>
      <c r="D818" t="s">
        <v>3839</v>
      </c>
      <c r="E818" t="s">
        <v>3840</v>
      </c>
      <c r="F818" t="s">
        <v>3841</v>
      </c>
      <c r="G818" t="s">
        <v>3842</v>
      </c>
      <c r="H818" t="str">
        <f t="shared" si="224"/>
        <v>048314</v>
      </c>
      <c r="I818" t="s">
        <v>833</v>
      </c>
      <c r="J818" t="str">
        <f t="shared" ref="J818:J824" si="226">"2015-07-01 00:00:00.0"</f>
        <v>2015-07-01 00:00:00.0</v>
      </c>
      <c r="K818" t="s">
        <v>834</v>
      </c>
      <c r="L818" t="s">
        <v>0</v>
      </c>
      <c r="M818" t="str">
        <f t="shared" si="212"/>
        <v>048314</v>
      </c>
      <c r="N818">
        <v>1</v>
      </c>
      <c r="O818">
        <v>1</v>
      </c>
      <c r="P818" t="str">
        <f>"11"</f>
        <v>11</v>
      </c>
      <c r="Q818" t="s">
        <v>835</v>
      </c>
      <c r="S818" t="s">
        <v>836</v>
      </c>
      <c r="T818" t="s">
        <v>836</v>
      </c>
      <c r="U818" t="str">
        <f t="shared" si="221"/>
        <v>2500-12-31 00:00:00.0</v>
      </c>
      <c r="V818" t="s">
        <v>837</v>
      </c>
      <c r="W818" t="str">
        <f>"048314-004796-**-**"</f>
        <v>048314-004796-**-**</v>
      </c>
      <c r="X818" t="s">
        <v>838</v>
      </c>
      <c r="Y818">
        <v>1254.5</v>
      </c>
      <c r="Z818">
        <v>1254.5</v>
      </c>
      <c r="AA818" t="str">
        <f t="shared" si="223"/>
        <v>06/08/2016</v>
      </c>
    </row>
    <row r="819" spans="1:27" x14ac:dyDescent="0.3">
      <c r="A819" t="str">
        <f t="shared" si="213"/>
        <v>048314</v>
      </c>
      <c r="B819" t="str">
        <f t="shared" si="225"/>
        <v>004796</v>
      </c>
      <c r="C819" t="s">
        <v>2023</v>
      </c>
      <c r="D819" t="s">
        <v>3839</v>
      </c>
      <c r="E819" t="s">
        <v>3840</v>
      </c>
      <c r="F819" t="s">
        <v>3841</v>
      </c>
      <c r="G819" t="s">
        <v>3842</v>
      </c>
      <c r="H819" t="str">
        <f t="shared" si="224"/>
        <v>048314</v>
      </c>
      <c r="I819" t="s">
        <v>833</v>
      </c>
      <c r="J819" t="str">
        <f t="shared" si="226"/>
        <v>2015-07-01 00:00:00.0</v>
      </c>
      <c r="K819" t="s">
        <v>834</v>
      </c>
      <c r="L819" t="s">
        <v>0</v>
      </c>
      <c r="M819" t="str">
        <f t="shared" si="212"/>
        <v>048314</v>
      </c>
      <c r="N819">
        <v>1</v>
      </c>
      <c r="O819">
        <v>1</v>
      </c>
      <c r="P819" t="str">
        <f>"10"</f>
        <v>10</v>
      </c>
      <c r="Q819" t="s">
        <v>835</v>
      </c>
      <c r="S819" t="s">
        <v>836</v>
      </c>
      <c r="T819" t="s">
        <v>836</v>
      </c>
      <c r="U819" t="str">
        <f t="shared" si="221"/>
        <v>2500-12-31 00:00:00.0</v>
      </c>
      <c r="V819" t="s">
        <v>837</v>
      </c>
      <c r="W819" t="str">
        <f>"048314-004796-**-**"</f>
        <v>048314-004796-**-**</v>
      </c>
      <c r="X819" t="s">
        <v>838</v>
      </c>
      <c r="Y819">
        <v>1254.5</v>
      </c>
      <c r="Z819">
        <v>1254.5</v>
      </c>
      <c r="AA819" t="str">
        <f t="shared" si="223"/>
        <v>06/08/2016</v>
      </c>
    </row>
    <row r="820" spans="1:27" x14ac:dyDescent="0.3">
      <c r="A820" t="str">
        <f t="shared" si="213"/>
        <v>048314</v>
      </c>
      <c r="B820" t="str">
        <f t="shared" si="225"/>
        <v>004796</v>
      </c>
      <c r="C820" t="s">
        <v>930</v>
      </c>
      <c r="D820" t="s">
        <v>3839</v>
      </c>
      <c r="E820" t="s">
        <v>3840</v>
      </c>
      <c r="F820" t="s">
        <v>3841</v>
      </c>
      <c r="G820" t="s">
        <v>3842</v>
      </c>
      <c r="H820" t="str">
        <f t="shared" si="224"/>
        <v>048314</v>
      </c>
      <c r="I820" t="s">
        <v>833</v>
      </c>
      <c r="J820" t="str">
        <f t="shared" si="226"/>
        <v>2015-07-01 00:00:00.0</v>
      </c>
      <c r="K820" t="s">
        <v>834</v>
      </c>
      <c r="L820" t="s">
        <v>0</v>
      </c>
      <c r="M820" t="str">
        <f t="shared" si="212"/>
        <v>048314</v>
      </c>
      <c r="N820">
        <v>1</v>
      </c>
      <c r="O820">
        <v>1</v>
      </c>
      <c r="P820" t="str">
        <f>"10"</f>
        <v>10</v>
      </c>
      <c r="Q820" t="s">
        <v>835</v>
      </c>
      <c r="S820" t="s">
        <v>860</v>
      </c>
      <c r="T820" t="s">
        <v>836</v>
      </c>
      <c r="U820" t="str">
        <f t="shared" si="221"/>
        <v>2500-12-31 00:00:00.0</v>
      </c>
      <c r="V820" t="s">
        <v>837</v>
      </c>
      <c r="W820" t="str">
        <f>"048314-004796-**-**"</f>
        <v>048314-004796-**-**</v>
      </c>
      <c r="X820" t="s">
        <v>838</v>
      </c>
      <c r="Y820">
        <v>1254.5</v>
      </c>
      <c r="Z820">
        <v>1254.5</v>
      </c>
      <c r="AA820" t="str">
        <f t="shared" si="223"/>
        <v>06/08/2016</v>
      </c>
    </row>
    <row r="821" spans="1:27" x14ac:dyDescent="0.3">
      <c r="A821" t="str">
        <f t="shared" si="213"/>
        <v>048314</v>
      </c>
      <c r="B821" t="str">
        <f t="shared" si="225"/>
        <v>004796</v>
      </c>
      <c r="C821" t="s">
        <v>1129</v>
      </c>
      <c r="D821" t="s">
        <v>3839</v>
      </c>
      <c r="E821" t="s">
        <v>3840</v>
      </c>
      <c r="F821" t="s">
        <v>3841</v>
      </c>
      <c r="G821" t="s">
        <v>3842</v>
      </c>
      <c r="H821" t="str">
        <f t="shared" si="224"/>
        <v>048314</v>
      </c>
      <c r="I821" t="s">
        <v>833</v>
      </c>
      <c r="J821" t="str">
        <f t="shared" si="226"/>
        <v>2015-07-01 00:00:00.0</v>
      </c>
      <c r="K821" t="s">
        <v>834</v>
      </c>
      <c r="L821" t="s">
        <v>0</v>
      </c>
      <c r="M821" t="str">
        <f t="shared" si="212"/>
        <v>048314</v>
      </c>
      <c r="N821">
        <v>1</v>
      </c>
      <c r="O821">
        <v>1</v>
      </c>
      <c r="P821" t="str">
        <f>"12"</f>
        <v>12</v>
      </c>
      <c r="Q821" t="s">
        <v>835</v>
      </c>
      <c r="S821" t="s">
        <v>836</v>
      </c>
      <c r="T821" t="s">
        <v>836</v>
      </c>
      <c r="U821" t="str">
        <f t="shared" si="221"/>
        <v>2500-12-31 00:00:00.0</v>
      </c>
      <c r="V821" t="s">
        <v>837</v>
      </c>
      <c r="W821" t="str">
        <f>"048314-004796-12-SE"</f>
        <v>048314-004796-12-SE</v>
      </c>
      <c r="X821" t="s">
        <v>838</v>
      </c>
      <c r="Y821">
        <v>1254.5</v>
      </c>
      <c r="Z821">
        <v>1254.5</v>
      </c>
      <c r="AA821" t="str">
        <f t="shared" si="223"/>
        <v>06/08/2016</v>
      </c>
    </row>
    <row r="822" spans="1:27" x14ac:dyDescent="0.3">
      <c r="A822" t="str">
        <f t="shared" si="213"/>
        <v>048314</v>
      </c>
      <c r="B822" t="str">
        <f t="shared" si="225"/>
        <v>004796</v>
      </c>
      <c r="C822" t="s">
        <v>1584</v>
      </c>
      <c r="D822" t="s">
        <v>3839</v>
      </c>
      <c r="E822" t="s">
        <v>3840</v>
      </c>
      <c r="F822" t="s">
        <v>3841</v>
      </c>
      <c r="G822" t="s">
        <v>3842</v>
      </c>
      <c r="H822" t="str">
        <f t="shared" si="224"/>
        <v>048314</v>
      </c>
      <c r="I822" t="s">
        <v>833</v>
      </c>
      <c r="J822" t="str">
        <f t="shared" si="226"/>
        <v>2015-07-01 00:00:00.0</v>
      </c>
      <c r="K822" t="s">
        <v>834</v>
      </c>
      <c r="L822" t="s">
        <v>0</v>
      </c>
      <c r="M822" t="str">
        <f t="shared" si="212"/>
        <v>048314</v>
      </c>
      <c r="N822">
        <v>1</v>
      </c>
      <c r="O822">
        <v>1</v>
      </c>
      <c r="P822" t="str">
        <f>"10"</f>
        <v>10</v>
      </c>
      <c r="Q822" t="s">
        <v>835</v>
      </c>
      <c r="S822" t="s">
        <v>836</v>
      </c>
      <c r="T822" t="s">
        <v>836</v>
      </c>
      <c r="U822" t="str">
        <f t="shared" si="221"/>
        <v>2500-12-31 00:00:00.0</v>
      </c>
      <c r="V822" t="s">
        <v>837</v>
      </c>
      <c r="W822" t="str">
        <f t="shared" ref="W822:W829" si="227">"048314-004796-**-**"</f>
        <v>048314-004796-**-**</v>
      </c>
      <c r="X822" t="s">
        <v>838</v>
      </c>
      <c r="Y822">
        <v>1254.5</v>
      </c>
      <c r="Z822">
        <v>1254.5</v>
      </c>
      <c r="AA822" t="str">
        <f t="shared" si="223"/>
        <v>06/08/2016</v>
      </c>
    </row>
    <row r="823" spans="1:27" x14ac:dyDescent="0.3">
      <c r="A823" t="str">
        <f t="shared" si="213"/>
        <v>048314</v>
      </c>
      <c r="B823" t="str">
        <f t="shared" si="225"/>
        <v>004796</v>
      </c>
      <c r="C823" t="s">
        <v>1759</v>
      </c>
      <c r="D823" t="s">
        <v>3839</v>
      </c>
      <c r="E823" t="s">
        <v>3840</v>
      </c>
      <c r="F823" t="s">
        <v>3841</v>
      </c>
      <c r="G823" t="s">
        <v>3842</v>
      </c>
      <c r="H823" t="str">
        <f t="shared" si="224"/>
        <v>048314</v>
      </c>
      <c r="I823" t="s">
        <v>833</v>
      </c>
      <c r="J823" t="str">
        <f t="shared" si="226"/>
        <v>2015-07-01 00:00:00.0</v>
      </c>
      <c r="K823" t="s">
        <v>834</v>
      </c>
      <c r="L823" t="s">
        <v>0</v>
      </c>
      <c r="M823" t="str">
        <f t="shared" si="212"/>
        <v>048314</v>
      </c>
      <c r="N823">
        <v>1</v>
      </c>
      <c r="O823">
        <v>1</v>
      </c>
      <c r="P823" t="str">
        <f>"11"</f>
        <v>11</v>
      </c>
      <c r="Q823" t="s">
        <v>835</v>
      </c>
      <c r="S823" t="s">
        <v>836</v>
      </c>
      <c r="T823" t="s">
        <v>836</v>
      </c>
      <c r="U823" t="str">
        <f t="shared" si="221"/>
        <v>2500-12-31 00:00:00.0</v>
      </c>
      <c r="V823" t="s">
        <v>837</v>
      </c>
      <c r="W823" t="str">
        <f t="shared" si="227"/>
        <v>048314-004796-**-**</v>
      </c>
      <c r="X823" t="s">
        <v>838</v>
      </c>
      <c r="Y823">
        <v>1254.5</v>
      </c>
      <c r="Z823">
        <v>1254.5</v>
      </c>
      <c r="AA823" t="str">
        <f t="shared" si="223"/>
        <v>06/08/2016</v>
      </c>
    </row>
    <row r="824" spans="1:27" x14ac:dyDescent="0.3">
      <c r="A824" t="str">
        <f t="shared" si="213"/>
        <v>048314</v>
      </c>
      <c r="B824" t="str">
        <f t="shared" si="225"/>
        <v>004796</v>
      </c>
      <c r="C824" t="s">
        <v>1646</v>
      </c>
      <c r="D824" t="s">
        <v>3839</v>
      </c>
      <c r="E824" t="s">
        <v>3840</v>
      </c>
      <c r="F824" t="s">
        <v>3841</v>
      </c>
      <c r="G824" t="s">
        <v>3842</v>
      </c>
      <c r="H824" t="str">
        <f t="shared" si="224"/>
        <v>048314</v>
      </c>
      <c r="I824" t="s">
        <v>833</v>
      </c>
      <c r="J824" t="str">
        <f t="shared" si="226"/>
        <v>2015-07-01 00:00:00.0</v>
      </c>
      <c r="K824" t="s">
        <v>834</v>
      </c>
      <c r="L824" t="s">
        <v>0</v>
      </c>
      <c r="M824" t="str">
        <f t="shared" si="212"/>
        <v>048314</v>
      </c>
      <c r="N824">
        <v>1</v>
      </c>
      <c r="O824">
        <v>1</v>
      </c>
      <c r="P824" t="str">
        <f>"10"</f>
        <v>10</v>
      </c>
      <c r="Q824" t="s">
        <v>835</v>
      </c>
      <c r="S824" t="s">
        <v>836</v>
      </c>
      <c r="T824" t="s">
        <v>836</v>
      </c>
      <c r="U824" t="str">
        <f t="shared" si="221"/>
        <v>2500-12-31 00:00:00.0</v>
      </c>
      <c r="V824" t="s">
        <v>837</v>
      </c>
      <c r="W824" t="str">
        <f t="shared" si="227"/>
        <v>048314-004796-**-**</v>
      </c>
      <c r="X824" t="s">
        <v>838</v>
      </c>
      <c r="Y824">
        <v>1254.5</v>
      </c>
      <c r="Z824">
        <v>1254.5</v>
      </c>
      <c r="AA824" t="str">
        <f t="shared" si="223"/>
        <v>06/08/2016</v>
      </c>
    </row>
    <row r="825" spans="1:27" x14ac:dyDescent="0.3">
      <c r="A825" t="str">
        <f t="shared" si="213"/>
        <v>048314</v>
      </c>
      <c r="B825" t="str">
        <f t="shared" si="225"/>
        <v>004796</v>
      </c>
      <c r="C825" t="s">
        <v>1130</v>
      </c>
      <c r="D825" t="s">
        <v>3839</v>
      </c>
      <c r="E825" t="s">
        <v>3840</v>
      </c>
      <c r="F825" t="s">
        <v>3841</v>
      </c>
      <c r="G825" t="s">
        <v>3842</v>
      </c>
      <c r="H825" t="str">
        <f t="shared" si="224"/>
        <v>048314</v>
      </c>
      <c r="I825" t="s">
        <v>833</v>
      </c>
      <c r="J825" t="str">
        <f>"2015-09-14 00:00:00.0"</f>
        <v>2015-09-14 00:00:00.0</v>
      </c>
      <c r="K825" t="s">
        <v>834</v>
      </c>
      <c r="L825" t="s">
        <v>0</v>
      </c>
      <c r="M825" t="str">
        <f t="shared" si="212"/>
        <v>048314</v>
      </c>
      <c r="N825">
        <v>0.95336799999999999</v>
      </c>
      <c r="O825">
        <v>0.95336799999999999</v>
      </c>
      <c r="P825" t="str">
        <f>"12"</f>
        <v>12</v>
      </c>
      <c r="Q825" t="s">
        <v>835</v>
      </c>
      <c r="S825" t="s">
        <v>836</v>
      </c>
      <c r="T825" t="s">
        <v>836</v>
      </c>
      <c r="U825" t="str">
        <f t="shared" si="221"/>
        <v>2500-12-31 00:00:00.0</v>
      </c>
      <c r="V825" t="s">
        <v>837</v>
      </c>
      <c r="W825" t="str">
        <f t="shared" si="227"/>
        <v>048314-004796-**-**</v>
      </c>
      <c r="X825" t="s">
        <v>838</v>
      </c>
      <c r="Y825">
        <v>1196</v>
      </c>
      <c r="Z825">
        <v>1254.5</v>
      </c>
      <c r="AA825" t="str">
        <f t="shared" si="223"/>
        <v>06/08/2016</v>
      </c>
    </row>
    <row r="826" spans="1:27" x14ac:dyDescent="0.3">
      <c r="A826" t="str">
        <f t="shared" si="213"/>
        <v>048314</v>
      </c>
      <c r="B826" t="str">
        <f t="shared" si="225"/>
        <v>004796</v>
      </c>
      <c r="C826" t="s">
        <v>1375</v>
      </c>
      <c r="D826" t="s">
        <v>3839</v>
      </c>
      <c r="E826" t="s">
        <v>3840</v>
      </c>
      <c r="F826" t="s">
        <v>3841</v>
      </c>
      <c r="G826" t="s">
        <v>3842</v>
      </c>
      <c r="H826" t="str">
        <f t="shared" si="224"/>
        <v>048314</v>
      </c>
      <c r="I826" t="s">
        <v>833</v>
      </c>
      <c r="J826" t="str">
        <f t="shared" ref="J826:J834" si="228">"2015-07-01 00:00:00.0"</f>
        <v>2015-07-01 00:00:00.0</v>
      </c>
      <c r="K826" t="s">
        <v>834</v>
      </c>
      <c r="L826" t="s">
        <v>0</v>
      </c>
      <c r="M826" t="str">
        <f t="shared" si="212"/>
        <v>048314</v>
      </c>
      <c r="N826">
        <v>1</v>
      </c>
      <c r="O826">
        <v>1</v>
      </c>
      <c r="P826" t="str">
        <f>"10"</f>
        <v>10</v>
      </c>
      <c r="Q826" t="s">
        <v>835</v>
      </c>
      <c r="S826" t="s">
        <v>836</v>
      </c>
      <c r="T826" t="s">
        <v>836</v>
      </c>
      <c r="U826" t="str">
        <f t="shared" si="221"/>
        <v>2500-12-31 00:00:00.0</v>
      </c>
      <c r="V826" t="s">
        <v>837</v>
      </c>
      <c r="W826" t="str">
        <f t="shared" si="227"/>
        <v>048314-004796-**-**</v>
      </c>
      <c r="X826" t="s">
        <v>838</v>
      </c>
      <c r="Y826">
        <v>1254.5</v>
      </c>
      <c r="Z826">
        <v>1254.5</v>
      </c>
      <c r="AA826" t="str">
        <f t="shared" si="223"/>
        <v>06/08/2016</v>
      </c>
    </row>
    <row r="827" spans="1:27" x14ac:dyDescent="0.3">
      <c r="A827" t="str">
        <f t="shared" si="213"/>
        <v>048314</v>
      </c>
      <c r="B827" t="str">
        <f t="shared" si="225"/>
        <v>004796</v>
      </c>
      <c r="C827" t="s">
        <v>1523</v>
      </c>
      <c r="D827" t="s">
        <v>3839</v>
      </c>
      <c r="E827" t="s">
        <v>3840</v>
      </c>
      <c r="F827" t="s">
        <v>3841</v>
      </c>
      <c r="G827" t="s">
        <v>3842</v>
      </c>
      <c r="H827" t="str">
        <f t="shared" si="224"/>
        <v>048314</v>
      </c>
      <c r="I827" t="s">
        <v>833</v>
      </c>
      <c r="J827" t="str">
        <f t="shared" si="228"/>
        <v>2015-07-01 00:00:00.0</v>
      </c>
      <c r="K827" t="s">
        <v>834</v>
      </c>
      <c r="L827" t="s">
        <v>0</v>
      </c>
      <c r="M827" t="str">
        <f t="shared" si="212"/>
        <v>048314</v>
      </c>
      <c r="N827">
        <v>1</v>
      </c>
      <c r="O827">
        <v>1</v>
      </c>
      <c r="P827" t="str">
        <f>"10"</f>
        <v>10</v>
      </c>
      <c r="Q827" t="s">
        <v>835</v>
      </c>
      <c r="S827" t="s">
        <v>860</v>
      </c>
      <c r="T827" t="s">
        <v>836</v>
      </c>
      <c r="U827" t="str">
        <f t="shared" si="221"/>
        <v>2500-12-31 00:00:00.0</v>
      </c>
      <c r="V827" t="s">
        <v>837</v>
      </c>
      <c r="W827" t="str">
        <f t="shared" si="227"/>
        <v>048314-004796-**-**</v>
      </c>
      <c r="X827" t="s">
        <v>838</v>
      </c>
      <c r="Y827">
        <v>1254.5</v>
      </c>
      <c r="Z827">
        <v>1254.5</v>
      </c>
      <c r="AA827" t="str">
        <f t="shared" si="223"/>
        <v>06/08/2016</v>
      </c>
    </row>
    <row r="828" spans="1:27" x14ac:dyDescent="0.3">
      <c r="A828" t="str">
        <f t="shared" si="213"/>
        <v>048314</v>
      </c>
      <c r="B828" t="str">
        <f t="shared" si="225"/>
        <v>004796</v>
      </c>
      <c r="C828" t="s">
        <v>1466</v>
      </c>
      <c r="D828" t="s">
        <v>3839</v>
      </c>
      <c r="E828" t="s">
        <v>3840</v>
      </c>
      <c r="F828" t="s">
        <v>3841</v>
      </c>
      <c r="G828" t="s">
        <v>3842</v>
      </c>
      <c r="H828" t="str">
        <f t="shared" si="224"/>
        <v>048314</v>
      </c>
      <c r="I828" t="s">
        <v>833</v>
      </c>
      <c r="J828" t="str">
        <f t="shared" si="228"/>
        <v>2015-07-01 00:00:00.0</v>
      </c>
      <c r="K828" t="s">
        <v>834</v>
      </c>
      <c r="L828" t="s">
        <v>0</v>
      </c>
      <c r="M828" t="str">
        <f t="shared" si="212"/>
        <v>048314</v>
      </c>
      <c r="N828">
        <v>1</v>
      </c>
      <c r="O828">
        <v>1</v>
      </c>
      <c r="P828" t="str">
        <f>"11"</f>
        <v>11</v>
      </c>
      <c r="Q828" t="s">
        <v>835</v>
      </c>
      <c r="S828" t="s">
        <v>836</v>
      </c>
      <c r="T828" t="s">
        <v>836</v>
      </c>
      <c r="U828" t="str">
        <f t="shared" si="221"/>
        <v>2500-12-31 00:00:00.0</v>
      </c>
      <c r="V828" t="s">
        <v>837</v>
      </c>
      <c r="W828" t="str">
        <f t="shared" si="227"/>
        <v>048314-004796-**-**</v>
      </c>
      <c r="X828" t="s">
        <v>838</v>
      </c>
      <c r="Y828">
        <v>1254.5</v>
      </c>
      <c r="Z828">
        <v>1254.5</v>
      </c>
      <c r="AA828" t="str">
        <f t="shared" si="223"/>
        <v>06/08/2016</v>
      </c>
    </row>
    <row r="829" spans="1:27" x14ac:dyDescent="0.3">
      <c r="A829" t="str">
        <f t="shared" si="213"/>
        <v>048314</v>
      </c>
      <c r="B829" t="str">
        <f t="shared" si="225"/>
        <v>004796</v>
      </c>
      <c r="C829" t="s">
        <v>2792</v>
      </c>
      <c r="D829" t="s">
        <v>3839</v>
      </c>
      <c r="E829" t="s">
        <v>3840</v>
      </c>
      <c r="F829" t="s">
        <v>3841</v>
      </c>
      <c r="G829" t="s">
        <v>3842</v>
      </c>
      <c r="H829" t="str">
        <f t="shared" si="224"/>
        <v>048314</v>
      </c>
      <c r="I829" t="s">
        <v>833</v>
      </c>
      <c r="J829" t="str">
        <f t="shared" si="228"/>
        <v>2015-07-01 00:00:00.0</v>
      </c>
      <c r="K829" t="s">
        <v>834</v>
      </c>
      <c r="L829" t="s">
        <v>0</v>
      </c>
      <c r="M829" t="str">
        <f t="shared" si="212"/>
        <v>048314</v>
      </c>
      <c r="N829">
        <v>1</v>
      </c>
      <c r="O829">
        <v>1</v>
      </c>
      <c r="P829" t="str">
        <f>"11"</f>
        <v>11</v>
      </c>
      <c r="Q829" t="s">
        <v>835</v>
      </c>
      <c r="S829" t="s">
        <v>836</v>
      </c>
      <c r="T829" t="s">
        <v>836</v>
      </c>
      <c r="U829" t="str">
        <f t="shared" si="221"/>
        <v>2500-12-31 00:00:00.0</v>
      </c>
      <c r="V829" t="s">
        <v>837</v>
      </c>
      <c r="W829" t="str">
        <f t="shared" si="227"/>
        <v>048314-004796-**-**</v>
      </c>
      <c r="X829" t="s">
        <v>838</v>
      </c>
      <c r="Y829">
        <v>1254.5</v>
      </c>
      <c r="Z829">
        <v>1254.5</v>
      </c>
      <c r="AA829" t="str">
        <f t="shared" si="223"/>
        <v>06/08/2016</v>
      </c>
    </row>
    <row r="830" spans="1:27" x14ac:dyDescent="0.3">
      <c r="A830" t="str">
        <f t="shared" si="213"/>
        <v>048314</v>
      </c>
      <c r="B830" t="str">
        <f t="shared" si="225"/>
        <v>004796</v>
      </c>
      <c r="C830" t="s">
        <v>1131</v>
      </c>
      <c r="D830" t="s">
        <v>3839</v>
      </c>
      <c r="E830" t="s">
        <v>3840</v>
      </c>
      <c r="F830" t="s">
        <v>3841</v>
      </c>
      <c r="G830" t="s">
        <v>3842</v>
      </c>
      <c r="H830" t="str">
        <f t="shared" si="224"/>
        <v>048314</v>
      </c>
      <c r="I830" t="s">
        <v>833</v>
      </c>
      <c r="J830" t="str">
        <f t="shared" si="228"/>
        <v>2015-07-01 00:00:00.0</v>
      </c>
      <c r="K830" t="s">
        <v>834</v>
      </c>
      <c r="L830" t="s">
        <v>0</v>
      </c>
      <c r="M830" t="str">
        <f t="shared" ref="M830:M893" si="229">"048314"</f>
        <v>048314</v>
      </c>
      <c r="N830">
        <v>1</v>
      </c>
      <c r="O830">
        <v>1</v>
      </c>
      <c r="P830" t="str">
        <f>"12"</f>
        <v>12</v>
      </c>
      <c r="Q830" t="s">
        <v>835</v>
      </c>
      <c r="S830" t="s">
        <v>836</v>
      </c>
      <c r="T830" t="s">
        <v>836</v>
      </c>
      <c r="U830" t="str">
        <f t="shared" si="221"/>
        <v>2500-12-31 00:00:00.0</v>
      </c>
      <c r="V830" t="s">
        <v>837</v>
      </c>
      <c r="W830" t="str">
        <f>"048314-004796-12-SE"</f>
        <v>048314-004796-12-SE</v>
      </c>
      <c r="X830" t="s">
        <v>838</v>
      </c>
      <c r="Y830">
        <v>1254.5</v>
      </c>
      <c r="Z830">
        <v>1254.5</v>
      </c>
      <c r="AA830" t="str">
        <f t="shared" si="223"/>
        <v>06/08/2016</v>
      </c>
    </row>
    <row r="831" spans="1:27" x14ac:dyDescent="0.3">
      <c r="A831" t="str">
        <f t="shared" si="213"/>
        <v>048314</v>
      </c>
      <c r="B831" t="str">
        <f t="shared" si="225"/>
        <v>004796</v>
      </c>
      <c r="C831" t="s">
        <v>1585</v>
      </c>
      <c r="D831" t="s">
        <v>3839</v>
      </c>
      <c r="E831" t="s">
        <v>3840</v>
      </c>
      <c r="F831" t="s">
        <v>3841</v>
      </c>
      <c r="G831" t="s">
        <v>3842</v>
      </c>
      <c r="H831" t="str">
        <f t="shared" si="224"/>
        <v>048314</v>
      </c>
      <c r="I831" t="s">
        <v>833</v>
      </c>
      <c r="J831" t="str">
        <f t="shared" si="228"/>
        <v>2015-07-01 00:00:00.0</v>
      </c>
      <c r="K831" t="s">
        <v>834</v>
      </c>
      <c r="L831" t="s">
        <v>0</v>
      </c>
      <c r="M831" t="str">
        <f t="shared" si="229"/>
        <v>048314</v>
      </c>
      <c r="N831">
        <v>1</v>
      </c>
      <c r="O831">
        <v>1</v>
      </c>
      <c r="P831" t="str">
        <f>"10"</f>
        <v>10</v>
      </c>
      <c r="Q831" t="s">
        <v>835</v>
      </c>
      <c r="S831" t="s">
        <v>836</v>
      </c>
      <c r="T831" t="s">
        <v>836</v>
      </c>
      <c r="U831" t="str">
        <f t="shared" si="221"/>
        <v>2500-12-31 00:00:00.0</v>
      </c>
      <c r="V831" t="s">
        <v>837</v>
      </c>
      <c r="W831" t="str">
        <f>"048314-004796-**-**"</f>
        <v>048314-004796-**-**</v>
      </c>
      <c r="X831" t="s">
        <v>838</v>
      </c>
      <c r="Y831">
        <v>1254.5</v>
      </c>
      <c r="Z831">
        <v>1254.5</v>
      </c>
      <c r="AA831" t="str">
        <f t="shared" si="223"/>
        <v>06/08/2016</v>
      </c>
    </row>
    <row r="832" spans="1:27" x14ac:dyDescent="0.3">
      <c r="A832" t="str">
        <f t="shared" si="213"/>
        <v>048314</v>
      </c>
      <c r="B832" t="str">
        <f t="shared" si="225"/>
        <v>004796</v>
      </c>
      <c r="C832" t="s">
        <v>1376</v>
      </c>
      <c r="D832" t="s">
        <v>3839</v>
      </c>
      <c r="E832" t="s">
        <v>3840</v>
      </c>
      <c r="F832" t="s">
        <v>3841</v>
      </c>
      <c r="G832" t="s">
        <v>3842</v>
      </c>
      <c r="H832" t="str">
        <f t="shared" si="224"/>
        <v>048314</v>
      </c>
      <c r="I832" t="s">
        <v>833</v>
      </c>
      <c r="J832" t="str">
        <f t="shared" si="228"/>
        <v>2015-07-01 00:00:00.0</v>
      </c>
      <c r="K832" t="s">
        <v>834</v>
      </c>
      <c r="L832" t="s">
        <v>0</v>
      </c>
      <c r="M832" t="str">
        <f t="shared" si="229"/>
        <v>048314</v>
      </c>
      <c r="N832">
        <v>1</v>
      </c>
      <c r="O832">
        <v>1</v>
      </c>
      <c r="P832" t="str">
        <f>"11"</f>
        <v>11</v>
      </c>
      <c r="Q832" t="s">
        <v>835</v>
      </c>
      <c r="S832" t="s">
        <v>836</v>
      </c>
      <c r="T832" t="s">
        <v>836</v>
      </c>
      <c r="U832" t="str">
        <f t="shared" si="221"/>
        <v>2500-12-31 00:00:00.0</v>
      </c>
      <c r="V832" t="s">
        <v>837</v>
      </c>
      <c r="W832" t="str">
        <f>"048314-004796-**-**"</f>
        <v>048314-004796-**-**</v>
      </c>
      <c r="X832" t="s">
        <v>838</v>
      </c>
      <c r="Y832">
        <v>1254.5</v>
      </c>
      <c r="Z832">
        <v>1254.5</v>
      </c>
      <c r="AA832" t="str">
        <f t="shared" si="223"/>
        <v>06/08/2016</v>
      </c>
    </row>
    <row r="833" spans="1:27" x14ac:dyDescent="0.3">
      <c r="A833" t="str">
        <f t="shared" si="213"/>
        <v>048314</v>
      </c>
      <c r="B833" t="str">
        <f t="shared" si="225"/>
        <v>004796</v>
      </c>
      <c r="C833" t="s">
        <v>1760</v>
      </c>
      <c r="D833" t="s">
        <v>3839</v>
      </c>
      <c r="E833" t="s">
        <v>3840</v>
      </c>
      <c r="F833" t="s">
        <v>3841</v>
      </c>
      <c r="G833" t="s">
        <v>3842</v>
      </c>
      <c r="H833" t="str">
        <f t="shared" si="224"/>
        <v>048314</v>
      </c>
      <c r="I833" t="s">
        <v>833</v>
      </c>
      <c r="J833" t="str">
        <f t="shared" si="228"/>
        <v>2015-07-01 00:00:00.0</v>
      </c>
      <c r="K833" t="s">
        <v>834</v>
      </c>
      <c r="L833" t="s">
        <v>0</v>
      </c>
      <c r="M833" t="str">
        <f t="shared" si="229"/>
        <v>048314</v>
      </c>
      <c r="N833">
        <v>1</v>
      </c>
      <c r="O833">
        <v>1</v>
      </c>
      <c r="P833" t="str">
        <f>"11"</f>
        <v>11</v>
      </c>
      <c r="Q833" t="s">
        <v>835</v>
      </c>
      <c r="S833" t="s">
        <v>836</v>
      </c>
      <c r="T833" t="s">
        <v>836</v>
      </c>
      <c r="U833" t="str">
        <f t="shared" si="221"/>
        <v>2500-12-31 00:00:00.0</v>
      </c>
      <c r="V833" t="s">
        <v>837</v>
      </c>
      <c r="W833" t="str">
        <f>"048314-004796-**-**"</f>
        <v>048314-004796-**-**</v>
      </c>
      <c r="X833" t="s">
        <v>838</v>
      </c>
      <c r="Y833">
        <v>1254.5</v>
      </c>
      <c r="Z833">
        <v>1254.5</v>
      </c>
      <c r="AA833" t="str">
        <f t="shared" si="223"/>
        <v>06/08/2016</v>
      </c>
    </row>
    <row r="834" spans="1:27" x14ac:dyDescent="0.3">
      <c r="A834" t="str">
        <f t="shared" ref="A834:A897" si="230">"048314"</f>
        <v>048314</v>
      </c>
      <c r="B834" t="str">
        <f t="shared" si="225"/>
        <v>004796</v>
      </c>
      <c r="C834" t="s">
        <v>3161</v>
      </c>
      <c r="D834" t="s">
        <v>3839</v>
      </c>
      <c r="E834" t="s">
        <v>3840</v>
      </c>
      <c r="F834" t="s">
        <v>3841</v>
      </c>
      <c r="G834" t="s">
        <v>3842</v>
      </c>
      <c r="H834" t="str">
        <f t="shared" si="224"/>
        <v>048314</v>
      </c>
      <c r="I834" t="s">
        <v>833</v>
      </c>
      <c r="J834" t="str">
        <f t="shared" si="228"/>
        <v>2015-07-01 00:00:00.0</v>
      </c>
      <c r="K834" t="s">
        <v>834</v>
      </c>
      <c r="L834" t="s">
        <v>0</v>
      </c>
      <c r="M834" t="str">
        <f t="shared" si="229"/>
        <v>048314</v>
      </c>
      <c r="N834">
        <v>1</v>
      </c>
      <c r="O834">
        <v>1</v>
      </c>
      <c r="P834" t="str">
        <f>"10"</f>
        <v>10</v>
      </c>
      <c r="Q834" t="str">
        <f>"15"</f>
        <v>15</v>
      </c>
      <c r="R834" t="str">
        <f>"2"</f>
        <v>2</v>
      </c>
      <c r="S834" t="s">
        <v>836</v>
      </c>
      <c r="T834" t="s">
        <v>836</v>
      </c>
      <c r="U834" t="str">
        <f t="shared" si="221"/>
        <v>2500-12-31 00:00:00.0</v>
      </c>
      <c r="V834" t="s">
        <v>837</v>
      </c>
      <c r="W834" t="str">
        <f>"048314-004796-**-**"</f>
        <v>048314-004796-**-**</v>
      </c>
      <c r="X834" t="s">
        <v>838</v>
      </c>
      <c r="Y834">
        <v>1254.5</v>
      </c>
      <c r="Z834">
        <v>1254.5</v>
      </c>
      <c r="AA834" t="str">
        <f t="shared" si="223"/>
        <v>06/08/2016</v>
      </c>
    </row>
    <row r="835" spans="1:27" x14ac:dyDescent="0.3">
      <c r="A835" t="str">
        <f t="shared" si="230"/>
        <v>048314</v>
      </c>
      <c r="B835" t="str">
        <f t="shared" si="225"/>
        <v>004796</v>
      </c>
      <c r="C835" t="s">
        <v>966</v>
      </c>
      <c r="D835" t="s">
        <v>3839</v>
      </c>
      <c r="E835" t="s">
        <v>3840</v>
      </c>
      <c r="F835" t="s">
        <v>3841</v>
      </c>
      <c r="G835" t="s">
        <v>3842</v>
      </c>
      <c r="H835" t="str">
        <f>"048363"</f>
        <v>048363</v>
      </c>
      <c r="I835" t="s">
        <v>833</v>
      </c>
      <c r="J835" t="str">
        <f>"2015-08-13 00:00:00.0"</f>
        <v>2015-08-13 00:00:00.0</v>
      </c>
      <c r="K835" t="s">
        <v>834</v>
      </c>
      <c r="L835" t="s">
        <v>1</v>
      </c>
      <c r="M835" t="str">
        <f t="shared" si="229"/>
        <v>048314</v>
      </c>
      <c r="N835">
        <v>1</v>
      </c>
      <c r="O835">
        <v>1</v>
      </c>
      <c r="P835" t="str">
        <f>"10"</f>
        <v>10</v>
      </c>
      <c r="Q835" t="s">
        <v>835</v>
      </c>
      <c r="S835" t="s">
        <v>836</v>
      </c>
      <c r="T835" t="s">
        <v>836</v>
      </c>
      <c r="U835" t="str">
        <f t="shared" si="221"/>
        <v>2500-12-31 00:00:00.0</v>
      </c>
      <c r="V835" t="s">
        <v>837</v>
      </c>
      <c r="W835" t="str">
        <f>"048363-026229-**-**"</f>
        <v>048363-026229-**-**</v>
      </c>
      <c r="X835" t="s">
        <v>838</v>
      </c>
      <c r="Y835">
        <v>1127</v>
      </c>
      <c r="Z835">
        <v>1127</v>
      </c>
      <c r="AA835" t="str">
        <f>"06/15/2016"</f>
        <v>06/15/2016</v>
      </c>
    </row>
    <row r="836" spans="1:27" x14ac:dyDescent="0.3">
      <c r="A836" t="str">
        <f t="shared" si="230"/>
        <v>048314</v>
      </c>
      <c r="B836" t="str">
        <f t="shared" si="225"/>
        <v>004796</v>
      </c>
      <c r="C836" t="s">
        <v>2024</v>
      </c>
      <c r="D836" t="s">
        <v>3839</v>
      </c>
      <c r="E836" t="s">
        <v>3840</v>
      </c>
      <c r="F836" t="s">
        <v>3841</v>
      </c>
      <c r="G836" t="s">
        <v>3842</v>
      </c>
      <c r="H836" t="str">
        <f t="shared" ref="H836:H852" si="231">"048314"</f>
        <v>048314</v>
      </c>
      <c r="I836" t="s">
        <v>833</v>
      </c>
      <c r="J836" t="str">
        <f>"2015-07-01 00:00:00.0"</f>
        <v>2015-07-01 00:00:00.0</v>
      </c>
      <c r="K836" t="s">
        <v>834</v>
      </c>
      <c r="L836" t="s">
        <v>0</v>
      </c>
      <c r="M836" t="str">
        <f t="shared" si="229"/>
        <v>048314</v>
      </c>
      <c r="N836">
        <v>1</v>
      </c>
      <c r="O836">
        <v>1</v>
      </c>
      <c r="P836" t="str">
        <f>"10"</f>
        <v>10</v>
      </c>
      <c r="Q836" t="s">
        <v>835</v>
      </c>
      <c r="S836" t="s">
        <v>836</v>
      </c>
      <c r="T836" t="s">
        <v>836</v>
      </c>
      <c r="U836" t="str">
        <f t="shared" si="221"/>
        <v>2500-12-31 00:00:00.0</v>
      </c>
      <c r="V836" t="s">
        <v>837</v>
      </c>
      <c r="W836" t="str">
        <f>"048314-004796-**-**"</f>
        <v>048314-004796-**-**</v>
      </c>
      <c r="X836" t="s">
        <v>838</v>
      </c>
      <c r="Y836">
        <v>1254.5</v>
      </c>
      <c r="Z836">
        <v>1254.5</v>
      </c>
      <c r="AA836" t="str">
        <f t="shared" ref="AA836:AA852" si="232">"06/08/2016"</f>
        <v>06/08/2016</v>
      </c>
    </row>
    <row r="837" spans="1:27" x14ac:dyDescent="0.3">
      <c r="A837" t="str">
        <f t="shared" si="230"/>
        <v>048314</v>
      </c>
      <c r="B837" t="str">
        <f t="shared" si="225"/>
        <v>004796</v>
      </c>
      <c r="C837" t="s">
        <v>1417</v>
      </c>
      <c r="D837" t="s">
        <v>3839</v>
      </c>
      <c r="E837" t="s">
        <v>3840</v>
      </c>
      <c r="F837" t="s">
        <v>3841</v>
      </c>
      <c r="G837" t="s">
        <v>3842</v>
      </c>
      <c r="H837" t="str">
        <f t="shared" si="231"/>
        <v>048314</v>
      </c>
      <c r="I837" t="s">
        <v>833</v>
      </c>
      <c r="J837" t="str">
        <f>"2015-07-01 00:00:00.0"</f>
        <v>2015-07-01 00:00:00.0</v>
      </c>
      <c r="K837" t="s">
        <v>834</v>
      </c>
      <c r="L837" t="s">
        <v>0</v>
      </c>
      <c r="M837" t="str">
        <f t="shared" si="229"/>
        <v>048314</v>
      </c>
      <c r="N837">
        <v>1</v>
      </c>
      <c r="O837">
        <v>1</v>
      </c>
      <c r="P837" t="str">
        <f>"12"</f>
        <v>12</v>
      </c>
      <c r="Q837" t="s">
        <v>835</v>
      </c>
      <c r="S837" t="s">
        <v>836</v>
      </c>
      <c r="T837" t="s">
        <v>836</v>
      </c>
      <c r="U837" t="str">
        <f t="shared" si="221"/>
        <v>2500-12-31 00:00:00.0</v>
      </c>
      <c r="V837" t="s">
        <v>837</v>
      </c>
      <c r="W837" t="str">
        <f>"048314-004796-12-SE"</f>
        <v>048314-004796-12-SE</v>
      </c>
      <c r="X837" t="s">
        <v>838</v>
      </c>
      <c r="Y837">
        <v>1254.5</v>
      </c>
      <c r="Z837">
        <v>1254.5</v>
      </c>
      <c r="AA837" t="str">
        <f t="shared" si="232"/>
        <v>06/08/2016</v>
      </c>
    </row>
    <row r="838" spans="1:27" x14ac:dyDescent="0.3">
      <c r="A838" t="str">
        <f t="shared" si="230"/>
        <v>048314</v>
      </c>
      <c r="B838" t="str">
        <f t="shared" si="225"/>
        <v>004796</v>
      </c>
      <c r="C838" t="s">
        <v>1418</v>
      </c>
      <c r="D838" t="s">
        <v>3839</v>
      </c>
      <c r="E838" t="s">
        <v>3840</v>
      </c>
      <c r="F838" t="s">
        <v>3841</v>
      </c>
      <c r="G838" t="s">
        <v>3842</v>
      </c>
      <c r="H838" t="str">
        <f t="shared" si="231"/>
        <v>048314</v>
      </c>
      <c r="I838" t="s">
        <v>833</v>
      </c>
      <c r="J838" t="str">
        <f>"2015-07-01 00:00:00.0"</f>
        <v>2015-07-01 00:00:00.0</v>
      </c>
      <c r="K838" t="s">
        <v>834</v>
      </c>
      <c r="L838" t="s">
        <v>0</v>
      </c>
      <c r="M838" t="str">
        <f t="shared" si="229"/>
        <v>048314</v>
      </c>
      <c r="N838">
        <v>1</v>
      </c>
      <c r="O838">
        <v>1</v>
      </c>
      <c r="P838" t="str">
        <f>"12"</f>
        <v>12</v>
      </c>
      <c r="Q838" t="s">
        <v>835</v>
      </c>
      <c r="S838" t="s">
        <v>836</v>
      </c>
      <c r="T838" t="s">
        <v>836</v>
      </c>
      <c r="U838" t="str">
        <f t="shared" si="221"/>
        <v>2500-12-31 00:00:00.0</v>
      </c>
      <c r="V838" t="s">
        <v>837</v>
      </c>
      <c r="W838" t="str">
        <f>"048314-004796-12-SE"</f>
        <v>048314-004796-12-SE</v>
      </c>
      <c r="X838" t="s">
        <v>838</v>
      </c>
      <c r="Y838">
        <v>1254.5</v>
      </c>
      <c r="Z838">
        <v>1254.5</v>
      </c>
      <c r="AA838" t="str">
        <f t="shared" si="232"/>
        <v>06/08/2016</v>
      </c>
    </row>
    <row r="839" spans="1:27" x14ac:dyDescent="0.3">
      <c r="A839" t="str">
        <f t="shared" si="230"/>
        <v>048314</v>
      </c>
      <c r="B839" t="str">
        <f t="shared" si="225"/>
        <v>004796</v>
      </c>
      <c r="C839" t="s">
        <v>1647</v>
      </c>
      <c r="D839" t="s">
        <v>3839</v>
      </c>
      <c r="E839" t="s">
        <v>3840</v>
      </c>
      <c r="F839" t="s">
        <v>3841</v>
      </c>
      <c r="G839" t="s">
        <v>3842</v>
      </c>
      <c r="H839" t="str">
        <f t="shared" si="231"/>
        <v>048314</v>
      </c>
      <c r="I839" t="s">
        <v>833</v>
      </c>
      <c r="J839" t="str">
        <f>"2015-07-01 00:00:00.0"</f>
        <v>2015-07-01 00:00:00.0</v>
      </c>
      <c r="K839" t="s">
        <v>834</v>
      </c>
      <c r="L839" t="s">
        <v>0</v>
      </c>
      <c r="M839" t="str">
        <f t="shared" si="229"/>
        <v>048314</v>
      </c>
      <c r="N839">
        <v>1</v>
      </c>
      <c r="O839">
        <v>1</v>
      </c>
      <c r="P839" t="str">
        <f>"10"</f>
        <v>10</v>
      </c>
      <c r="Q839" t="s">
        <v>835</v>
      </c>
      <c r="S839" t="s">
        <v>836</v>
      </c>
      <c r="T839" t="s">
        <v>836</v>
      </c>
      <c r="U839" t="str">
        <f t="shared" si="221"/>
        <v>2500-12-31 00:00:00.0</v>
      </c>
      <c r="V839" t="s">
        <v>837</v>
      </c>
      <c r="W839" t="str">
        <f>"048314-004796-**-**"</f>
        <v>048314-004796-**-**</v>
      </c>
      <c r="X839" t="s">
        <v>838</v>
      </c>
      <c r="Y839">
        <v>1254.5</v>
      </c>
      <c r="Z839">
        <v>1254.5</v>
      </c>
      <c r="AA839" t="str">
        <f t="shared" si="232"/>
        <v>06/08/2016</v>
      </c>
    </row>
    <row r="840" spans="1:27" x14ac:dyDescent="0.3">
      <c r="A840" t="str">
        <f t="shared" si="230"/>
        <v>048314</v>
      </c>
      <c r="B840" t="str">
        <f t="shared" si="225"/>
        <v>004796</v>
      </c>
      <c r="C840" t="s">
        <v>1328</v>
      </c>
      <c r="D840" t="s">
        <v>3839</v>
      </c>
      <c r="E840" t="s">
        <v>3840</v>
      </c>
      <c r="F840" t="s">
        <v>3841</v>
      </c>
      <c r="G840" t="s">
        <v>3842</v>
      </c>
      <c r="H840" t="str">
        <f t="shared" si="231"/>
        <v>048314</v>
      </c>
      <c r="I840" t="s">
        <v>833</v>
      </c>
      <c r="J840" t="str">
        <f>"2015-11-19 00:00:00.0"</f>
        <v>2015-11-19 00:00:00.0</v>
      </c>
      <c r="K840" t="s">
        <v>834</v>
      </c>
      <c r="L840" t="s">
        <v>0</v>
      </c>
      <c r="M840" t="str">
        <f t="shared" si="229"/>
        <v>048314</v>
      </c>
      <c r="N840">
        <v>0.70466300000000004</v>
      </c>
      <c r="O840">
        <v>0.70466300000000004</v>
      </c>
      <c r="P840" t="str">
        <f>"11"</f>
        <v>11</v>
      </c>
      <c r="Q840" t="str">
        <f>"10"</f>
        <v>10</v>
      </c>
      <c r="R840" t="str">
        <f>"2"</f>
        <v>2</v>
      </c>
      <c r="S840" t="s">
        <v>860</v>
      </c>
      <c r="T840" t="s">
        <v>836</v>
      </c>
      <c r="U840" t="str">
        <f t="shared" si="221"/>
        <v>2500-12-31 00:00:00.0</v>
      </c>
      <c r="V840" t="s">
        <v>837</v>
      </c>
      <c r="W840" t="str">
        <f>"048314-004796-**-**"</f>
        <v>048314-004796-**-**</v>
      </c>
      <c r="X840" t="s">
        <v>838</v>
      </c>
      <c r="Y840">
        <v>884</v>
      </c>
      <c r="Z840">
        <v>1254.5</v>
      </c>
      <c r="AA840" t="str">
        <f t="shared" si="232"/>
        <v>06/08/2016</v>
      </c>
    </row>
    <row r="841" spans="1:27" x14ac:dyDescent="0.3">
      <c r="A841" t="str">
        <f t="shared" si="230"/>
        <v>048314</v>
      </c>
      <c r="B841" t="str">
        <f t="shared" si="225"/>
        <v>004796</v>
      </c>
      <c r="C841" t="s">
        <v>1328</v>
      </c>
      <c r="D841" t="s">
        <v>3839</v>
      </c>
      <c r="E841" t="s">
        <v>3840</v>
      </c>
      <c r="F841" t="s">
        <v>3841</v>
      </c>
      <c r="G841" t="s">
        <v>3842</v>
      </c>
      <c r="H841" t="str">
        <f t="shared" si="231"/>
        <v>048314</v>
      </c>
      <c r="I841" t="s">
        <v>833</v>
      </c>
      <c r="J841" t="str">
        <f t="shared" ref="J841:J852" si="233">"2015-07-01 00:00:00.0"</f>
        <v>2015-07-01 00:00:00.0</v>
      </c>
      <c r="K841" t="s">
        <v>834</v>
      </c>
      <c r="L841" t="s">
        <v>0</v>
      </c>
      <c r="M841" t="str">
        <f t="shared" si="229"/>
        <v>048314</v>
      </c>
      <c r="N841">
        <v>0.29533700000000002</v>
      </c>
      <c r="O841">
        <v>0.29533700000000002</v>
      </c>
      <c r="P841" t="str">
        <f>"11"</f>
        <v>11</v>
      </c>
      <c r="Q841" t="str">
        <f>"10"</f>
        <v>10</v>
      </c>
      <c r="R841" t="str">
        <f>"2"</f>
        <v>2</v>
      </c>
      <c r="S841" t="s">
        <v>836</v>
      </c>
      <c r="T841" t="s">
        <v>836</v>
      </c>
      <c r="U841" t="str">
        <f>"2015-11-18 00:00:00.0"</f>
        <v>2015-11-18 00:00:00.0</v>
      </c>
      <c r="V841" t="s">
        <v>837</v>
      </c>
      <c r="W841" t="str">
        <f>"048314-004796-**-**"</f>
        <v>048314-004796-**-**</v>
      </c>
      <c r="X841" t="s">
        <v>838</v>
      </c>
      <c r="Y841">
        <v>370.5</v>
      </c>
      <c r="Z841">
        <v>1254.5</v>
      </c>
      <c r="AA841" t="str">
        <f t="shared" si="232"/>
        <v>06/08/2016</v>
      </c>
    </row>
    <row r="842" spans="1:27" x14ac:dyDescent="0.3">
      <c r="A842" t="str">
        <f t="shared" si="230"/>
        <v>048314</v>
      </c>
      <c r="B842" t="str">
        <f t="shared" si="225"/>
        <v>004796</v>
      </c>
      <c r="C842" t="s">
        <v>1419</v>
      </c>
      <c r="D842" t="s">
        <v>3839</v>
      </c>
      <c r="E842" t="s">
        <v>3840</v>
      </c>
      <c r="F842" t="s">
        <v>3841</v>
      </c>
      <c r="G842" t="s">
        <v>3842</v>
      </c>
      <c r="H842" t="str">
        <f t="shared" si="231"/>
        <v>048314</v>
      </c>
      <c r="I842" t="s">
        <v>833</v>
      </c>
      <c r="J842" t="str">
        <f t="shared" si="233"/>
        <v>2015-07-01 00:00:00.0</v>
      </c>
      <c r="K842" t="s">
        <v>834</v>
      </c>
      <c r="L842" t="s">
        <v>0</v>
      </c>
      <c r="M842" t="str">
        <f t="shared" si="229"/>
        <v>048314</v>
      </c>
      <c r="N842">
        <v>1</v>
      </c>
      <c r="O842">
        <v>1</v>
      </c>
      <c r="P842" t="str">
        <f>"12"</f>
        <v>12</v>
      </c>
      <c r="Q842" t="s">
        <v>835</v>
      </c>
      <c r="S842" t="s">
        <v>836</v>
      </c>
      <c r="T842" t="s">
        <v>836</v>
      </c>
      <c r="U842" t="str">
        <f t="shared" ref="U842:U853" si="234">"2500-12-31 00:00:00.0"</f>
        <v>2500-12-31 00:00:00.0</v>
      </c>
      <c r="V842" t="s">
        <v>837</v>
      </c>
      <c r="W842" t="str">
        <f>"048314-004796-12-SE"</f>
        <v>048314-004796-12-SE</v>
      </c>
      <c r="X842" t="s">
        <v>838</v>
      </c>
      <c r="Y842">
        <v>1254.5</v>
      </c>
      <c r="Z842">
        <v>1254.5</v>
      </c>
      <c r="AA842" t="str">
        <f t="shared" si="232"/>
        <v>06/08/2016</v>
      </c>
    </row>
    <row r="843" spans="1:27" x14ac:dyDescent="0.3">
      <c r="A843" t="str">
        <f t="shared" si="230"/>
        <v>048314</v>
      </c>
      <c r="B843" t="str">
        <f t="shared" si="225"/>
        <v>004796</v>
      </c>
      <c r="C843" t="s">
        <v>1586</v>
      </c>
      <c r="D843" t="s">
        <v>3839</v>
      </c>
      <c r="E843" t="s">
        <v>3840</v>
      </c>
      <c r="F843" t="s">
        <v>3841</v>
      </c>
      <c r="G843" t="s">
        <v>3842</v>
      </c>
      <c r="H843" t="str">
        <f t="shared" si="231"/>
        <v>048314</v>
      </c>
      <c r="I843" t="s">
        <v>833</v>
      </c>
      <c r="J843" t="str">
        <f t="shared" si="233"/>
        <v>2015-07-01 00:00:00.0</v>
      </c>
      <c r="K843" t="s">
        <v>834</v>
      </c>
      <c r="L843" t="s">
        <v>0</v>
      </c>
      <c r="M843" t="str">
        <f t="shared" si="229"/>
        <v>048314</v>
      </c>
      <c r="N843">
        <v>1</v>
      </c>
      <c r="O843">
        <v>1</v>
      </c>
      <c r="P843" t="str">
        <f>"10"</f>
        <v>10</v>
      </c>
      <c r="Q843" t="s">
        <v>835</v>
      </c>
      <c r="S843" t="s">
        <v>860</v>
      </c>
      <c r="T843" t="s">
        <v>836</v>
      </c>
      <c r="U843" t="str">
        <f t="shared" si="234"/>
        <v>2500-12-31 00:00:00.0</v>
      </c>
      <c r="V843" t="s">
        <v>837</v>
      </c>
      <c r="W843" t="str">
        <f>"048314-004796-**-**"</f>
        <v>048314-004796-**-**</v>
      </c>
      <c r="X843" t="s">
        <v>838</v>
      </c>
      <c r="Y843">
        <v>1254.5</v>
      </c>
      <c r="Z843">
        <v>1254.5</v>
      </c>
      <c r="AA843" t="str">
        <f t="shared" si="232"/>
        <v>06/08/2016</v>
      </c>
    </row>
    <row r="844" spans="1:27" x14ac:dyDescent="0.3">
      <c r="A844" t="str">
        <f t="shared" si="230"/>
        <v>048314</v>
      </c>
      <c r="B844" t="str">
        <f t="shared" si="225"/>
        <v>004796</v>
      </c>
      <c r="C844" t="s">
        <v>1329</v>
      </c>
      <c r="D844" t="s">
        <v>3839</v>
      </c>
      <c r="E844" t="s">
        <v>3840</v>
      </c>
      <c r="F844" t="s">
        <v>3841</v>
      </c>
      <c r="G844" t="s">
        <v>3842</v>
      </c>
      <c r="H844" t="str">
        <f t="shared" si="231"/>
        <v>048314</v>
      </c>
      <c r="I844" t="s">
        <v>833</v>
      </c>
      <c r="J844" t="str">
        <f t="shared" si="233"/>
        <v>2015-07-01 00:00:00.0</v>
      </c>
      <c r="K844" t="s">
        <v>834</v>
      </c>
      <c r="L844" t="s">
        <v>0</v>
      </c>
      <c r="M844" t="str">
        <f t="shared" si="229"/>
        <v>048314</v>
      </c>
      <c r="N844">
        <v>1</v>
      </c>
      <c r="O844">
        <v>1</v>
      </c>
      <c r="P844" t="str">
        <f>"10"</f>
        <v>10</v>
      </c>
      <c r="Q844" t="s">
        <v>835</v>
      </c>
      <c r="S844" t="s">
        <v>836</v>
      </c>
      <c r="T844" t="s">
        <v>836</v>
      </c>
      <c r="U844" t="str">
        <f t="shared" si="234"/>
        <v>2500-12-31 00:00:00.0</v>
      </c>
      <c r="V844" t="s">
        <v>837</v>
      </c>
      <c r="W844" t="str">
        <f>"048314-004796-**-**"</f>
        <v>048314-004796-**-**</v>
      </c>
      <c r="X844" t="s">
        <v>838</v>
      </c>
      <c r="Y844">
        <v>1254.5</v>
      </c>
      <c r="Z844">
        <v>1254.5</v>
      </c>
      <c r="AA844" t="str">
        <f t="shared" si="232"/>
        <v>06/08/2016</v>
      </c>
    </row>
    <row r="845" spans="1:27" x14ac:dyDescent="0.3">
      <c r="A845" t="str">
        <f t="shared" si="230"/>
        <v>048314</v>
      </c>
      <c r="B845" t="str">
        <f t="shared" si="225"/>
        <v>004796</v>
      </c>
      <c r="C845" t="s">
        <v>3151</v>
      </c>
      <c r="D845" t="s">
        <v>3839</v>
      </c>
      <c r="E845" t="s">
        <v>3840</v>
      </c>
      <c r="F845" t="s">
        <v>3841</v>
      </c>
      <c r="G845" t="s">
        <v>3842</v>
      </c>
      <c r="H845" t="str">
        <f t="shared" si="231"/>
        <v>048314</v>
      </c>
      <c r="I845" t="s">
        <v>833</v>
      </c>
      <c r="J845" t="str">
        <f t="shared" si="233"/>
        <v>2015-07-01 00:00:00.0</v>
      </c>
      <c r="K845" t="s">
        <v>834</v>
      </c>
      <c r="L845" t="s">
        <v>0</v>
      </c>
      <c r="M845" t="str">
        <f t="shared" si="229"/>
        <v>048314</v>
      </c>
      <c r="N845">
        <v>1</v>
      </c>
      <c r="O845">
        <v>1</v>
      </c>
      <c r="P845" t="str">
        <f t="shared" ref="P845:P851" si="235">"12"</f>
        <v>12</v>
      </c>
      <c r="Q845" t="s">
        <v>835</v>
      </c>
      <c r="S845" t="s">
        <v>836</v>
      </c>
      <c r="T845" t="s">
        <v>836</v>
      </c>
      <c r="U845" t="str">
        <f t="shared" si="234"/>
        <v>2500-12-31 00:00:00.0</v>
      </c>
      <c r="V845" t="s">
        <v>837</v>
      </c>
      <c r="W845" t="str">
        <f t="shared" ref="W845:W851" si="236">"048314-004796-12-SE"</f>
        <v>048314-004796-12-SE</v>
      </c>
      <c r="X845" t="s">
        <v>838</v>
      </c>
      <c r="Y845">
        <v>1254.5</v>
      </c>
      <c r="Z845">
        <v>1254.5</v>
      </c>
      <c r="AA845" t="str">
        <f t="shared" si="232"/>
        <v>06/08/2016</v>
      </c>
    </row>
    <row r="846" spans="1:27" x14ac:dyDescent="0.3">
      <c r="A846" t="str">
        <f t="shared" si="230"/>
        <v>048314</v>
      </c>
      <c r="B846" t="str">
        <f t="shared" si="225"/>
        <v>004796</v>
      </c>
      <c r="C846" t="s">
        <v>1097</v>
      </c>
      <c r="D846" t="s">
        <v>3839</v>
      </c>
      <c r="E846" t="s">
        <v>3840</v>
      </c>
      <c r="F846" t="s">
        <v>3841</v>
      </c>
      <c r="G846" t="s">
        <v>3842</v>
      </c>
      <c r="H846" t="str">
        <f t="shared" si="231"/>
        <v>048314</v>
      </c>
      <c r="I846" t="s">
        <v>833</v>
      </c>
      <c r="J846" t="str">
        <f t="shared" si="233"/>
        <v>2015-07-01 00:00:00.0</v>
      </c>
      <c r="K846" t="s">
        <v>834</v>
      </c>
      <c r="L846" t="s">
        <v>0</v>
      </c>
      <c r="M846" t="str">
        <f t="shared" si="229"/>
        <v>048314</v>
      </c>
      <c r="N846">
        <v>1</v>
      </c>
      <c r="O846">
        <v>1</v>
      </c>
      <c r="P846" t="str">
        <f t="shared" si="235"/>
        <v>12</v>
      </c>
      <c r="Q846" t="s">
        <v>835</v>
      </c>
      <c r="S846" t="s">
        <v>860</v>
      </c>
      <c r="T846" t="s">
        <v>836</v>
      </c>
      <c r="U846" t="str">
        <f t="shared" si="234"/>
        <v>2500-12-31 00:00:00.0</v>
      </c>
      <c r="V846" t="s">
        <v>837</v>
      </c>
      <c r="W846" t="str">
        <f t="shared" si="236"/>
        <v>048314-004796-12-SE</v>
      </c>
      <c r="X846" t="s">
        <v>838</v>
      </c>
      <c r="Y846">
        <v>1254.5</v>
      </c>
      <c r="Z846">
        <v>1254.5</v>
      </c>
      <c r="AA846" t="str">
        <f t="shared" si="232"/>
        <v>06/08/2016</v>
      </c>
    </row>
    <row r="847" spans="1:27" x14ac:dyDescent="0.3">
      <c r="A847" t="str">
        <f t="shared" si="230"/>
        <v>048314</v>
      </c>
      <c r="B847" t="str">
        <f t="shared" si="225"/>
        <v>004796</v>
      </c>
      <c r="C847" t="s">
        <v>1420</v>
      </c>
      <c r="D847" t="s">
        <v>3839</v>
      </c>
      <c r="E847" t="s">
        <v>3840</v>
      </c>
      <c r="F847" t="s">
        <v>3841</v>
      </c>
      <c r="G847" t="s">
        <v>3842</v>
      </c>
      <c r="H847" t="str">
        <f t="shared" si="231"/>
        <v>048314</v>
      </c>
      <c r="I847" t="s">
        <v>833</v>
      </c>
      <c r="J847" t="str">
        <f t="shared" si="233"/>
        <v>2015-07-01 00:00:00.0</v>
      </c>
      <c r="K847" t="s">
        <v>834</v>
      </c>
      <c r="L847" t="s">
        <v>0</v>
      </c>
      <c r="M847" t="str">
        <f t="shared" si="229"/>
        <v>048314</v>
      </c>
      <c r="N847">
        <v>1</v>
      </c>
      <c r="O847">
        <v>1</v>
      </c>
      <c r="P847" t="str">
        <f t="shared" si="235"/>
        <v>12</v>
      </c>
      <c r="Q847" t="s">
        <v>835</v>
      </c>
      <c r="S847" t="s">
        <v>836</v>
      </c>
      <c r="T847" t="s">
        <v>836</v>
      </c>
      <c r="U847" t="str">
        <f t="shared" si="234"/>
        <v>2500-12-31 00:00:00.0</v>
      </c>
      <c r="V847" t="s">
        <v>837</v>
      </c>
      <c r="W847" t="str">
        <f t="shared" si="236"/>
        <v>048314-004796-12-SE</v>
      </c>
      <c r="X847" t="s">
        <v>838</v>
      </c>
      <c r="Y847">
        <v>1254.5</v>
      </c>
      <c r="Z847">
        <v>1254.5</v>
      </c>
      <c r="AA847" t="str">
        <f t="shared" si="232"/>
        <v>06/08/2016</v>
      </c>
    </row>
    <row r="848" spans="1:27" x14ac:dyDescent="0.3">
      <c r="A848" t="str">
        <f t="shared" si="230"/>
        <v>048314</v>
      </c>
      <c r="B848" t="str">
        <f t="shared" si="225"/>
        <v>004796</v>
      </c>
      <c r="C848" t="s">
        <v>1551</v>
      </c>
      <c r="D848" t="s">
        <v>3839</v>
      </c>
      <c r="E848" t="s">
        <v>3840</v>
      </c>
      <c r="F848" t="s">
        <v>3841</v>
      </c>
      <c r="G848" t="s">
        <v>3842</v>
      </c>
      <c r="H848" t="str">
        <f t="shared" si="231"/>
        <v>048314</v>
      </c>
      <c r="I848" t="s">
        <v>833</v>
      </c>
      <c r="J848" t="str">
        <f t="shared" si="233"/>
        <v>2015-07-01 00:00:00.0</v>
      </c>
      <c r="K848" t="s">
        <v>834</v>
      </c>
      <c r="L848" t="s">
        <v>0</v>
      </c>
      <c r="M848" t="str">
        <f t="shared" si="229"/>
        <v>048314</v>
      </c>
      <c r="N848">
        <v>1</v>
      </c>
      <c r="O848">
        <v>1</v>
      </c>
      <c r="P848" t="str">
        <f t="shared" si="235"/>
        <v>12</v>
      </c>
      <c r="Q848" t="s">
        <v>835</v>
      </c>
      <c r="S848" t="s">
        <v>860</v>
      </c>
      <c r="T848" t="s">
        <v>836</v>
      </c>
      <c r="U848" t="str">
        <f t="shared" si="234"/>
        <v>2500-12-31 00:00:00.0</v>
      </c>
      <c r="V848" t="s">
        <v>837</v>
      </c>
      <c r="W848" t="str">
        <f t="shared" si="236"/>
        <v>048314-004796-12-SE</v>
      </c>
      <c r="X848" t="s">
        <v>838</v>
      </c>
      <c r="Y848">
        <v>1254.5</v>
      </c>
      <c r="Z848">
        <v>1254.5</v>
      </c>
      <c r="AA848" t="str">
        <f t="shared" si="232"/>
        <v>06/08/2016</v>
      </c>
    </row>
    <row r="849" spans="1:27" x14ac:dyDescent="0.3">
      <c r="A849" t="str">
        <f t="shared" si="230"/>
        <v>048314</v>
      </c>
      <c r="B849" t="str">
        <f t="shared" si="225"/>
        <v>004796</v>
      </c>
      <c r="C849" t="s">
        <v>1180</v>
      </c>
      <c r="D849" t="s">
        <v>3839</v>
      </c>
      <c r="E849" t="s">
        <v>3840</v>
      </c>
      <c r="F849" t="s">
        <v>3841</v>
      </c>
      <c r="G849" t="s">
        <v>3842</v>
      </c>
      <c r="H849" t="str">
        <f t="shared" si="231"/>
        <v>048314</v>
      </c>
      <c r="I849" t="s">
        <v>833</v>
      </c>
      <c r="J849" t="str">
        <f t="shared" si="233"/>
        <v>2015-07-01 00:00:00.0</v>
      </c>
      <c r="K849" t="s">
        <v>834</v>
      </c>
      <c r="L849" t="s">
        <v>0</v>
      </c>
      <c r="M849" t="str">
        <f t="shared" si="229"/>
        <v>048314</v>
      </c>
      <c r="N849">
        <v>1</v>
      </c>
      <c r="O849">
        <v>1</v>
      </c>
      <c r="P849" t="str">
        <f t="shared" si="235"/>
        <v>12</v>
      </c>
      <c r="Q849" t="s">
        <v>835</v>
      </c>
      <c r="S849" t="s">
        <v>836</v>
      </c>
      <c r="T849" t="s">
        <v>836</v>
      </c>
      <c r="U849" t="str">
        <f t="shared" si="234"/>
        <v>2500-12-31 00:00:00.0</v>
      </c>
      <c r="V849" t="s">
        <v>837</v>
      </c>
      <c r="W849" t="str">
        <f t="shared" si="236"/>
        <v>048314-004796-12-SE</v>
      </c>
      <c r="X849" t="s">
        <v>838</v>
      </c>
      <c r="Y849">
        <v>1254.5</v>
      </c>
      <c r="Z849">
        <v>1254.5</v>
      </c>
      <c r="AA849" t="str">
        <f t="shared" si="232"/>
        <v>06/08/2016</v>
      </c>
    </row>
    <row r="850" spans="1:27" x14ac:dyDescent="0.3">
      <c r="A850" t="str">
        <f t="shared" si="230"/>
        <v>048314</v>
      </c>
      <c r="B850" t="str">
        <f t="shared" si="225"/>
        <v>004796</v>
      </c>
      <c r="C850" t="s">
        <v>1421</v>
      </c>
      <c r="D850" t="s">
        <v>3839</v>
      </c>
      <c r="E850" t="s">
        <v>3840</v>
      </c>
      <c r="F850" t="s">
        <v>3841</v>
      </c>
      <c r="G850" t="s">
        <v>3842</v>
      </c>
      <c r="H850" t="str">
        <f t="shared" si="231"/>
        <v>048314</v>
      </c>
      <c r="I850" t="s">
        <v>833</v>
      </c>
      <c r="J850" t="str">
        <f t="shared" si="233"/>
        <v>2015-07-01 00:00:00.0</v>
      </c>
      <c r="K850" t="s">
        <v>834</v>
      </c>
      <c r="L850" t="s">
        <v>0</v>
      </c>
      <c r="M850" t="str">
        <f t="shared" si="229"/>
        <v>048314</v>
      </c>
      <c r="N850">
        <v>1</v>
      </c>
      <c r="O850">
        <v>1</v>
      </c>
      <c r="P850" t="str">
        <f t="shared" si="235"/>
        <v>12</v>
      </c>
      <c r="Q850" t="s">
        <v>835</v>
      </c>
      <c r="S850" t="s">
        <v>836</v>
      </c>
      <c r="T850" t="s">
        <v>836</v>
      </c>
      <c r="U850" t="str">
        <f t="shared" si="234"/>
        <v>2500-12-31 00:00:00.0</v>
      </c>
      <c r="V850" t="s">
        <v>837</v>
      </c>
      <c r="W850" t="str">
        <f t="shared" si="236"/>
        <v>048314-004796-12-SE</v>
      </c>
      <c r="X850" t="s">
        <v>838</v>
      </c>
      <c r="Y850">
        <v>1254.5</v>
      </c>
      <c r="Z850">
        <v>1254.5</v>
      </c>
      <c r="AA850" t="str">
        <f t="shared" si="232"/>
        <v>06/08/2016</v>
      </c>
    </row>
    <row r="851" spans="1:27" x14ac:dyDescent="0.3">
      <c r="A851" t="str">
        <f t="shared" si="230"/>
        <v>048314</v>
      </c>
      <c r="B851" t="str">
        <f t="shared" si="225"/>
        <v>004796</v>
      </c>
      <c r="C851" t="s">
        <v>1364</v>
      </c>
      <c r="D851" t="s">
        <v>3839</v>
      </c>
      <c r="E851" t="s">
        <v>3840</v>
      </c>
      <c r="F851" t="s">
        <v>3841</v>
      </c>
      <c r="G851" t="s">
        <v>3842</v>
      </c>
      <c r="H851" t="str">
        <f t="shared" si="231"/>
        <v>048314</v>
      </c>
      <c r="I851" t="s">
        <v>833</v>
      </c>
      <c r="J851" t="str">
        <f t="shared" si="233"/>
        <v>2015-07-01 00:00:00.0</v>
      </c>
      <c r="K851" t="s">
        <v>834</v>
      </c>
      <c r="L851" t="s">
        <v>0</v>
      </c>
      <c r="M851" t="str">
        <f t="shared" si="229"/>
        <v>048314</v>
      </c>
      <c r="N851">
        <v>1</v>
      </c>
      <c r="O851">
        <v>1</v>
      </c>
      <c r="P851" t="str">
        <f t="shared" si="235"/>
        <v>12</v>
      </c>
      <c r="Q851" t="s">
        <v>835</v>
      </c>
      <c r="S851" t="s">
        <v>836</v>
      </c>
      <c r="T851" t="s">
        <v>836</v>
      </c>
      <c r="U851" t="str">
        <f t="shared" si="234"/>
        <v>2500-12-31 00:00:00.0</v>
      </c>
      <c r="V851" t="s">
        <v>837</v>
      </c>
      <c r="W851" t="str">
        <f t="shared" si="236"/>
        <v>048314-004796-12-SE</v>
      </c>
      <c r="X851" t="s">
        <v>838</v>
      </c>
      <c r="Y851">
        <v>1254.5</v>
      </c>
      <c r="Z851">
        <v>1254.5</v>
      </c>
      <c r="AA851" t="str">
        <f t="shared" si="232"/>
        <v>06/08/2016</v>
      </c>
    </row>
    <row r="852" spans="1:27" x14ac:dyDescent="0.3">
      <c r="A852" t="str">
        <f t="shared" si="230"/>
        <v>048314</v>
      </c>
      <c r="B852" t="str">
        <f t="shared" si="225"/>
        <v>004796</v>
      </c>
      <c r="C852" t="s">
        <v>3110</v>
      </c>
      <c r="D852" t="s">
        <v>3839</v>
      </c>
      <c r="E852" t="s">
        <v>3840</v>
      </c>
      <c r="F852" t="s">
        <v>3841</v>
      </c>
      <c r="G852" t="s">
        <v>3842</v>
      </c>
      <c r="H852" t="str">
        <f t="shared" si="231"/>
        <v>048314</v>
      </c>
      <c r="I852" t="s">
        <v>833</v>
      </c>
      <c r="J852" t="str">
        <f t="shared" si="233"/>
        <v>2015-07-01 00:00:00.0</v>
      </c>
      <c r="K852" t="s">
        <v>834</v>
      </c>
      <c r="L852" t="s">
        <v>0</v>
      </c>
      <c r="M852" t="str">
        <f t="shared" si="229"/>
        <v>048314</v>
      </c>
      <c r="N852">
        <v>1</v>
      </c>
      <c r="O852">
        <v>1</v>
      </c>
      <c r="P852" t="str">
        <f>"10"</f>
        <v>10</v>
      </c>
      <c r="Q852" t="s">
        <v>835</v>
      </c>
      <c r="S852" t="s">
        <v>836</v>
      </c>
      <c r="T852" t="s">
        <v>836</v>
      </c>
      <c r="U852" t="str">
        <f t="shared" si="234"/>
        <v>2500-12-31 00:00:00.0</v>
      </c>
      <c r="V852" t="s">
        <v>837</v>
      </c>
      <c r="W852" t="str">
        <f>"048314-004796-**-**"</f>
        <v>048314-004796-**-**</v>
      </c>
      <c r="X852" t="s">
        <v>838</v>
      </c>
      <c r="Y852">
        <v>1254.5</v>
      </c>
      <c r="Z852">
        <v>1254.5</v>
      </c>
      <c r="AA852" t="str">
        <f t="shared" si="232"/>
        <v>06/08/2016</v>
      </c>
    </row>
    <row r="853" spans="1:27" x14ac:dyDescent="0.3">
      <c r="A853" t="str">
        <f t="shared" si="230"/>
        <v>048314</v>
      </c>
      <c r="B853" t="str">
        <f t="shared" si="225"/>
        <v>004796</v>
      </c>
      <c r="C853" t="s">
        <v>1330</v>
      </c>
      <c r="D853" t="s">
        <v>3839</v>
      </c>
      <c r="E853" t="s">
        <v>3840</v>
      </c>
      <c r="F853" t="s">
        <v>3841</v>
      </c>
      <c r="G853" t="s">
        <v>3842</v>
      </c>
      <c r="H853" t="str">
        <f>"048363"</f>
        <v>048363</v>
      </c>
      <c r="I853" t="s">
        <v>833</v>
      </c>
      <c r="J853" t="str">
        <f>"2015-08-12 00:00:00.0"</f>
        <v>2015-08-12 00:00:00.0</v>
      </c>
      <c r="K853" t="s">
        <v>834</v>
      </c>
      <c r="L853" t="s">
        <v>1</v>
      </c>
      <c r="M853" t="str">
        <f t="shared" si="229"/>
        <v>048314</v>
      </c>
      <c r="N853">
        <v>1</v>
      </c>
      <c r="O853">
        <v>1</v>
      </c>
      <c r="P853" t="str">
        <f>"11"</f>
        <v>11</v>
      </c>
      <c r="Q853" t="s">
        <v>835</v>
      </c>
      <c r="S853" t="s">
        <v>836</v>
      </c>
      <c r="T853" t="s">
        <v>836</v>
      </c>
      <c r="U853" t="str">
        <f t="shared" si="234"/>
        <v>2500-12-31 00:00:00.0</v>
      </c>
      <c r="V853" t="s">
        <v>837</v>
      </c>
      <c r="W853" t="str">
        <f>"048363-026229-**-**"</f>
        <v>048363-026229-**-**</v>
      </c>
      <c r="X853" t="s">
        <v>838</v>
      </c>
      <c r="Y853">
        <v>1127</v>
      </c>
      <c r="Z853">
        <v>1127</v>
      </c>
      <c r="AA853" t="str">
        <f>"06/15/2016"</f>
        <v>06/15/2016</v>
      </c>
    </row>
    <row r="854" spans="1:27" x14ac:dyDescent="0.3">
      <c r="A854" t="str">
        <f t="shared" si="230"/>
        <v>048314</v>
      </c>
      <c r="B854" t="str">
        <f t="shared" si="225"/>
        <v>004796</v>
      </c>
      <c r="C854" t="s">
        <v>1511</v>
      </c>
      <c r="D854" t="s">
        <v>3839</v>
      </c>
      <c r="E854" t="s">
        <v>3840</v>
      </c>
      <c r="F854" t="s">
        <v>3841</v>
      </c>
      <c r="G854" t="s">
        <v>3842</v>
      </c>
      <c r="H854" t="str">
        <f t="shared" ref="H854:H859" si="237">"048314"</f>
        <v>048314</v>
      </c>
      <c r="I854" t="s">
        <v>833</v>
      </c>
      <c r="J854" t="str">
        <f>"2015-07-01 00:00:00.0"</f>
        <v>2015-07-01 00:00:00.0</v>
      </c>
      <c r="K854" t="s">
        <v>834</v>
      </c>
      <c r="L854" t="s">
        <v>0</v>
      </c>
      <c r="M854" t="str">
        <f t="shared" si="229"/>
        <v>048314</v>
      </c>
      <c r="N854">
        <v>0.27461099999999999</v>
      </c>
      <c r="O854">
        <v>0.27461099999999999</v>
      </c>
      <c r="P854" t="str">
        <f>"10"</f>
        <v>10</v>
      </c>
      <c r="Q854" t="s">
        <v>835</v>
      </c>
      <c r="S854" t="s">
        <v>860</v>
      </c>
      <c r="T854" t="s">
        <v>836</v>
      </c>
      <c r="U854" t="str">
        <f>"2015-11-12 00:00:00.0"</f>
        <v>2015-11-12 00:00:00.0</v>
      </c>
      <c r="V854" t="s">
        <v>837</v>
      </c>
      <c r="W854" t="str">
        <f>"048314-004796-**-**"</f>
        <v>048314-004796-**-**</v>
      </c>
      <c r="X854" t="s">
        <v>838</v>
      </c>
      <c r="Y854">
        <v>344.5</v>
      </c>
      <c r="Z854">
        <v>1254.5</v>
      </c>
      <c r="AA854" t="str">
        <f t="shared" ref="AA854:AA859" si="238">"06/08/2016"</f>
        <v>06/08/2016</v>
      </c>
    </row>
    <row r="855" spans="1:27" x14ac:dyDescent="0.3">
      <c r="A855" t="str">
        <f t="shared" si="230"/>
        <v>048314</v>
      </c>
      <c r="B855" t="str">
        <f t="shared" si="225"/>
        <v>004796</v>
      </c>
      <c r="C855" t="s">
        <v>1511</v>
      </c>
      <c r="D855" t="s">
        <v>3839</v>
      </c>
      <c r="E855" t="s">
        <v>3840</v>
      </c>
      <c r="F855" t="s">
        <v>3841</v>
      </c>
      <c r="G855" t="s">
        <v>3842</v>
      </c>
      <c r="H855" t="str">
        <f t="shared" si="237"/>
        <v>048314</v>
      </c>
      <c r="I855" t="s">
        <v>833</v>
      </c>
      <c r="J855" t="str">
        <f>"2015-11-13 00:00:00.0"</f>
        <v>2015-11-13 00:00:00.0</v>
      </c>
      <c r="K855" t="s">
        <v>834</v>
      </c>
      <c r="L855" t="s">
        <v>0</v>
      </c>
      <c r="M855" t="str">
        <f t="shared" si="229"/>
        <v>048314</v>
      </c>
      <c r="N855">
        <v>0.72538899999999995</v>
      </c>
      <c r="O855">
        <v>0.72538899999999995</v>
      </c>
      <c r="P855" t="str">
        <f>"10"</f>
        <v>10</v>
      </c>
      <c r="Q855" t="s">
        <v>835</v>
      </c>
      <c r="S855" t="s">
        <v>860</v>
      </c>
      <c r="T855" t="s">
        <v>836</v>
      </c>
      <c r="U855" t="str">
        <f>"2500-12-31 00:00:00.0"</f>
        <v>2500-12-31 00:00:00.0</v>
      </c>
      <c r="V855" t="s">
        <v>837</v>
      </c>
      <c r="W855" t="str">
        <f>"048314-004796-**-**"</f>
        <v>048314-004796-**-**</v>
      </c>
      <c r="X855" t="s">
        <v>838</v>
      </c>
      <c r="Y855">
        <v>910</v>
      </c>
      <c r="Z855">
        <v>1254.5</v>
      </c>
      <c r="AA855" t="str">
        <f t="shared" si="238"/>
        <v>06/08/2016</v>
      </c>
    </row>
    <row r="856" spans="1:27" x14ac:dyDescent="0.3">
      <c r="A856" t="str">
        <f t="shared" si="230"/>
        <v>048314</v>
      </c>
      <c r="B856" t="str">
        <f t="shared" si="225"/>
        <v>004796</v>
      </c>
      <c r="C856" t="s">
        <v>1377</v>
      </c>
      <c r="D856" t="s">
        <v>3839</v>
      </c>
      <c r="E856" t="s">
        <v>3840</v>
      </c>
      <c r="F856" t="s">
        <v>3841</v>
      </c>
      <c r="G856" t="s">
        <v>3842</v>
      </c>
      <c r="H856" t="str">
        <f t="shared" si="237"/>
        <v>048314</v>
      </c>
      <c r="I856" t="s">
        <v>833</v>
      </c>
      <c r="J856" t="str">
        <f t="shared" ref="J856:J863" si="239">"2015-07-01 00:00:00.0"</f>
        <v>2015-07-01 00:00:00.0</v>
      </c>
      <c r="K856" t="s">
        <v>834</v>
      </c>
      <c r="L856" t="s">
        <v>0</v>
      </c>
      <c r="M856" t="str">
        <f t="shared" si="229"/>
        <v>048314</v>
      </c>
      <c r="N856">
        <v>1</v>
      </c>
      <c r="O856">
        <v>1</v>
      </c>
      <c r="P856" t="str">
        <f>"11"</f>
        <v>11</v>
      </c>
      <c r="Q856" t="s">
        <v>835</v>
      </c>
      <c r="S856" t="s">
        <v>836</v>
      </c>
      <c r="T856" t="s">
        <v>836</v>
      </c>
      <c r="U856" t="str">
        <f>"2500-12-31 00:00:00.0"</f>
        <v>2500-12-31 00:00:00.0</v>
      </c>
      <c r="V856" t="s">
        <v>837</v>
      </c>
      <c r="W856" t="str">
        <f>"048314-004796-**-**"</f>
        <v>048314-004796-**-**</v>
      </c>
      <c r="X856" t="s">
        <v>838</v>
      </c>
      <c r="Y856">
        <v>1254.5</v>
      </c>
      <c r="Z856">
        <v>1254.5</v>
      </c>
      <c r="AA856" t="str">
        <f t="shared" si="238"/>
        <v>06/08/2016</v>
      </c>
    </row>
    <row r="857" spans="1:27" x14ac:dyDescent="0.3">
      <c r="A857" t="str">
        <f t="shared" si="230"/>
        <v>048314</v>
      </c>
      <c r="B857" t="str">
        <f t="shared" si="225"/>
        <v>004796</v>
      </c>
      <c r="C857" t="s">
        <v>1544</v>
      </c>
      <c r="D857" t="s">
        <v>3839</v>
      </c>
      <c r="E857" t="s">
        <v>3840</v>
      </c>
      <c r="F857" t="s">
        <v>3841</v>
      </c>
      <c r="G857" t="s">
        <v>3842</v>
      </c>
      <c r="H857" t="str">
        <f t="shared" si="237"/>
        <v>048314</v>
      </c>
      <c r="I857" t="s">
        <v>833</v>
      </c>
      <c r="J857" t="str">
        <f t="shared" si="239"/>
        <v>2015-07-01 00:00:00.0</v>
      </c>
      <c r="K857" t="s">
        <v>834</v>
      </c>
      <c r="L857" t="s">
        <v>0</v>
      </c>
      <c r="M857" t="str">
        <f t="shared" si="229"/>
        <v>048314</v>
      </c>
      <c r="N857">
        <v>1</v>
      </c>
      <c r="O857">
        <v>1</v>
      </c>
      <c r="P857" t="str">
        <f>"10"</f>
        <v>10</v>
      </c>
      <c r="Q857" t="s">
        <v>835</v>
      </c>
      <c r="S857" t="s">
        <v>836</v>
      </c>
      <c r="T857" t="s">
        <v>836</v>
      </c>
      <c r="U857" t="str">
        <f>"2500-12-31 00:00:00.0"</f>
        <v>2500-12-31 00:00:00.0</v>
      </c>
      <c r="V857" t="s">
        <v>837</v>
      </c>
      <c r="W857" t="str">
        <f>"048314-004796-**-**"</f>
        <v>048314-004796-**-**</v>
      </c>
      <c r="X857" t="s">
        <v>838</v>
      </c>
      <c r="Y857">
        <v>1254.5</v>
      </c>
      <c r="Z857">
        <v>1254.5</v>
      </c>
      <c r="AA857" t="str">
        <f t="shared" si="238"/>
        <v>06/08/2016</v>
      </c>
    </row>
    <row r="858" spans="1:27" x14ac:dyDescent="0.3">
      <c r="A858" t="str">
        <f t="shared" si="230"/>
        <v>048314</v>
      </c>
      <c r="B858" t="str">
        <f t="shared" si="225"/>
        <v>004796</v>
      </c>
      <c r="C858" t="s">
        <v>2025</v>
      </c>
      <c r="D858" t="s">
        <v>3839</v>
      </c>
      <c r="E858" t="s">
        <v>3840</v>
      </c>
      <c r="F858" t="s">
        <v>3841</v>
      </c>
      <c r="G858" t="s">
        <v>3842</v>
      </c>
      <c r="H858" t="str">
        <f t="shared" si="237"/>
        <v>048314</v>
      </c>
      <c r="I858" t="s">
        <v>833</v>
      </c>
      <c r="J858" t="str">
        <f t="shared" si="239"/>
        <v>2015-07-01 00:00:00.0</v>
      </c>
      <c r="K858" t="s">
        <v>834</v>
      </c>
      <c r="L858" t="s">
        <v>0</v>
      </c>
      <c r="M858" t="str">
        <f t="shared" si="229"/>
        <v>048314</v>
      </c>
      <c r="N858">
        <v>1</v>
      </c>
      <c r="O858">
        <v>1</v>
      </c>
      <c r="P858" t="str">
        <f>"10"</f>
        <v>10</v>
      </c>
      <c r="Q858" t="s">
        <v>835</v>
      </c>
      <c r="S858" t="s">
        <v>836</v>
      </c>
      <c r="T858" t="s">
        <v>836</v>
      </c>
      <c r="U858" t="str">
        <f>"2500-12-31 00:00:00.0"</f>
        <v>2500-12-31 00:00:00.0</v>
      </c>
      <c r="V858" t="s">
        <v>837</v>
      </c>
      <c r="W858" t="str">
        <f>"048314-004796-**-**"</f>
        <v>048314-004796-**-**</v>
      </c>
      <c r="X858" t="s">
        <v>838</v>
      </c>
      <c r="Y858">
        <v>1254.5</v>
      </c>
      <c r="Z858">
        <v>1254.5</v>
      </c>
      <c r="AA858" t="str">
        <f t="shared" si="238"/>
        <v>06/08/2016</v>
      </c>
    </row>
    <row r="859" spans="1:27" x14ac:dyDescent="0.3">
      <c r="A859" t="str">
        <f t="shared" si="230"/>
        <v>048314</v>
      </c>
      <c r="B859" t="str">
        <f t="shared" si="225"/>
        <v>004796</v>
      </c>
      <c r="C859" t="s">
        <v>1112</v>
      </c>
      <c r="D859" t="s">
        <v>3839</v>
      </c>
      <c r="E859" t="s">
        <v>3840</v>
      </c>
      <c r="F859" t="s">
        <v>3841</v>
      </c>
      <c r="G859" t="s">
        <v>3842</v>
      </c>
      <c r="H859" t="str">
        <f t="shared" si="237"/>
        <v>048314</v>
      </c>
      <c r="I859" t="s">
        <v>833</v>
      </c>
      <c r="J859" t="str">
        <f t="shared" si="239"/>
        <v>2015-07-01 00:00:00.0</v>
      </c>
      <c r="K859" t="s">
        <v>834</v>
      </c>
      <c r="L859" t="s">
        <v>0</v>
      </c>
      <c r="M859" t="str">
        <f t="shared" si="229"/>
        <v>048314</v>
      </c>
      <c r="N859">
        <v>1</v>
      </c>
      <c r="O859">
        <v>1</v>
      </c>
      <c r="P859" t="str">
        <f>"12"</f>
        <v>12</v>
      </c>
      <c r="Q859" t="s">
        <v>835</v>
      </c>
      <c r="S859" t="s">
        <v>836</v>
      </c>
      <c r="T859" t="s">
        <v>836</v>
      </c>
      <c r="U859" t="str">
        <f>"2500-12-31 00:00:00.0"</f>
        <v>2500-12-31 00:00:00.0</v>
      </c>
      <c r="V859" t="s">
        <v>837</v>
      </c>
      <c r="W859" t="str">
        <f>"048314-004796-12-SE"</f>
        <v>048314-004796-12-SE</v>
      </c>
      <c r="X859" t="s">
        <v>838</v>
      </c>
      <c r="Y859">
        <v>1254.5</v>
      </c>
      <c r="Z859">
        <v>1254.5</v>
      </c>
      <c r="AA859" t="str">
        <f t="shared" si="238"/>
        <v>06/08/2016</v>
      </c>
    </row>
    <row r="860" spans="1:27" x14ac:dyDescent="0.3">
      <c r="A860" t="str">
        <f t="shared" si="230"/>
        <v>048314</v>
      </c>
      <c r="B860" t="str">
        <f t="shared" si="225"/>
        <v>004796</v>
      </c>
      <c r="C860" t="s">
        <v>896</v>
      </c>
      <c r="D860" t="s">
        <v>3839</v>
      </c>
      <c r="E860" t="s">
        <v>3840</v>
      </c>
      <c r="F860" t="s">
        <v>3841</v>
      </c>
      <c r="G860" t="s">
        <v>3842</v>
      </c>
      <c r="H860" t="str">
        <f>"051243"</f>
        <v>051243</v>
      </c>
      <c r="I860" t="s">
        <v>833</v>
      </c>
      <c r="J860" t="str">
        <f t="shared" si="239"/>
        <v>2015-07-01 00:00:00.0</v>
      </c>
      <c r="K860" t="s">
        <v>834</v>
      </c>
      <c r="L860" t="s">
        <v>100</v>
      </c>
      <c r="M860" t="str">
        <f t="shared" si="229"/>
        <v>048314</v>
      </c>
      <c r="N860">
        <v>0.19545499999999999</v>
      </c>
      <c r="O860">
        <v>0.19545499999999999</v>
      </c>
      <c r="P860" t="str">
        <f>"23"</f>
        <v>23</v>
      </c>
      <c r="Q860" t="str">
        <f>"15"</f>
        <v>15</v>
      </c>
      <c r="R860" t="str">
        <f>"2"</f>
        <v>2</v>
      </c>
      <c r="S860" t="s">
        <v>836</v>
      </c>
      <c r="T860" t="s">
        <v>836</v>
      </c>
      <c r="U860" t="str">
        <f>"2015-10-28 00:00:00.0"</f>
        <v>2015-10-28 00:00:00.0</v>
      </c>
      <c r="V860" t="s">
        <v>886</v>
      </c>
      <c r="W860" t="str">
        <f>"051243-051250-23-AM"</f>
        <v>051243-051250-23-AM</v>
      </c>
      <c r="X860" t="s">
        <v>838</v>
      </c>
      <c r="Y860">
        <v>223.6</v>
      </c>
      <c r="Z860">
        <v>1144</v>
      </c>
      <c r="AA860" t="str">
        <f>"05/21/2016"</f>
        <v>05/21/2016</v>
      </c>
    </row>
    <row r="861" spans="1:27" x14ac:dyDescent="0.3">
      <c r="A861" t="str">
        <f t="shared" si="230"/>
        <v>048314</v>
      </c>
      <c r="B861" t="str">
        <f t="shared" si="225"/>
        <v>004796</v>
      </c>
      <c r="C861" t="s">
        <v>1299</v>
      </c>
      <c r="D861" t="s">
        <v>3839</v>
      </c>
      <c r="E861" t="s">
        <v>3840</v>
      </c>
      <c r="F861" t="s">
        <v>3841</v>
      </c>
      <c r="G861" t="s">
        <v>3842</v>
      </c>
      <c r="H861" t="str">
        <f>"048363"</f>
        <v>048363</v>
      </c>
      <c r="I861" t="s">
        <v>833</v>
      </c>
      <c r="J861" t="str">
        <f t="shared" si="239"/>
        <v>2015-07-01 00:00:00.0</v>
      </c>
      <c r="K861" t="s">
        <v>834</v>
      </c>
      <c r="L861" t="s">
        <v>1</v>
      </c>
      <c r="M861" t="str">
        <f t="shared" si="229"/>
        <v>048314</v>
      </c>
      <c r="N861">
        <v>1</v>
      </c>
      <c r="O861">
        <v>1</v>
      </c>
      <c r="P861" t="str">
        <f>"11"</f>
        <v>11</v>
      </c>
      <c r="Q861" t="str">
        <f>"08"</f>
        <v>08</v>
      </c>
      <c r="R861" t="str">
        <f>"3"</f>
        <v>3</v>
      </c>
      <c r="S861" t="s">
        <v>836</v>
      </c>
      <c r="T861" t="s">
        <v>836</v>
      </c>
      <c r="U861" t="str">
        <f>"2500-12-31 00:00:00.0"</f>
        <v>2500-12-31 00:00:00.0</v>
      </c>
      <c r="V861" t="s">
        <v>837</v>
      </c>
      <c r="W861" t="str">
        <f>"048363-026229-**-**"</f>
        <v>048363-026229-**-**</v>
      </c>
      <c r="X861" t="s">
        <v>838</v>
      </c>
      <c r="Y861">
        <v>1127</v>
      </c>
      <c r="Z861">
        <v>1127</v>
      </c>
      <c r="AA861" t="str">
        <f>"06/15/2016"</f>
        <v>06/15/2016</v>
      </c>
    </row>
    <row r="862" spans="1:27" x14ac:dyDescent="0.3">
      <c r="A862" t="str">
        <f t="shared" si="230"/>
        <v>048314</v>
      </c>
      <c r="B862" t="str">
        <f t="shared" si="225"/>
        <v>004796</v>
      </c>
      <c r="C862" t="s">
        <v>1528</v>
      </c>
      <c r="D862" t="s">
        <v>3839</v>
      </c>
      <c r="E862" t="s">
        <v>3840</v>
      </c>
      <c r="F862" t="s">
        <v>3841</v>
      </c>
      <c r="G862" t="s">
        <v>3842</v>
      </c>
      <c r="H862" t="str">
        <f>"048363"</f>
        <v>048363</v>
      </c>
      <c r="I862" t="s">
        <v>833</v>
      </c>
      <c r="J862" t="str">
        <f t="shared" si="239"/>
        <v>2015-07-01 00:00:00.0</v>
      </c>
      <c r="K862" t="s">
        <v>834</v>
      </c>
      <c r="L862" t="s">
        <v>1</v>
      </c>
      <c r="M862" t="str">
        <f t="shared" si="229"/>
        <v>048314</v>
      </c>
      <c r="N862">
        <v>1</v>
      </c>
      <c r="O862">
        <v>1</v>
      </c>
      <c r="P862" t="str">
        <f>"10"</f>
        <v>10</v>
      </c>
      <c r="Q862" t="s">
        <v>835</v>
      </c>
      <c r="S862" t="s">
        <v>836</v>
      </c>
      <c r="T862" t="s">
        <v>836</v>
      </c>
      <c r="U862" t="str">
        <f>"2500-12-31 00:00:00.0"</f>
        <v>2500-12-31 00:00:00.0</v>
      </c>
      <c r="V862" t="s">
        <v>837</v>
      </c>
      <c r="W862" t="str">
        <f>"048363-026229-**-**"</f>
        <v>048363-026229-**-**</v>
      </c>
      <c r="X862" t="s">
        <v>838</v>
      </c>
      <c r="Y862">
        <v>1127</v>
      </c>
      <c r="Z862">
        <v>1127</v>
      </c>
      <c r="AA862" t="str">
        <f>"06/15/2016"</f>
        <v>06/15/2016</v>
      </c>
    </row>
    <row r="863" spans="1:27" x14ac:dyDescent="0.3">
      <c r="A863" t="str">
        <f t="shared" si="230"/>
        <v>048314</v>
      </c>
      <c r="B863" t="str">
        <f t="shared" si="225"/>
        <v>004796</v>
      </c>
      <c r="C863" t="s">
        <v>2026</v>
      </c>
      <c r="D863" t="s">
        <v>3839</v>
      </c>
      <c r="E863" t="s">
        <v>3840</v>
      </c>
      <c r="F863" t="s">
        <v>3841</v>
      </c>
      <c r="G863" t="s">
        <v>3842</v>
      </c>
      <c r="H863" t="str">
        <f>"051631"</f>
        <v>051631</v>
      </c>
      <c r="I863" t="s">
        <v>833</v>
      </c>
      <c r="J863" t="str">
        <f t="shared" si="239"/>
        <v>2015-07-01 00:00:00.0</v>
      </c>
      <c r="K863" t="s">
        <v>834</v>
      </c>
      <c r="L863" t="s">
        <v>4</v>
      </c>
      <c r="M863" t="str">
        <f t="shared" si="229"/>
        <v>048314</v>
      </c>
      <c r="N863">
        <v>0.59363200000000005</v>
      </c>
      <c r="O863">
        <v>0.59363200000000005</v>
      </c>
      <c r="P863" t="str">
        <f>"11"</f>
        <v>11</v>
      </c>
      <c r="Q863" t="str">
        <f>"15"</f>
        <v>15</v>
      </c>
      <c r="R863" t="str">
        <f>"2"</f>
        <v>2</v>
      </c>
      <c r="S863" t="s">
        <v>836</v>
      </c>
      <c r="T863" t="s">
        <v>836</v>
      </c>
      <c r="U863" t="str">
        <f>"2016-02-05 00:00:00.0"</f>
        <v>2016-02-05 00:00:00.0</v>
      </c>
      <c r="V863" t="s">
        <v>837</v>
      </c>
      <c r="W863" t="str">
        <f>"051631-051649-11-UO"</f>
        <v>051631-051649-11-UO</v>
      </c>
      <c r="X863" t="s">
        <v>838</v>
      </c>
      <c r="Y863">
        <v>598.5</v>
      </c>
      <c r="Z863">
        <v>1008.2</v>
      </c>
      <c r="AA863" t="str">
        <f>"06/13/2016"</f>
        <v>06/13/2016</v>
      </c>
    </row>
    <row r="864" spans="1:27" x14ac:dyDescent="0.3">
      <c r="A864" t="str">
        <f t="shared" si="230"/>
        <v>048314</v>
      </c>
      <c r="B864" t="str">
        <f t="shared" si="225"/>
        <v>004796</v>
      </c>
      <c r="C864" t="s">
        <v>2026</v>
      </c>
      <c r="D864" t="s">
        <v>3839</v>
      </c>
      <c r="E864" t="s">
        <v>3840</v>
      </c>
      <c r="F864" t="s">
        <v>3841</v>
      </c>
      <c r="G864" t="s">
        <v>3842</v>
      </c>
      <c r="H864" t="str">
        <f>"050252"</f>
        <v>050252</v>
      </c>
      <c r="I864" t="s">
        <v>833</v>
      </c>
      <c r="J864" t="str">
        <f>"2016-02-08 00:00:00.0"</f>
        <v>2016-02-08 00:00:00.0</v>
      </c>
      <c r="K864" t="s">
        <v>834</v>
      </c>
      <c r="L864" t="s">
        <v>1</v>
      </c>
      <c r="M864" t="str">
        <f t="shared" si="229"/>
        <v>048314</v>
      </c>
      <c r="N864">
        <v>0.42003499999999999</v>
      </c>
      <c r="O864">
        <v>0.40636800000000001</v>
      </c>
      <c r="P864" t="str">
        <f>"11"</f>
        <v>11</v>
      </c>
      <c r="Q864" t="str">
        <f>"15"</f>
        <v>15</v>
      </c>
      <c r="R864" t="str">
        <f>"2"</f>
        <v>2</v>
      </c>
      <c r="S864" t="s">
        <v>836</v>
      </c>
      <c r="T864" t="s">
        <v>836</v>
      </c>
      <c r="U864" t="str">
        <f t="shared" ref="U864:U878" si="240">"2500-12-31 00:00:00.0"</f>
        <v>2500-12-31 00:00:00.0</v>
      </c>
      <c r="V864" t="s">
        <v>837</v>
      </c>
      <c r="W864" t="str">
        <f>"050252-025023-11-**"</f>
        <v>050252-025023-11-**</v>
      </c>
      <c r="X864" t="s">
        <v>838</v>
      </c>
      <c r="Y864">
        <v>478</v>
      </c>
      <c r="Z864">
        <v>1138</v>
      </c>
      <c r="AA864" t="str">
        <f>"06/13/2016"</f>
        <v>06/13/2016</v>
      </c>
    </row>
    <row r="865" spans="1:27" x14ac:dyDescent="0.3">
      <c r="A865" t="str">
        <f t="shared" si="230"/>
        <v>048314</v>
      </c>
      <c r="B865" t="str">
        <f t="shared" si="225"/>
        <v>004796</v>
      </c>
      <c r="C865" t="s">
        <v>1648</v>
      </c>
      <c r="D865" t="s">
        <v>3839</v>
      </c>
      <c r="E865" t="s">
        <v>3840</v>
      </c>
      <c r="F865" t="s">
        <v>3841</v>
      </c>
      <c r="G865" t="s">
        <v>3842</v>
      </c>
      <c r="H865" t="str">
        <f t="shared" ref="H865:H884" si="241">"048314"</f>
        <v>048314</v>
      </c>
      <c r="I865" t="s">
        <v>833</v>
      </c>
      <c r="J865" t="str">
        <f>"2015-07-01 00:00:00.0"</f>
        <v>2015-07-01 00:00:00.0</v>
      </c>
      <c r="K865" t="s">
        <v>834</v>
      </c>
      <c r="L865" t="s">
        <v>0</v>
      </c>
      <c r="M865" t="str">
        <f t="shared" si="229"/>
        <v>048314</v>
      </c>
      <c r="N865">
        <v>1</v>
      </c>
      <c r="O865">
        <v>1</v>
      </c>
      <c r="P865" t="str">
        <f>"10"</f>
        <v>10</v>
      </c>
      <c r="Q865" t="s">
        <v>835</v>
      </c>
      <c r="S865" t="s">
        <v>836</v>
      </c>
      <c r="T865" t="s">
        <v>836</v>
      </c>
      <c r="U865" t="str">
        <f t="shared" si="240"/>
        <v>2500-12-31 00:00:00.0</v>
      </c>
      <c r="V865" t="s">
        <v>837</v>
      </c>
      <c r="W865" t="str">
        <f>"048314-004796-**-**"</f>
        <v>048314-004796-**-**</v>
      </c>
      <c r="X865" t="s">
        <v>838</v>
      </c>
      <c r="Y865">
        <v>1254.5</v>
      </c>
      <c r="Z865">
        <v>1254.5</v>
      </c>
      <c r="AA865" t="str">
        <f t="shared" ref="AA865:AA899" si="242">"06/08/2016"</f>
        <v>06/08/2016</v>
      </c>
    </row>
    <row r="866" spans="1:27" x14ac:dyDescent="0.3">
      <c r="A866" t="str">
        <f t="shared" si="230"/>
        <v>048314</v>
      </c>
      <c r="B866" t="str">
        <f t="shared" si="225"/>
        <v>004796</v>
      </c>
      <c r="C866" t="s">
        <v>1813</v>
      </c>
      <c r="D866" t="s">
        <v>3839</v>
      </c>
      <c r="E866" t="s">
        <v>3840</v>
      </c>
      <c r="F866" t="s">
        <v>3841</v>
      </c>
      <c r="G866" t="s">
        <v>3842</v>
      </c>
      <c r="H866" t="str">
        <f t="shared" si="241"/>
        <v>048314</v>
      </c>
      <c r="I866" t="s">
        <v>833</v>
      </c>
      <c r="J866" t="str">
        <f>"2015-07-01 00:00:00.0"</f>
        <v>2015-07-01 00:00:00.0</v>
      </c>
      <c r="K866" t="s">
        <v>834</v>
      </c>
      <c r="L866" t="s">
        <v>0</v>
      </c>
      <c r="M866" t="str">
        <f t="shared" si="229"/>
        <v>048314</v>
      </c>
      <c r="N866">
        <v>1</v>
      </c>
      <c r="O866">
        <v>1</v>
      </c>
      <c r="P866" t="str">
        <f>"10"</f>
        <v>10</v>
      </c>
      <c r="Q866" t="s">
        <v>835</v>
      </c>
      <c r="S866" t="s">
        <v>860</v>
      </c>
      <c r="T866" t="s">
        <v>836</v>
      </c>
      <c r="U866" t="str">
        <f t="shared" si="240"/>
        <v>2500-12-31 00:00:00.0</v>
      </c>
      <c r="V866" t="s">
        <v>837</v>
      </c>
      <c r="W866" t="str">
        <f>"048314-004796-**-**"</f>
        <v>048314-004796-**-**</v>
      </c>
      <c r="X866" t="s">
        <v>838</v>
      </c>
      <c r="Y866">
        <v>1254.5</v>
      </c>
      <c r="Z866">
        <v>1254.5</v>
      </c>
      <c r="AA866" t="str">
        <f t="shared" si="242"/>
        <v>06/08/2016</v>
      </c>
    </row>
    <row r="867" spans="1:27" x14ac:dyDescent="0.3">
      <c r="A867" t="str">
        <f t="shared" si="230"/>
        <v>048314</v>
      </c>
      <c r="B867" t="str">
        <f t="shared" si="225"/>
        <v>004796</v>
      </c>
      <c r="C867" t="s">
        <v>1062</v>
      </c>
      <c r="D867" t="s">
        <v>3839</v>
      </c>
      <c r="E867" t="s">
        <v>3840</v>
      </c>
      <c r="F867" t="s">
        <v>3841</v>
      </c>
      <c r="G867" t="s">
        <v>3842</v>
      </c>
      <c r="H867" t="str">
        <f t="shared" si="241"/>
        <v>048314</v>
      </c>
      <c r="I867" t="s">
        <v>833</v>
      </c>
      <c r="J867" t="str">
        <f>"2015-08-31 00:00:00.0"</f>
        <v>2015-08-31 00:00:00.0</v>
      </c>
      <c r="K867" t="s">
        <v>834</v>
      </c>
      <c r="L867" t="s">
        <v>0</v>
      </c>
      <c r="M867" t="str">
        <f t="shared" si="229"/>
        <v>048314</v>
      </c>
      <c r="N867">
        <v>1</v>
      </c>
      <c r="O867">
        <v>1</v>
      </c>
      <c r="P867" t="str">
        <f>"12"</f>
        <v>12</v>
      </c>
      <c r="Q867" t="s">
        <v>835</v>
      </c>
      <c r="S867" t="s">
        <v>836</v>
      </c>
      <c r="T867" t="s">
        <v>836</v>
      </c>
      <c r="U867" t="str">
        <f t="shared" si="240"/>
        <v>2500-12-31 00:00:00.0</v>
      </c>
      <c r="V867" t="s">
        <v>837</v>
      </c>
      <c r="W867" t="str">
        <f>"048314-004796-12-SE"</f>
        <v>048314-004796-12-SE</v>
      </c>
      <c r="X867" t="s">
        <v>838</v>
      </c>
      <c r="Y867">
        <v>1254.5</v>
      </c>
      <c r="Z867">
        <v>1254.5</v>
      </c>
      <c r="AA867" t="str">
        <f t="shared" si="242"/>
        <v>06/08/2016</v>
      </c>
    </row>
    <row r="868" spans="1:27" x14ac:dyDescent="0.3">
      <c r="A868" t="str">
        <f t="shared" si="230"/>
        <v>048314</v>
      </c>
      <c r="B868" t="str">
        <f t="shared" si="225"/>
        <v>004796</v>
      </c>
      <c r="C868" t="s">
        <v>3725</v>
      </c>
      <c r="D868" t="s">
        <v>3839</v>
      </c>
      <c r="E868" t="s">
        <v>3840</v>
      </c>
      <c r="F868" t="s">
        <v>3841</v>
      </c>
      <c r="G868" t="s">
        <v>3842</v>
      </c>
      <c r="H868" t="str">
        <f t="shared" si="241"/>
        <v>048314</v>
      </c>
      <c r="I868" t="s">
        <v>833</v>
      </c>
      <c r="J868" t="str">
        <f>"2015-08-03 00:00:00.0"</f>
        <v>2015-08-03 00:00:00.0</v>
      </c>
      <c r="K868" t="s">
        <v>834</v>
      </c>
      <c r="L868" t="s">
        <v>0</v>
      </c>
      <c r="M868" t="str">
        <f t="shared" si="229"/>
        <v>048314</v>
      </c>
      <c r="N868">
        <v>1</v>
      </c>
      <c r="O868">
        <v>1</v>
      </c>
      <c r="P868" t="str">
        <f>"10"</f>
        <v>10</v>
      </c>
      <c r="Q868" t="s">
        <v>835</v>
      </c>
      <c r="S868" t="s">
        <v>836</v>
      </c>
      <c r="T868" t="s">
        <v>836</v>
      </c>
      <c r="U868" t="str">
        <f t="shared" si="240"/>
        <v>2500-12-31 00:00:00.0</v>
      </c>
      <c r="V868" t="s">
        <v>837</v>
      </c>
      <c r="W868" t="str">
        <f>"048314-004796-**-**"</f>
        <v>048314-004796-**-**</v>
      </c>
      <c r="X868" t="s">
        <v>838</v>
      </c>
      <c r="Y868">
        <v>1254.5</v>
      </c>
      <c r="Z868">
        <v>1254.5</v>
      </c>
      <c r="AA868" t="str">
        <f t="shared" si="242"/>
        <v>06/08/2016</v>
      </c>
    </row>
    <row r="869" spans="1:27" x14ac:dyDescent="0.3">
      <c r="A869" t="str">
        <f t="shared" si="230"/>
        <v>048314</v>
      </c>
      <c r="B869" t="str">
        <f t="shared" si="225"/>
        <v>004796</v>
      </c>
      <c r="C869" t="s">
        <v>1809</v>
      </c>
      <c r="D869" t="s">
        <v>3839</v>
      </c>
      <c r="E869" t="s">
        <v>3840</v>
      </c>
      <c r="F869" t="s">
        <v>3841</v>
      </c>
      <c r="G869" t="s">
        <v>3842</v>
      </c>
      <c r="H869" t="str">
        <f t="shared" si="241"/>
        <v>048314</v>
      </c>
      <c r="I869" t="s">
        <v>833</v>
      </c>
      <c r="J869" t="str">
        <f>"2015-07-01 00:00:00.0"</f>
        <v>2015-07-01 00:00:00.0</v>
      </c>
      <c r="K869" t="s">
        <v>834</v>
      </c>
      <c r="L869" t="s">
        <v>0</v>
      </c>
      <c r="M869" t="str">
        <f t="shared" si="229"/>
        <v>048314</v>
      </c>
      <c r="N869">
        <v>1</v>
      </c>
      <c r="O869">
        <v>1</v>
      </c>
      <c r="P869" t="str">
        <f>"10"</f>
        <v>10</v>
      </c>
      <c r="Q869" t="s">
        <v>835</v>
      </c>
      <c r="S869" t="s">
        <v>836</v>
      </c>
      <c r="T869" t="s">
        <v>836</v>
      </c>
      <c r="U869" t="str">
        <f t="shared" si="240"/>
        <v>2500-12-31 00:00:00.0</v>
      </c>
      <c r="V869" t="s">
        <v>837</v>
      </c>
      <c r="W869" t="str">
        <f>"048314-004796-**-**"</f>
        <v>048314-004796-**-**</v>
      </c>
      <c r="X869" t="s">
        <v>838</v>
      </c>
      <c r="Y869">
        <v>1254.5</v>
      </c>
      <c r="Z869">
        <v>1254.5</v>
      </c>
      <c r="AA869" t="str">
        <f t="shared" si="242"/>
        <v>06/08/2016</v>
      </c>
    </row>
    <row r="870" spans="1:27" x14ac:dyDescent="0.3">
      <c r="A870" t="str">
        <f t="shared" si="230"/>
        <v>048314</v>
      </c>
      <c r="B870" t="str">
        <f t="shared" si="225"/>
        <v>004796</v>
      </c>
      <c r="C870" t="s">
        <v>2006</v>
      </c>
      <c r="D870" t="s">
        <v>3839</v>
      </c>
      <c r="E870" t="s">
        <v>3840</v>
      </c>
      <c r="F870" t="s">
        <v>3841</v>
      </c>
      <c r="G870" t="s">
        <v>3842</v>
      </c>
      <c r="H870" t="str">
        <f t="shared" si="241"/>
        <v>048314</v>
      </c>
      <c r="I870" t="s">
        <v>833</v>
      </c>
      <c r="J870" t="str">
        <f>"2015-07-01 00:00:00.0"</f>
        <v>2015-07-01 00:00:00.0</v>
      </c>
      <c r="K870" t="s">
        <v>834</v>
      </c>
      <c r="L870" t="s">
        <v>0</v>
      </c>
      <c r="M870" t="str">
        <f t="shared" si="229"/>
        <v>048314</v>
      </c>
      <c r="N870">
        <v>1</v>
      </c>
      <c r="O870">
        <v>1</v>
      </c>
      <c r="P870" t="str">
        <f>"12"</f>
        <v>12</v>
      </c>
      <c r="Q870" t="s">
        <v>835</v>
      </c>
      <c r="S870" t="s">
        <v>836</v>
      </c>
      <c r="T870" t="s">
        <v>836</v>
      </c>
      <c r="U870" t="str">
        <f t="shared" si="240"/>
        <v>2500-12-31 00:00:00.0</v>
      </c>
      <c r="V870" t="s">
        <v>837</v>
      </c>
      <c r="W870" t="str">
        <f>"048314-004796-12-SE"</f>
        <v>048314-004796-12-SE</v>
      </c>
      <c r="X870" t="s">
        <v>838</v>
      </c>
      <c r="Y870">
        <v>1254.5</v>
      </c>
      <c r="Z870">
        <v>1254.5</v>
      </c>
      <c r="AA870" t="str">
        <f t="shared" si="242"/>
        <v>06/08/2016</v>
      </c>
    </row>
    <row r="871" spans="1:27" x14ac:dyDescent="0.3">
      <c r="A871" t="str">
        <f t="shared" si="230"/>
        <v>048314</v>
      </c>
      <c r="B871" t="str">
        <f t="shared" si="225"/>
        <v>004796</v>
      </c>
      <c r="C871" t="s">
        <v>1331</v>
      </c>
      <c r="D871" t="s">
        <v>3839</v>
      </c>
      <c r="E871" t="s">
        <v>3840</v>
      </c>
      <c r="F871" t="s">
        <v>3841</v>
      </c>
      <c r="G871" t="s">
        <v>3842</v>
      </c>
      <c r="H871" t="str">
        <f t="shared" si="241"/>
        <v>048314</v>
      </c>
      <c r="I871" t="s">
        <v>833</v>
      </c>
      <c r="J871" t="str">
        <f>"2015-07-01 00:00:00.0"</f>
        <v>2015-07-01 00:00:00.0</v>
      </c>
      <c r="K871" t="s">
        <v>834</v>
      </c>
      <c r="L871" t="s">
        <v>0</v>
      </c>
      <c r="M871" t="str">
        <f t="shared" si="229"/>
        <v>048314</v>
      </c>
      <c r="N871">
        <v>1</v>
      </c>
      <c r="O871">
        <v>1</v>
      </c>
      <c r="P871" t="str">
        <f>"11"</f>
        <v>11</v>
      </c>
      <c r="Q871" t="str">
        <f>"10"</f>
        <v>10</v>
      </c>
      <c r="R871" t="str">
        <f>"2"</f>
        <v>2</v>
      </c>
      <c r="S871" t="s">
        <v>836</v>
      </c>
      <c r="T871" t="s">
        <v>836</v>
      </c>
      <c r="U871" t="str">
        <f t="shared" si="240"/>
        <v>2500-12-31 00:00:00.0</v>
      </c>
      <c r="V871" t="s">
        <v>837</v>
      </c>
      <c r="W871" t="str">
        <f>"048314-004796-**-**"</f>
        <v>048314-004796-**-**</v>
      </c>
      <c r="X871" t="s">
        <v>838</v>
      </c>
      <c r="Y871">
        <v>1254.5</v>
      </c>
      <c r="Z871">
        <v>1254.5</v>
      </c>
      <c r="AA871" t="str">
        <f t="shared" si="242"/>
        <v>06/08/2016</v>
      </c>
    </row>
    <row r="872" spans="1:27" x14ac:dyDescent="0.3">
      <c r="A872" t="str">
        <f t="shared" si="230"/>
        <v>048314</v>
      </c>
      <c r="B872" t="str">
        <f t="shared" si="225"/>
        <v>004796</v>
      </c>
      <c r="C872" t="s">
        <v>1790</v>
      </c>
      <c r="D872" t="s">
        <v>3839</v>
      </c>
      <c r="E872" t="s">
        <v>3840</v>
      </c>
      <c r="F872" t="s">
        <v>3841</v>
      </c>
      <c r="G872" t="s">
        <v>3842</v>
      </c>
      <c r="H872" t="str">
        <f t="shared" si="241"/>
        <v>048314</v>
      </c>
      <c r="I872" t="s">
        <v>833</v>
      </c>
      <c r="J872" t="str">
        <f>"2015-12-01 00:00:00.0"</f>
        <v>2015-12-01 00:00:00.0</v>
      </c>
      <c r="K872" t="s">
        <v>834</v>
      </c>
      <c r="L872" t="s">
        <v>0</v>
      </c>
      <c r="M872" t="str">
        <f t="shared" si="229"/>
        <v>048314</v>
      </c>
      <c r="N872">
        <v>0.67357500000000003</v>
      </c>
      <c r="O872">
        <v>0.59128700000000001</v>
      </c>
      <c r="P872" t="str">
        <f>"10"</f>
        <v>10</v>
      </c>
      <c r="Q872" t="s">
        <v>835</v>
      </c>
      <c r="S872" t="s">
        <v>836</v>
      </c>
      <c r="T872" t="s">
        <v>836</v>
      </c>
      <c r="U872" t="str">
        <f t="shared" si="240"/>
        <v>2500-12-31 00:00:00.0</v>
      </c>
      <c r="V872" t="s">
        <v>837</v>
      </c>
      <c r="W872" t="str">
        <f>"048314-004796-**-**"</f>
        <v>048314-004796-**-**</v>
      </c>
      <c r="X872" t="s">
        <v>838</v>
      </c>
      <c r="Y872">
        <v>845</v>
      </c>
      <c r="Z872">
        <v>1254.5</v>
      </c>
      <c r="AA872" t="str">
        <f t="shared" si="242"/>
        <v>06/08/2016</v>
      </c>
    </row>
    <row r="873" spans="1:27" x14ac:dyDescent="0.3">
      <c r="A873" t="str">
        <f t="shared" si="230"/>
        <v>048314</v>
      </c>
      <c r="B873" t="str">
        <f t="shared" si="225"/>
        <v>004796</v>
      </c>
      <c r="C873" t="s">
        <v>1649</v>
      </c>
      <c r="D873" t="s">
        <v>3839</v>
      </c>
      <c r="E873" t="s">
        <v>3840</v>
      </c>
      <c r="F873" t="s">
        <v>3841</v>
      </c>
      <c r="G873" t="s">
        <v>3842</v>
      </c>
      <c r="H873" t="str">
        <f t="shared" si="241"/>
        <v>048314</v>
      </c>
      <c r="I873" t="s">
        <v>833</v>
      </c>
      <c r="J873" t="str">
        <f t="shared" ref="J873:J879" si="243">"2015-07-01 00:00:00.0"</f>
        <v>2015-07-01 00:00:00.0</v>
      </c>
      <c r="K873" t="s">
        <v>834</v>
      </c>
      <c r="L873" t="s">
        <v>0</v>
      </c>
      <c r="M873" t="str">
        <f t="shared" si="229"/>
        <v>048314</v>
      </c>
      <c r="N873">
        <v>1</v>
      </c>
      <c r="O873">
        <v>1</v>
      </c>
      <c r="P873" t="str">
        <f>"10"</f>
        <v>10</v>
      </c>
      <c r="Q873" t="str">
        <f>"10"</f>
        <v>10</v>
      </c>
      <c r="R873" t="str">
        <f>"2"</f>
        <v>2</v>
      </c>
      <c r="S873" t="s">
        <v>836</v>
      </c>
      <c r="T873" t="s">
        <v>836</v>
      </c>
      <c r="U873" t="str">
        <f t="shared" si="240"/>
        <v>2500-12-31 00:00:00.0</v>
      </c>
      <c r="V873" t="s">
        <v>837</v>
      </c>
      <c r="W873" t="str">
        <f>"048314-004796-**-**"</f>
        <v>048314-004796-**-**</v>
      </c>
      <c r="X873" t="s">
        <v>838</v>
      </c>
      <c r="Y873">
        <v>1254.5</v>
      </c>
      <c r="Z873">
        <v>1254.5</v>
      </c>
      <c r="AA873" t="str">
        <f t="shared" si="242"/>
        <v>06/08/2016</v>
      </c>
    </row>
    <row r="874" spans="1:27" x14ac:dyDescent="0.3">
      <c r="A874" t="str">
        <f t="shared" si="230"/>
        <v>048314</v>
      </c>
      <c r="B874" t="str">
        <f t="shared" si="225"/>
        <v>004796</v>
      </c>
      <c r="C874" t="s">
        <v>2209</v>
      </c>
      <c r="D874" t="s">
        <v>3839</v>
      </c>
      <c r="E874" t="s">
        <v>3840</v>
      </c>
      <c r="F874" t="s">
        <v>3841</v>
      </c>
      <c r="G874" t="s">
        <v>3842</v>
      </c>
      <c r="H874" t="str">
        <f t="shared" si="241"/>
        <v>048314</v>
      </c>
      <c r="I874" t="s">
        <v>833</v>
      </c>
      <c r="J874" t="str">
        <f t="shared" si="243"/>
        <v>2015-07-01 00:00:00.0</v>
      </c>
      <c r="K874" t="s">
        <v>834</v>
      </c>
      <c r="L874" t="s">
        <v>0</v>
      </c>
      <c r="M874" t="str">
        <f t="shared" si="229"/>
        <v>048314</v>
      </c>
      <c r="N874">
        <v>1</v>
      </c>
      <c r="O874">
        <v>1</v>
      </c>
      <c r="P874" t="str">
        <f>"10"</f>
        <v>10</v>
      </c>
      <c r="Q874" t="s">
        <v>835</v>
      </c>
      <c r="S874" t="s">
        <v>836</v>
      </c>
      <c r="T874" t="s">
        <v>836</v>
      </c>
      <c r="U874" t="str">
        <f t="shared" si="240"/>
        <v>2500-12-31 00:00:00.0</v>
      </c>
      <c r="V874" t="s">
        <v>837</v>
      </c>
      <c r="W874" t="str">
        <f>"048314-004796-**-**"</f>
        <v>048314-004796-**-**</v>
      </c>
      <c r="X874" t="s">
        <v>838</v>
      </c>
      <c r="Y874">
        <v>1254.5</v>
      </c>
      <c r="Z874">
        <v>1254.5</v>
      </c>
      <c r="AA874" t="str">
        <f t="shared" si="242"/>
        <v>06/08/2016</v>
      </c>
    </row>
    <row r="875" spans="1:27" x14ac:dyDescent="0.3">
      <c r="A875" t="str">
        <f t="shared" si="230"/>
        <v>048314</v>
      </c>
      <c r="B875" t="str">
        <f t="shared" si="225"/>
        <v>004796</v>
      </c>
      <c r="C875" t="s">
        <v>2210</v>
      </c>
      <c r="D875" t="s">
        <v>3839</v>
      </c>
      <c r="E875" t="s">
        <v>3840</v>
      </c>
      <c r="F875" t="s">
        <v>3841</v>
      </c>
      <c r="G875" t="s">
        <v>3842</v>
      </c>
      <c r="H875" t="str">
        <f t="shared" si="241"/>
        <v>048314</v>
      </c>
      <c r="I875" t="s">
        <v>833</v>
      </c>
      <c r="J875" t="str">
        <f t="shared" si="243"/>
        <v>2015-07-01 00:00:00.0</v>
      </c>
      <c r="K875" t="s">
        <v>834</v>
      </c>
      <c r="L875" t="s">
        <v>0</v>
      </c>
      <c r="M875" t="str">
        <f t="shared" si="229"/>
        <v>048314</v>
      </c>
      <c r="N875">
        <v>1</v>
      </c>
      <c r="O875">
        <v>1</v>
      </c>
      <c r="P875" t="str">
        <f>"11"</f>
        <v>11</v>
      </c>
      <c r="Q875" t="s">
        <v>835</v>
      </c>
      <c r="S875" t="s">
        <v>836</v>
      </c>
      <c r="T875" t="s">
        <v>836</v>
      </c>
      <c r="U875" t="str">
        <f t="shared" si="240"/>
        <v>2500-12-31 00:00:00.0</v>
      </c>
      <c r="V875" t="s">
        <v>837</v>
      </c>
      <c r="W875" t="str">
        <f>"048314-004796-**-**"</f>
        <v>048314-004796-**-**</v>
      </c>
      <c r="X875" t="s">
        <v>838</v>
      </c>
      <c r="Y875">
        <v>1254.5</v>
      </c>
      <c r="Z875">
        <v>1254.5</v>
      </c>
      <c r="AA875" t="str">
        <f t="shared" si="242"/>
        <v>06/08/2016</v>
      </c>
    </row>
    <row r="876" spans="1:27" x14ac:dyDescent="0.3">
      <c r="A876" t="str">
        <f t="shared" si="230"/>
        <v>048314</v>
      </c>
      <c r="B876" t="str">
        <f t="shared" si="225"/>
        <v>004796</v>
      </c>
      <c r="C876" t="s">
        <v>3554</v>
      </c>
      <c r="D876" t="s">
        <v>3839</v>
      </c>
      <c r="E876" t="s">
        <v>3840</v>
      </c>
      <c r="F876" t="s">
        <v>3841</v>
      </c>
      <c r="G876" t="s">
        <v>3842</v>
      </c>
      <c r="H876" t="str">
        <f t="shared" si="241"/>
        <v>048314</v>
      </c>
      <c r="I876" t="s">
        <v>833</v>
      </c>
      <c r="J876" t="str">
        <f t="shared" si="243"/>
        <v>2015-07-01 00:00:00.0</v>
      </c>
      <c r="K876" t="s">
        <v>834</v>
      </c>
      <c r="L876" t="s">
        <v>0</v>
      </c>
      <c r="M876" t="str">
        <f t="shared" si="229"/>
        <v>048314</v>
      </c>
      <c r="N876">
        <v>1</v>
      </c>
      <c r="O876">
        <v>1</v>
      </c>
      <c r="P876" t="str">
        <f>"12"</f>
        <v>12</v>
      </c>
      <c r="Q876" t="s">
        <v>835</v>
      </c>
      <c r="S876" t="s">
        <v>836</v>
      </c>
      <c r="T876" t="s">
        <v>836</v>
      </c>
      <c r="U876" t="str">
        <f t="shared" si="240"/>
        <v>2500-12-31 00:00:00.0</v>
      </c>
      <c r="V876" t="s">
        <v>837</v>
      </c>
      <c r="W876" t="str">
        <f>"048314-004796-12-SE"</f>
        <v>048314-004796-12-SE</v>
      </c>
      <c r="X876" t="s">
        <v>838</v>
      </c>
      <c r="Y876">
        <v>1254.5</v>
      </c>
      <c r="Z876">
        <v>1254.5</v>
      </c>
      <c r="AA876" t="str">
        <f t="shared" si="242"/>
        <v>06/08/2016</v>
      </c>
    </row>
    <row r="877" spans="1:27" x14ac:dyDescent="0.3">
      <c r="A877" t="str">
        <f t="shared" si="230"/>
        <v>048314</v>
      </c>
      <c r="B877" t="str">
        <f t="shared" ref="B877:B940" si="244">"004796"</f>
        <v>004796</v>
      </c>
      <c r="C877" t="s">
        <v>1181</v>
      </c>
      <c r="D877" t="s">
        <v>3839</v>
      </c>
      <c r="E877" t="s">
        <v>3840</v>
      </c>
      <c r="F877" t="s">
        <v>3841</v>
      </c>
      <c r="G877" t="s">
        <v>3842</v>
      </c>
      <c r="H877" t="str">
        <f t="shared" si="241"/>
        <v>048314</v>
      </c>
      <c r="I877" t="s">
        <v>833</v>
      </c>
      <c r="J877" t="str">
        <f t="shared" si="243"/>
        <v>2015-07-01 00:00:00.0</v>
      </c>
      <c r="K877" t="s">
        <v>834</v>
      </c>
      <c r="L877" t="s">
        <v>0</v>
      </c>
      <c r="M877" t="str">
        <f t="shared" si="229"/>
        <v>048314</v>
      </c>
      <c r="N877">
        <v>1</v>
      </c>
      <c r="O877">
        <v>1</v>
      </c>
      <c r="P877" t="str">
        <f>"12"</f>
        <v>12</v>
      </c>
      <c r="Q877" t="s">
        <v>835</v>
      </c>
      <c r="S877" t="s">
        <v>836</v>
      </c>
      <c r="T877" t="s">
        <v>836</v>
      </c>
      <c r="U877" t="str">
        <f t="shared" si="240"/>
        <v>2500-12-31 00:00:00.0</v>
      </c>
      <c r="V877" t="s">
        <v>837</v>
      </c>
      <c r="W877" t="str">
        <f>"048314-004796-12-SE"</f>
        <v>048314-004796-12-SE</v>
      </c>
      <c r="X877" t="s">
        <v>838</v>
      </c>
      <c r="Y877">
        <v>1254.5</v>
      </c>
      <c r="Z877">
        <v>1254.5</v>
      </c>
      <c r="AA877" t="str">
        <f t="shared" si="242"/>
        <v>06/08/2016</v>
      </c>
    </row>
    <row r="878" spans="1:27" x14ac:dyDescent="0.3">
      <c r="A878" t="str">
        <f t="shared" si="230"/>
        <v>048314</v>
      </c>
      <c r="B878" t="str">
        <f t="shared" si="244"/>
        <v>004796</v>
      </c>
      <c r="C878" t="s">
        <v>1436</v>
      </c>
      <c r="D878" t="s">
        <v>3839</v>
      </c>
      <c r="E878" t="s">
        <v>3840</v>
      </c>
      <c r="F878" t="s">
        <v>3841</v>
      </c>
      <c r="G878" t="s">
        <v>3842</v>
      </c>
      <c r="H878" t="str">
        <f t="shared" si="241"/>
        <v>048314</v>
      </c>
      <c r="I878" t="s">
        <v>833</v>
      </c>
      <c r="J878" t="str">
        <f t="shared" si="243"/>
        <v>2015-07-01 00:00:00.0</v>
      </c>
      <c r="K878" t="s">
        <v>834</v>
      </c>
      <c r="L878" t="s">
        <v>0</v>
      </c>
      <c r="M878" t="str">
        <f t="shared" si="229"/>
        <v>048314</v>
      </c>
      <c r="N878">
        <v>1</v>
      </c>
      <c r="O878">
        <v>1</v>
      </c>
      <c r="P878" t="str">
        <f>"12"</f>
        <v>12</v>
      </c>
      <c r="Q878" t="s">
        <v>835</v>
      </c>
      <c r="S878" t="s">
        <v>836</v>
      </c>
      <c r="T878" t="s">
        <v>836</v>
      </c>
      <c r="U878" t="str">
        <f t="shared" si="240"/>
        <v>2500-12-31 00:00:00.0</v>
      </c>
      <c r="V878" t="s">
        <v>837</v>
      </c>
      <c r="W878" t="str">
        <f>"048314-004796-12-SE"</f>
        <v>048314-004796-12-SE</v>
      </c>
      <c r="X878" t="s">
        <v>838</v>
      </c>
      <c r="Y878">
        <v>1254.5</v>
      </c>
      <c r="Z878">
        <v>1254.5</v>
      </c>
      <c r="AA878" t="str">
        <f t="shared" si="242"/>
        <v>06/08/2016</v>
      </c>
    </row>
    <row r="879" spans="1:27" x14ac:dyDescent="0.3">
      <c r="A879" t="str">
        <f t="shared" si="230"/>
        <v>048314</v>
      </c>
      <c r="B879" t="str">
        <f t="shared" si="244"/>
        <v>004796</v>
      </c>
      <c r="C879" t="s">
        <v>1244</v>
      </c>
      <c r="D879" t="s">
        <v>3839</v>
      </c>
      <c r="E879" t="s">
        <v>3840</v>
      </c>
      <c r="F879" t="s">
        <v>3841</v>
      </c>
      <c r="G879" t="s">
        <v>3842</v>
      </c>
      <c r="H879" t="str">
        <f t="shared" si="241"/>
        <v>048314</v>
      </c>
      <c r="I879" t="s">
        <v>833</v>
      </c>
      <c r="J879" t="str">
        <f t="shared" si="243"/>
        <v>2015-07-01 00:00:00.0</v>
      </c>
      <c r="K879" t="s">
        <v>834</v>
      </c>
      <c r="L879" t="s">
        <v>0</v>
      </c>
      <c r="M879" t="str">
        <f t="shared" si="229"/>
        <v>048314</v>
      </c>
      <c r="N879">
        <v>0.28497400000000001</v>
      </c>
      <c r="O879">
        <v>0.28497400000000001</v>
      </c>
      <c r="P879" t="str">
        <f>"10"</f>
        <v>10</v>
      </c>
      <c r="Q879" t="s">
        <v>835</v>
      </c>
      <c r="S879" t="s">
        <v>836</v>
      </c>
      <c r="T879" t="s">
        <v>836</v>
      </c>
      <c r="U879" t="str">
        <f>"2015-11-16 00:00:00.0"</f>
        <v>2015-11-16 00:00:00.0</v>
      </c>
      <c r="V879" t="s">
        <v>837</v>
      </c>
      <c r="W879" t="str">
        <f t="shared" ref="W879:W884" si="245">"048314-004796-**-**"</f>
        <v>048314-004796-**-**</v>
      </c>
      <c r="X879" t="s">
        <v>838</v>
      </c>
      <c r="Y879">
        <v>357.5</v>
      </c>
      <c r="Z879">
        <v>1254.5</v>
      </c>
      <c r="AA879" t="str">
        <f t="shared" si="242"/>
        <v>06/08/2016</v>
      </c>
    </row>
    <row r="880" spans="1:27" x14ac:dyDescent="0.3">
      <c r="A880" t="str">
        <f t="shared" si="230"/>
        <v>048314</v>
      </c>
      <c r="B880" t="str">
        <f t="shared" si="244"/>
        <v>004796</v>
      </c>
      <c r="C880" t="s">
        <v>1244</v>
      </c>
      <c r="D880" t="s">
        <v>3839</v>
      </c>
      <c r="E880" t="s">
        <v>3840</v>
      </c>
      <c r="F880" t="s">
        <v>3841</v>
      </c>
      <c r="G880" t="s">
        <v>3842</v>
      </c>
      <c r="H880" t="str">
        <f t="shared" si="241"/>
        <v>048314</v>
      </c>
      <c r="I880" t="s">
        <v>833</v>
      </c>
      <c r="J880" t="str">
        <f>"2015-11-17 00:00:00.0"</f>
        <v>2015-11-17 00:00:00.0</v>
      </c>
      <c r="K880" t="s">
        <v>834</v>
      </c>
      <c r="L880" t="s">
        <v>0</v>
      </c>
      <c r="M880" t="str">
        <f t="shared" si="229"/>
        <v>048314</v>
      </c>
      <c r="N880">
        <v>0.71502600000000005</v>
      </c>
      <c r="O880">
        <v>0.71502600000000005</v>
      </c>
      <c r="P880" t="str">
        <f>"10"</f>
        <v>10</v>
      </c>
      <c r="Q880" t="s">
        <v>835</v>
      </c>
      <c r="S880" t="s">
        <v>860</v>
      </c>
      <c r="T880" t="s">
        <v>836</v>
      </c>
      <c r="U880" t="str">
        <f>"2500-12-31 00:00:00.0"</f>
        <v>2500-12-31 00:00:00.0</v>
      </c>
      <c r="V880" t="s">
        <v>837</v>
      </c>
      <c r="W880" t="str">
        <f t="shared" si="245"/>
        <v>048314-004796-**-**</v>
      </c>
      <c r="X880" t="s">
        <v>838</v>
      </c>
      <c r="Y880">
        <v>897</v>
      </c>
      <c r="Z880">
        <v>1254.5</v>
      </c>
      <c r="AA880" t="str">
        <f t="shared" si="242"/>
        <v>06/08/2016</v>
      </c>
    </row>
    <row r="881" spans="1:27" x14ac:dyDescent="0.3">
      <c r="A881" t="str">
        <f t="shared" si="230"/>
        <v>048314</v>
      </c>
      <c r="B881" t="str">
        <f t="shared" si="244"/>
        <v>004796</v>
      </c>
      <c r="C881" t="s">
        <v>3163</v>
      </c>
      <c r="D881" t="s">
        <v>3839</v>
      </c>
      <c r="E881" t="s">
        <v>3840</v>
      </c>
      <c r="F881" t="s">
        <v>3841</v>
      </c>
      <c r="G881" t="s">
        <v>3842</v>
      </c>
      <c r="H881" t="str">
        <f t="shared" si="241"/>
        <v>048314</v>
      </c>
      <c r="I881" t="s">
        <v>833</v>
      </c>
      <c r="J881" t="str">
        <f>"2015-07-01 00:00:00.0"</f>
        <v>2015-07-01 00:00:00.0</v>
      </c>
      <c r="K881" t="s">
        <v>834</v>
      </c>
      <c r="L881" t="s">
        <v>0</v>
      </c>
      <c r="M881" t="str">
        <f t="shared" si="229"/>
        <v>048314</v>
      </c>
      <c r="N881">
        <v>1</v>
      </c>
      <c r="O881">
        <v>1</v>
      </c>
      <c r="P881" t="str">
        <f>"10"</f>
        <v>10</v>
      </c>
      <c r="Q881" t="str">
        <f>"15"</f>
        <v>15</v>
      </c>
      <c r="R881" t="str">
        <f>"2"</f>
        <v>2</v>
      </c>
      <c r="S881" t="s">
        <v>836</v>
      </c>
      <c r="T881" t="s">
        <v>836</v>
      </c>
      <c r="U881" t="str">
        <f>"2500-12-31 00:00:00.0"</f>
        <v>2500-12-31 00:00:00.0</v>
      </c>
      <c r="V881" t="s">
        <v>837</v>
      </c>
      <c r="W881" t="str">
        <f t="shared" si="245"/>
        <v>048314-004796-**-**</v>
      </c>
      <c r="X881" t="s">
        <v>838</v>
      </c>
      <c r="Y881">
        <v>1254.5</v>
      </c>
      <c r="Z881">
        <v>1254.5</v>
      </c>
      <c r="AA881" t="str">
        <f t="shared" si="242"/>
        <v>06/08/2016</v>
      </c>
    </row>
    <row r="882" spans="1:27" x14ac:dyDescent="0.3">
      <c r="A882" t="str">
        <f t="shared" si="230"/>
        <v>048314</v>
      </c>
      <c r="B882" t="str">
        <f t="shared" si="244"/>
        <v>004796</v>
      </c>
      <c r="C882" t="s">
        <v>3164</v>
      </c>
      <c r="D882" t="s">
        <v>3839</v>
      </c>
      <c r="E882" t="s">
        <v>3840</v>
      </c>
      <c r="F882" t="s">
        <v>3841</v>
      </c>
      <c r="G882" t="s">
        <v>3842</v>
      </c>
      <c r="H882" t="str">
        <f t="shared" si="241"/>
        <v>048314</v>
      </c>
      <c r="I882" t="s">
        <v>833</v>
      </c>
      <c r="J882" t="str">
        <f>"2015-07-01 00:00:00.0"</f>
        <v>2015-07-01 00:00:00.0</v>
      </c>
      <c r="K882" t="s">
        <v>834</v>
      </c>
      <c r="L882" t="s">
        <v>0</v>
      </c>
      <c r="M882" t="str">
        <f t="shared" si="229"/>
        <v>048314</v>
      </c>
      <c r="N882">
        <v>1</v>
      </c>
      <c r="O882">
        <v>1</v>
      </c>
      <c r="P882" t="str">
        <f>"10"</f>
        <v>10</v>
      </c>
      <c r="Q882" t="str">
        <f>"15"</f>
        <v>15</v>
      </c>
      <c r="R882" t="str">
        <f>"2"</f>
        <v>2</v>
      </c>
      <c r="S882" t="s">
        <v>836</v>
      </c>
      <c r="T882" t="s">
        <v>836</v>
      </c>
      <c r="U882" t="str">
        <f>"2500-12-31 00:00:00.0"</f>
        <v>2500-12-31 00:00:00.0</v>
      </c>
      <c r="V882" t="s">
        <v>837</v>
      </c>
      <c r="W882" t="str">
        <f t="shared" si="245"/>
        <v>048314-004796-**-**</v>
      </c>
      <c r="X882" t="s">
        <v>838</v>
      </c>
      <c r="Y882">
        <v>1254.5</v>
      </c>
      <c r="Z882">
        <v>1254.5</v>
      </c>
      <c r="AA882" t="str">
        <f t="shared" si="242"/>
        <v>06/08/2016</v>
      </c>
    </row>
    <row r="883" spans="1:27" x14ac:dyDescent="0.3">
      <c r="A883" t="str">
        <f t="shared" si="230"/>
        <v>048314</v>
      </c>
      <c r="B883" t="str">
        <f t="shared" si="244"/>
        <v>004796</v>
      </c>
      <c r="C883" t="s">
        <v>1234</v>
      </c>
      <c r="D883" t="s">
        <v>3839</v>
      </c>
      <c r="E883" t="s">
        <v>3840</v>
      </c>
      <c r="F883" t="s">
        <v>3841</v>
      </c>
      <c r="G883" t="s">
        <v>3842</v>
      </c>
      <c r="H883" t="str">
        <f t="shared" si="241"/>
        <v>048314</v>
      </c>
      <c r="I883" t="s">
        <v>833</v>
      </c>
      <c r="J883" t="str">
        <f>"2015-07-01 00:00:00.0"</f>
        <v>2015-07-01 00:00:00.0</v>
      </c>
      <c r="K883" t="s">
        <v>834</v>
      </c>
      <c r="L883" t="s">
        <v>0</v>
      </c>
      <c r="M883" t="str">
        <f t="shared" si="229"/>
        <v>048314</v>
      </c>
      <c r="N883">
        <v>1</v>
      </c>
      <c r="O883">
        <v>1</v>
      </c>
      <c r="P883" t="str">
        <f>"11"</f>
        <v>11</v>
      </c>
      <c r="Q883" t="str">
        <f>"15"</f>
        <v>15</v>
      </c>
      <c r="R883" t="str">
        <f>"2"</f>
        <v>2</v>
      </c>
      <c r="S883" t="s">
        <v>860</v>
      </c>
      <c r="T883" t="s">
        <v>836</v>
      </c>
      <c r="U883" t="str">
        <f>"2500-12-31 00:00:00.0"</f>
        <v>2500-12-31 00:00:00.0</v>
      </c>
      <c r="V883" t="s">
        <v>837</v>
      </c>
      <c r="W883" t="str">
        <f t="shared" si="245"/>
        <v>048314-004796-**-**</v>
      </c>
      <c r="X883" t="s">
        <v>838</v>
      </c>
      <c r="Y883">
        <v>1254.5</v>
      </c>
      <c r="Z883">
        <v>1254.5</v>
      </c>
      <c r="AA883" t="str">
        <f t="shared" si="242"/>
        <v>06/08/2016</v>
      </c>
    </row>
    <row r="884" spans="1:27" x14ac:dyDescent="0.3">
      <c r="A884" t="str">
        <f t="shared" si="230"/>
        <v>048314</v>
      </c>
      <c r="B884" t="str">
        <f t="shared" si="244"/>
        <v>004796</v>
      </c>
      <c r="C884" t="s">
        <v>2027</v>
      </c>
      <c r="D884" t="s">
        <v>3839</v>
      </c>
      <c r="E884" t="s">
        <v>3840</v>
      </c>
      <c r="F884" t="s">
        <v>3841</v>
      </c>
      <c r="G884" t="s">
        <v>3842</v>
      </c>
      <c r="H884" t="str">
        <f t="shared" si="241"/>
        <v>048314</v>
      </c>
      <c r="I884" t="s">
        <v>833</v>
      </c>
      <c r="J884" t="str">
        <f>"2015-07-01 00:00:00.0"</f>
        <v>2015-07-01 00:00:00.0</v>
      </c>
      <c r="K884" t="s">
        <v>834</v>
      </c>
      <c r="L884" t="s">
        <v>0</v>
      </c>
      <c r="M884" t="str">
        <f t="shared" si="229"/>
        <v>048314</v>
      </c>
      <c r="N884">
        <v>1</v>
      </c>
      <c r="O884">
        <v>1</v>
      </c>
      <c r="P884" t="str">
        <f>"10"</f>
        <v>10</v>
      </c>
      <c r="Q884" t="str">
        <f>"10"</f>
        <v>10</v>
      </c>
      <c r="R884" t="str">
        <f>"2"</f>
        <v>2</v>
      </c>
      <c r="S884" t="s">
        <v>836</v>
      </c>
      <c r="T884" t="s">
        <v>836</v>
      </c>
      <c r="U884" t="str">
        <f>"2500-12-31 00:00:00.0"</f>
        <v>2500-12-31 00:00:00.0</v>
      </c>
      <c r="V884" t="s">
        <v>837</v>
      </c>
      <c r="W884" t="str">
        <f t="shared" si="245"/>
        <v>048314-004796-**-**</v>
      </c>
      <c r="X884" t="s">
        <v>838</v>
      </c>
      <c r="Y884">
        <v>1254.5</v>
      </c>
      <c r="Z884">
        <v>1254.5</v>
      </c>
      <c r="AA884" t="str">
        <f t="shared" si="242"/>
        <v>06/08/2016</v>
      </c>
    </row>
    <row r="885" spans="1:27" x14ac:dyDescent="0.3">
      <c r="A885" t="str">
        <f t="shared" si="230"/>
        <v>048314</v>
      </c>
      <c r="B885" t="str">
        <f t="shared" si="244"/>
        <v>004796</v>
      </c>
      <c r="C885" t="s">
        <v>1101</v>
      </c>
      <c r="D885" t="s">
        <v>3839</v>
      </c>
      <c r="E885" t="s">
        <v>3840</v>
      </c>
      <c r="F885" t="s">
        <v>3841</v>
      </c>
      <c r="G885" t="s">
        <v>3842</v>
      </c>
      <c r="H885" t="str">
        <f>"048397"</f>
        <v>048397</v>
      </c>
      <c r="I885" t="s">
        <v>833</v>
      </c>
      <c r="J885" t="str">
        <f>"2015-07-01 00:00:00.0"</f>
        <v>2015-07-01 00:00:00.0</v>
      </c>
      <c r="K885" t="s">
        <v>834</v>
      </c>
      <c r="L885" t="s">
        <v>1</v>
      </c>
      <c r="M885" t="str">
        <f t="shared" si="229"/>
        <v>048314</v>
      </c>
      <c r="N885">
        <v>0.49627199999999999</v>
      </c>
      <c r="O885">
        <v>0.49627199999999999</v>
      </c>
      <c r="P885" t="str">
        <f>"12"</f>
        <v>12</v>
      </c>
      <c r="Q885" t="s">
        <v>835</v>
      </c>
      <c r="S885" t="s">
        <v>836</v>
      </c>
      <c r="T885" t="s">
        <v>836</v>
      </c>
      <c r="U885" t="str">
        <f>"2016-01-24 00:00:00.0"</f>
        <v>2016-01-24 00:00:00.0</v>
      </c>
      <c r="V885" t="s">
        <v>837</v>
      </c>
      <c r="W885" t="str">
        <f>"048397-042333-12-SR"</f>
        <v>048397-042333-12-SR</v>
      </c>
      <c r="X885" t="s">
        <v>838</v>
      </c>
      <c r="Y885">
        <v>552.4</v>
      </c>
      <c r="Z885">
        <v>1113.0999999999999</v>
      </c>
      <c r="AA885" t="str">
        <f t="shared" si="242"/>
        <v>06/08/2016</v>
      </c>
    </row>
    <row r="886" spans="1:27" x14ac:dyDescent="0.3">
      <c r="A886" t="str">
        <f t="shared" si="230"/>
        <v>048314</v>
      </c>
      <c r="B886" t="str">
        <f t="shared" si="244"/>
        <v>004796</v>
      </c>
      <c r="C886" t="s">
        <v>1101</v>
      </c>
      <c r="D886" t="s">
        <v>3839</v>
      </c>
      <c r="E886" t="s">
        <v>3840</v>
      </c>
      <c r="F886" t="s">
        <v>3841</v>
      </c>
      <c r="G886" t="s">
        <v>3842</v>
      </c>
      <c r="H886" t="str">
        <f>"048397"</f>
        <v>048397</v>
      </c>
      <c r="I886" t="s">
        <v>833</v>
      </c>
      <c r="J886" t="str">
        <f>"2016-01-25 00:00:00.0"</f>
        <v>2016-01-25 00:00:00.0</v>
      </c>
      <c r="K886" t="s">
        <v>834</v>
      </c>
      <c r="L886" t="s">
        <v>1</v>
      </c>
      <c r="M886" t="str">
        <f t="shared" si="229"/>
        <v>048314</v>
      </c>
      <c r="N886">
        <v>0.50372799999999995</v>
      </c>
      <c r="O886">
        <v>0.50372799999999995</v>
      </c>
      <c r="P886" t="str">
        <f>"12"</f>
        <v>12</v>
      </c>
      <c r="Q886" t="s">
        <v>835</v>
      </c>
      <c r="S886" t="s">
        <v>836</v>
      </c>
      <c r="T886" t="s">
        <v>836</v>
      </c>
      <c r="U886" t="str">
        <f t="shared" ref="U886:U901" si="246">"2500-12-31 00:00:00.0"</f>
        <v>2500-12-31 00:00:00.0</v>
      </c>
      <c r="V886" t="s">
        <v>837</v>
      </c>
      <c r="W886" t="str">
        <f>"048397-042333-12-SR"</f>
        <v>048397-042333-12-SR</v>
      </c>
      <c r="X886" t="s">
        <v>838</v>
      </c>
      <c r="Y886">
        <v>560.70000000000005</v>
      </c>
      <c r="Z886">
        <v>1113.0999999999999</v>
      </c>
      <c r="AA886" t="str">
        <f t="shared" si="242"/>
        <v>06/08/2016</v>
      </c>
    </row>
    <row r="887" spans="1:27" x14ac:dyDescent="0.3">
      <c r="A887" t="str">
        <f t="shared" si="230"/>
        <v>048314</v>
      </c>
      <c r="B887" t="str">
        <f t="shared" si="244"/>
        <v>004796</v>
      </c>
      <c r="C887" t="s">
        <v>1297</v>
      </c>
      <c r="D887" t="s">
        <v>3839</v>
      </c>
      <c r="E887" t="s">
        <v>3840</v>
      </c>
      <c r="F887" t="s">
        <v>3841</v>
      </c>
      <c r="G887" t="s">
        <v>3842</v>
      </c>
      <c r="H887" t="str">
        <f>"048314"</f>
        <v>048314</v>
      </c>
      <c r="I887" t="s">
        <v>833</v>
      </c>
      <c r="J887" t="str">
        <f t="shared" ref="J887:J902" si="247">"2015-07-01 00:00:00.0"</f>
        <v>2015-07-01 00:00:00.0</v>
      </c>
      <c r="K887" t="s">
        <v>834</v>
      </c>
      <c r="L887" t="s">
        <v>0</v>
      </c>
      <c r="M887" t="str">
        <f t="shared" si="229"/>
        <v>048314</v>
      </c>
      <c r="N887">
        <v>1</v>
      </c>
      <c r="O887">
        <v>1</v>
      </c>
      <c r="P887" t="str">
        <f>"11"</f>
        <v>11</v>
      </c>
      <c r="Q887" t="s">
        <v>835</v>
      </c>
      <c r="S887" t="s">
        <v>836</v>
      </c>
      <c r="T887" t="s">
        <v>836</v>
      </c>
      <c r="U887" t="str">
        <f t="shared" si="246"/>
        <v>2500-12-31 00:00:00.0</v>
      </c>
      <c r="V887" t="s">
        <v>837</v>
      </c>
      <c r="W887" t="str">
        <f>"048314-004796-**-**"</f>
        <v>048314-004796-**-**</v>
      </c>
      <c r="X887" t="s">
        <v>838</v>
      </c>
      <c r="Y887">
        <v>1254.5</v>
      </c>
      <c r="Z887">
        <v>1254.5</v>
      </c>
      <c r="AA887" t="str">
        <f t="shared" si="242"/>
        <v>06/08/2016</v>
      </c>
    </row>
    <row r="888" spans="1:27" x14ac:dyDescent="0.3">
      <c r="A888" t="str">
        <f t="shared" si="230"/>
        <v>048314</v>
      </c>
      <c r="B888" t="str">
        <f t="shared" si="244"/>
        <v>004796</v>
      </c>
      <c r="C888" t="s">
        <v>1132</v>
      </c>
      <c r="D888" t="s">
        <v>3839</v>
      </c>
      <c r="E888" t="s">
        <v>3840</v>
      </c>
      <c r="F888" t="s">
        <v>3841</v>
      </c>
      <c r="G888" t="s">
        <v>3842</v>
      </c>
      <c r="H888" t="str">
        <f>"048314"</f>
        <v>048314</v>
      </c>
      <c r="I888" t="s">
        <v>833</v>
      </c>
      <c r="J888" t="str">
        <f t="shared" si="247"/>
        <v>2015-07-01 00:00:00.0</v>
      </c>
      <c r="K888" t="s">
        <v>834</v>
      </c>
      <c r="L888" t="s">
        <v>0</v>
      </c>
      <c r="M888" t="str">
        <f t="shared" si="229"/>
        <v>048314</v>
      </c>
      <c r="N888">
        <v>1</v>
      </c>
      <c r="O888">
        <v>1</v>
      </c>
      <c r="P888" t="str">
        <f>"12"</f>
        <v>12</v>
      </c>
      <c r="Q888" t="s">
        <v>835</v>
      </c>
      <c r="S888" t="s">
        <v>836</v>
      </c>
      <c r="T888" t="s">
        <v>836</v>
      </c>
      <c r="U888" t="str">
        <f t="shared" si="246"/>
        <v>2500-12-31 00:00:00.0</v>
      </c>
      <c r="V888" t="s">
        <v>837</v>
      </c>
      <c r="W888" t="str">
        <f>"048314-004796-12-SE"</f>
        <v>048314-004796-12-SE</v>
      </c>
      <c r="X888" t="s">
        <v>838</v>
      </c>
      <c r="Y888">
        <v>1254.5</v>
      </c>
      <c r="Z888">
        <v>1254.5</v>
      </c>
      <c r="AA888" t="str">
        <f t="shared" si="242"/>
        <v>06/08/2016</v>
      </c>
    </row>
    <row r="889" spans="1:27" x14ac:dyDescent="0.3">
      <c r="A889" t="str">
        <f t="shared" si="230"/>
        <v>048314</v>
      </c>
      <c r="B889" t="str">
        <f t="shared" si="244"/>
        <v>004796</v>
      </c>
      <c r="C889" t="s">
        <v>2028</v>
      </c>
      <c r="D889" t="s">
        <v>3839</v>
      </c>
      <c r="E889" t="s">
        <v>3840</v>
      </c>
      <c r="F889" t="s">
        <v>3841</v>
      </c>
      <c r="G889" t="s">
        <v>3842</v>
      </c>
      <c r="H889" t="str">
        <f>"048314"</f>
        <v>048314</v>
      </c>
      <c r="I889" t="s">
        <v>833</v>
      </c>
      <c r="J889" t="str">
        <f t="shared" si="247"/>
        <v>2015-07-01 00:00:00.0</v>
      </c>
      <c r="K889" t="s">
        <v>834</v>
      </c>
      <c r="L889" t="s">
        <v>0</v>
      </c>
      <c r="M889" t="str">
        <f t="shared" si="229"/>
        <v>048314</v>
      </c>
      <c r="N889">
        <v>1</v>
      </c>
      <c r="O889">
        <v>1</v>
      </c>
      <c r="P889" t="str">
        <f>"10"</f>
        <v>10</v>
      </c>
      <c r="Q889" t="s">
        <v>835</v>
      </c>
      <c r="S889" t="s">
        <v>836</v>
      </c>
      <c r="T889" t="s">
        <v>836</v>
      </c>
      <c r="U889" t="str">
        <f t="shared" si="246"/>
        <v>2500-12-31 00:00:00.0</v>
      </c>
      <c r="V889" t="s">
        <v>837</v>
      </c>
      <c r="W889" t="str">
        <f>"048314-004796-**-**"</f>
        <v>048314-004796-**-**</v>
      </c>
      <c r="X889" t="s">
        <v>838</v>
      </c>
      <c r="Y889">
        <v>1254.5</v>
      </c>
      <c r="Z889">
        <v>1254.5</v>
      </c>
      <c r="AA889" t="str">
        <f t="shared" si="242"/>
        <v>06/08/2016</v>
      </c>
    </row>
    <row r="890" spans="1:27" x14ac:dyDescent="0.3">
      <c r="A890" t="str">
        <f t="shared" si="230"/>
        <v>048314</v>
      </c>
      <c r="B890" t="str">
        <f t="shared" si="244"/>
        <v>004796</v>
      </c>
      <c r="C890" t="s">
        <v>1761</v>
      </c>
      <c r="D890" t="s">
        <v>3839</v>
      </c>
      <c r="E890" t="s">
        <v>3840</v>
      </c>
      <c r="F890" t="s">
        <v>3841</v>
      </c>
      <c r="G890" t="s">
        <v>3842</v>
      </c>
      <c r="H890" t="str">
        <f>"048314"</f>
        <v>048314</v>
      </c>
      <c r="I890" t="s">
        <v>833</v>
      </c>
      <c r="J890" t="str">
        <f t="shared" si="247"/>
        <v>2015-07-01 00:00:00.0</v>
      </c>
      <c r="K890" t="s">
        <v>834</v>
      </c>
      <c r="L890" t="s">
        <v>0</v>
      </c>
      <c r="M890" t="str">
        <f t="shared" si="229"/>
        <v>048314</v>
      </c>
      <c r="N890">
        <v>1</v>
      </c>
      <c r="O890">
        <v>1</v>
      </c>
      <c r="P890" t="str">
        <f>"11"</f>
        <v>11</v>
      </c>
      <c r="Q890" t="s">
        <v>835</v>
      </c>
      <c r="S890" t="s">
        <v>836</v>
      </c>
      <c r="T890" t="s">
        <v>836</v>
      </c>
      <c r="U890" t="str">
        <f t="shared" si="246"/>
        <v>2500-12-31 00:00:00.0</v>
      </c>
      <c r="V890" t="s">
        <v>837</v>
      </c>
      <c r="W890" t="str">
        <f>"048314-004796-**-**"</f>
        <v>048314-004796-**-**</v>
      </c>
      <c r="X890" t="s">
        <v>838</v>
      </c>
      <c r="Y890">
        <v>1254.5</v>
      </c>
      <c r="Z890">
        <v>1254.5</v>
      </c>
      <c r="AA890" t="str">
        <f t="shared" si="242"/>
        <v>06/08/2016</v>
      </c>
    </row>
    <row r="891" spans="1:27" x14ac:dyDescent="0.3">
      <c r="A891" t="str">
        <f t="shared" si="230"/>
        <v>048314</v>
      </c>
      <c r="B891" t="str">
        <f t="shared" si="244"/>
        <v>004796</v>
      </c>
      <c r="C891" t="s">
        <v>2029</v>
      </c>
      <c r="D891" t="s">
        <v>3839</v>
      </c>
      <c r="E891" t="s">
        <v>3840</v>
      </c>
      <c r="F891" t="s">
        <v>3841</v>
      </c>
      <c r="G891" t="s">
        <v>3842</v>
      </c>
      <c r="H891" t="str">
        <f>"048314"</f>
        <v>048314</v>
      </c>
      <c r="I891" t="s">
        <v>833</v>
      </c>
      <c r="J891" t="str">
        <f t="shared" si="247"/>
        <v>2015-07-01 00:00:00.0</v>
      </c>
      <c r="K891" t="s">
        <v>834</v>
      </c>
      <c r="L891" t="s">
        <v>0</v>
      </c>
      <c r="M891" t="str">
        <f t="shared" si="229"/>
        <v>048314</v>
      </c>
      <c r="N891">
        <v>1</v>
      </c>
      <c r="O891">
        <v>1</v>
      </c>
      <c r="P891" t="str">
        <f>"10"</f>
        <v>10</v>
      </c>
      <c r="Q891" t="s">
        <v>835</v>
      </c>
      <c r="S891" t="s">
        <v>836</v>
      </c>
      <c r="T891" t="s">
        <v>836</v>
      </c>
      <c r="U891" t="str">
        <f t="shared" si="246"/>
        <v>2500-12-31 00:00:00.0</v>
      </c>
      <c r="V891" t="s">
        <v>837</v>
      </c>
      <c r="W891" t="str">
        <f>"048314-004796-**-**"</f>
        <v>048314-004796-**-**</v>
      </c>
      <c r="X891" t="s">
        <v>838</v>
      </c>
      <c r="Y891">
        <v>1254.5</v>
      </c>
      <c r="Z891">
        <v>1254.5</v>
      </c>
      <c r="AA891" t="str">
        <f t="shared" si="242"/>
        <v>06/08/2016</v>
      </c>
    </row>
    <row r="892" spans="1:27" x14ac:dyDescent="0.3">
      <c r="A892" t="str">
        <f t="shared" si="230"/>
        <v>048314</v>
      </c>
      <c r="B892" t="str">
        <f t="shared" si="244"/>
        <v>004796</v>
      </c>
      <c r="C892" t="s">
        <v>1102</v>
      </c>
      <c r="D892" t="s">
        <v>3839</v>
      </c>
      <c r="E892" t="s">
        <v>3840</v>
      </c>
      <c r="F892" t="s">
        <v>3841</v>
      </c>
      <c r="G892" t="s">
        <v>3842</v>
      </c>
      <c r="H892" t="str">
        <f>"048397"</f>
        <v>048397</v>
      </c>
      <c r="I892" t="s">
        <v>833</v>
      </c>
      <c r="J892" t="str">
        <f t="shared" si="247"/>
        <v>2015-07-01 00:00:00.0</v>
      </c>
      <c r="K892" t="s">
        <v>834</v>
      </c>
      <c r="L892" t="s">
        <v>1</v>
      </c>
      <c r="M892" t="str">
        <f t="shared" si="229"/>
        <v>048314</v>
      </c>
      <c r="N892">
        <v>1</v>
      </c>
      <c r="O892">
        <v>1</v>
      </c>
      <c r="P892" t="str">
        <f>"12"</f>
        <v>12</v>
      </c>
      <c r="Q892" t="str">
        <f>"10"</f>
        <v>10</v>
      </c>
      <c r="R892" t="str">
        <f>"2"</f>
        <v>2</v>
      </c>
      <c r="S892" t="s">
        <v>836</v>
      </c>
      <c r="T892" t="s">
        <v>836</v>
      </c>
      <c r="U892" t="str">
        <f t="shared" si="246"/>
        <v>2500-12-31 00:00:00.0</v>
      </c>
      <c r="V892" t="s">
        <v>837</v>
      </c>
      <c r="W892" t="str">
        <f>"048397-042333-12-SR"</f>
        <v>048397-042333-12-SR</v>
      </c>
      <c r="X892" t="s">
        <v>838</v>
      </c>
      <c r="Y892">
        <v>1113.0999999999999</v>
      </c>
      <c r="Z892">
        <v>1113.0999999999999</v>
      </c>
      <c r="AA892" t="str">
        <f t="shared" si="242"/>
        <v>06/08/2016</v>
      </c>
    </row>
    <row r="893" spans="1:27" x14ac:dyDescent="0.3">
      <c r="A893" t="str">
        <f t="shared" si="230"/>
        <v>048314</v>
      </c>
      <c r="B893" t="str">
        <f t="shared" si="244"/>
        <v>004796</v>
      </c>
      <c r="C893" t="s">
        <v>2030</v>
      </c>
      <c r="D893" t="s">
        <v>3839</v>
      </c>
      <c r="E893" t="s">
        <v>3840</v>
      </c>
      <c r="F893" t="s">
        <v>3841</v>
      </c>
      <c r="G893" t="s">
        <v>3842</v>
      </c>
      <c r="H893" t="str">
        <f t="shared" ref="H893:H899" si="248">"048314"</f>
        <v>048314</v>
      </c>
      <c r="I893" t="s">
        <v>833</v>
      </c>
      <c r="J893" t="str">
        <f t="shared" si="247"/>
        <v>2015-07-01 00:00:00.0</v>
      </c>
      <c r="K893" t="s">
        <v>834</v>
      </c>
      <c r="L893" t="s">
        <v>0</v>
      </c>
      <c r="M893" t="str">
        <f t="shared" si="229"/>
        <v>048314</v>
      </c>
      <c r="N893">
        <v>1</v>
      </c>
      <c r="O893">
        <v>1</v>
      </c>
      <c r="P893" t="str">
        <f>"10"</f>
        <v>10</v>
      </c>
      <c r="Q893" t="s">
        <v>835</v>
      </c>
      <c r="S893" t="s">
        <v>836</v>
      </c>
      <c r="T893" t="s">
        <v>836</v>
      </c>
      <c r="U893" t="str">
        <f t="shared" si="246"/>
        <v>2500-12-31 00:00:00.0</v>
      </c>
      <c r="V893" t="s">
        <v>837</v>
      </c>
      <c r="W893" t="str">
        <f t="shared" ref="W893:W898" si="249">"048314-004796-**-**"</f>
        <v>048314-004796-**-**</v>
      </c>
      <c r="X893" t="s">
        <v>838</v>
      </c>
      <c r="Y893">
        <v>1254.5</v>
      </c>
      <c r="Z893">
        <v>1254.5</v>
      </c>
      <c r="AA893" t="str">
        <f t="shared" si="242"/>
        <v>06/08/2016</v>
      </c>
    </row>
    <row r="894" spans="1:27" x14ac:dyDescent="0.3">
      <c r="A894" t="str">
        <f t="shared" si="230"/>
        <v>048314</v>
      </c>
      <c r="B894" t="str">
        <f t="shared" si="244"/>
        <v>004796</v>
      </c>
      <c r="C894" t="s">
        <v>871</v>
      </c>
      <c r="D894" t="s">
        <v>3839</v>
      </c>
      <c r="E894" t="s">
        <v>3840</v>
      </c>
      <c r="F894" t="s">
        <v>3841</v>
      </c>
      <c r="G894" t="s">
        <v>3842</v>
      </c>
      <c r="H894" t="str">
        <f t="shared" si="248"/>
        <v>048314</v>
      </c>
      <c r="I894" t="s">
        <v>833</v>
      </c>
      <c r="J894" t="str">
        <f t="shared" si="247"/>
        <v>2015-07-01 00:00:00.0</v>
      </c>
      <c r="K894" t="s">
        <v>834</v>
      </c>
      <c r="L894" t="s">
        <v>0</v>
      </c>
      <c r="M894" t="str">
        <f t="shared" ref="M894:M957" si="250">"048314"</f>
        <v>048314</v>
      </c>
      <c r="N894">
        <v>1</v>
      </c>
      <c r="O894">
        <v>1</v>
      </c>
      <c r="P894" t="str">
        <f>"11"</f>
        <v>11</v>
      </c>
      <c r="Q894" t="s">
        <v>835</v>
      </c>
      <c r="S894" t="s">
        <v>836</v>
      </c>
      <c r="T894" t="s">
        <v>836</v>
      </c>
      <c r="U894" t="str">
        <f t="shared" si="246"/>
        <v>2500-12-31 00:00:00.0</v>
      </c>
      <c r="V894" t="s">
        <v>837</v>
      </c>
      <c r="W894" t="str">
        <f t="shared" si="249"/>
        <v>048314-004796-**-**</v>
      </c>
      <c r="X894" t="s">
        <v>838</v>
      </c>
      <c r="Y894">
        <v>1254.5</v>
      </c>
      <c r="Z894">
        <v>1254.5</v>
      </c>
      <c r="AA894" t="str">
        <f t="shared" si="242"/>
        <v>06/08/2016</v>
      </c>
    </row>
    <row r="895" spans="1:27" x14ac:dyDescent="0.3">
      <c r="A895" t="str">
        <f t="shared" si="230"/>
        <v>048314</v>
      </c>
      <c r="B895" t="str">
        <f t="shared" si="244"/>
        <v>004796</v>
      </c>
      <c r="C895" t="s">
        <v>1378</v>
      </c>
      <c r="D895" t="s">
        <v>3839</v>
      </c>
      <c r="E895" t="s">
        <v>3840</v>
      </c>
      <c r="F895" t="s">
        <v>3841</v>
      </c>
      <c r="G895" t="s">
        <v>3842</v>
      </c>
      <c r="H895" t="str">
        <f t="shared" si="248"/>
        <v>048314</v>
      </c>
      <c r="I895" t="s">
        <v>833</v>
      </c>
      <c r="J895" t="str">
        <f t="shared" si="247"/>
        <v>2015-07-01 00:00:00.0</v>
      </c>
      <c r="K895" t="s">
        <v>834</v>
      </c>
      <c r="L895" t="s">
        <v>0</v>
      </c>
      <c r="M895" t="str">
        <f t="shared" si="250"/>
        <v>048314</v>
      </c>
      <c r="N895">
        <v>1</v>
      </c>
      <c r="O895">
        <v>1</v>
      </c>
      <c r="P895" t="str">
        <f>"11"</f>
        <v>11</v>
      </c>
      <c r="Q895" t="s">
        <v>835</v>
      </c>
      <c r="S895" t="s">
        <v>836</v>
      </c>
      <c r="T895" t="s">
        <v>836</v>
      </c>
      <c r="U895" t="str">
        <f t="shared" si="246"/>
        <v>2500-12-31 00:00:00.0</v>
      </c>
      <c r="V895" t="s">
        <v>837</v>
      </c>
      <c r="W895" t="str">
        <f t="shared" si="249"/>
        <v>048314-004796-**-**</v>
      </c>
      <c r="X895" t="s">
        <v>838</v>
      </c>
      <c r="Y895">
        <v>1254.5</v>
      </c>
      <c r="Z895">
        <v>1254.5</v>
      </c>
      <c r="AA895" t="str">
        <f t="shared" si="242"/>
        <v>06/08/2016</v>
      </c>
    </row>
    <row r="896" spans="1:27" x14ac:dyDescent="0.3">
      <c r="A896" t="str">
        <f t="shared" si="230"/>
        <v>048314</v>
      </c>
      <c r="B896" t="str">
        <f t="shared" si="244"/>
        <v>004796</v>
      </c>
      <c r="C896" t="s">
        <v>1305</v>
      </c>
      <c r="D896" t="s">
        <v>3839</v>
      </c>
      <c r="E896" t="s">
        <v>3840</v>
      </c>
      <c r="F896" t="s">
        <v>3841</v>
      </c>
      <c r="G896" t="s">
        <v>3842</v>
      </c>
      <c r="H896" t="str">
        <f t="shared" si="248"/>
        <v>048314</v>
      </c>
      <c r="I896" t="s">
        <v>833</v>
      </c>
      <c r="J896" t="str">
        <f t="shared" si="247"/>
        <v>2015-07-01 00:00:00.0</v>
      </c>
      <c r="K896" t="s">
        <v>834</v>
      </c>
      <c r="L896" t="s">
        <v>0</v>
      </c>
      <c r="M896" t="str">
        <f t="shared" si="250"/>
        <v>048314</v>
      </c>
      <c r="N896">
        <v>1</v>
      </c>
      <c r="O896">
        <v>1</v>
      </c>
      <c r="P896" t="str">
        <f>"10"</f>
        <v>10</v>
      </c>
      <c r="Q896" t="s">
        <v>835</v>
      </c>
      <c r="S896" t="s">
        <v>836</v>
      </c>
      <c r="T896" t="s">
        <v>836</v>
      </c>
      <c r="U896" t="str">
        <f t="shared" si="246"/>
        <v>2500-12-31 00:00:00.0</v>
      </c>
      <c r="V896" t="s">
        <v>837</v>
      </c>
      <c r="W896" t="str">
        <f t="shared" si="249"/>
        <v>048314-004796-**-**</v>
      </c>
      <c r="X896" t="s">
        <v>838</v>
      </c>
      <c r="Y896">
        <v>1254.5</v>
      </c>
      <c r="Z896">
        <v>1254.5</v>
      </c>
      <c r="AA896" t="str">
        <f t="shared" si="242"/>
        <v>06/08/2016</v>
      </c>
    </row>
    <row r="897" spans="1:27" x14ac:dyDescent="0.3">
      <c r="A897" t="str">
        <f t="shared" si="230"/>
        <v>048314</v>
      </c>
      <c r="B897" t="str">
        <f t="shared" si="244"/>
        <v>004796</v>
      </c>
      <c r="C897" t="s">
        <v>897</v>
      </c>
      <c r="D897" t="s">
        <v>3839</v>
      </c>
      <c r="E897" t="s">
        <v>3840</v>
      </c>
      <c r="F897" t="s">
        <v>3841</v>
      </c>
      <c r="G897" t="s">
        <v>3842</v>
      </c>
      <c r="H897" t="str">
        <f t="shared" si="248"/>
        <v>048314</v>
      </c>
      <c r="I897" t="s">
        <v>833</v>
      </c>
      <c r="J897" t="str">
        <f t="shared" si="247"/>
        <v>2015-07-01 00:00:00.0</v>
      </c>
      <c r="K897" t="s">
        <v>834</v>
      </c>
      <c r="L897" t="s">
        <v>0</v>
      </c>
      <c r="M897" t="str">
        <f t="shared" si="250"/>
        <v>048314</v>
      </c>
      <c r="N897">
        <v>1</v>
      </c>
      <c r="O897">
        <v>1</v>
      </c>
      <c r="P897" t="str">
        <f>"11"</f>
        <v>11</v>
      </c>
      <c r="Q897" t="str">
        <f>"09"</f>
        <v>09</v>
      </c>
      <c r="R897" t="str">
        <f>"2"</f>
        <v>2</v>
      </c>
      <c r="S897" t="s">
        <v>836</v>
      </c>
      <c r="T897" t="s">
        <v>836</v>
      </c>
      <c r="U897" t="str">
        <f t="shared" si="246"/>
        <v>2500-12-31 00:00:00.0</v>
      </c>
      <c r="V897" t="s">
        <v>837</v>
      </c>
      <c r="W897" t="str">
        <f t="shared" si="249"/>
        <v>048314-004796-**-**</v>
      </c>
      <c r="X897" t="s">
        <v>838</v>
      </c>
      <c r="Y897">
        <v>1254.5</v>
      </c>
      <c r="Z897">
        <v>1254.5</v>
      </c>
      <c r="AA897" t="str">
        <f t="shared" si="242"/>
        <v>06/08/2016</v>
      </c>
    </row>
    <row r="898" spans="1:27" x14ac:dyDescent="0.3">
      <c r="A898" t="str">
        <f t="shared" ref="A898:A961" si="251">"048314"</f>
        <v>048314</v>
      </c>
      <c r="B898" t="str">
        <f t="shared" si="244"/>
        <v>004796</v>
      </c>
      <c r="C898" t="s">
        <v>1442</v>
      </c>
      <c r="D898" t="s">
        <v>3839</v>
      </c>
      <c r="E898" t="s">
        <v>3840</v>
      </c>
      <c r="F898" t="s">
        <v>3841</v>
      </c>
      <c r="G898" t="s">
        <v>3842</v>
      </c>
      <c r="H898" t="str">
        <f t="shared" si="248"/>
        <v>048314</v>
      </c>
      <c r="I898" t="s">
        <v>833</v>
      </c>
      <c r="J898" t="str">
        <f t="shared" si="247"/>
        <v>2015-07-01 00:00:00.0</v>
      </c>
      <c r="K898" t="s">
        <v>834</v>
      </c>
      <c r="L898" t="s">
        <v>0</v>
      </c>
      <c r="M898" t="str">
        <f t="shared" si="250"/>
        <v>048314</v>
      </c>
      <c r="N898">
        <v>1</v>
      </c>
      <c r="O898">
        <v>1</v>
      </c>
      <c r="P898" t="str">
        <f>"11"</f>
        <v>11</v>
      </c>
      <c r="Q898" t="s">
        <v>835</v>
      </c>
      <c r="S898" t="s">
        <v>836</v>
      </c>
      <c r="T898" t="s">
        <v>836</v>
      </c>
      <c r="U898" t="str">
        <f t="shared" si="246"/>
        <v>2500-12-31 00:00:00.0</v>
      </c>
      <c r="V898" t="s">
        <v>837</v>
      </c>
      <c r="W898" t="str">
        <f t="shared" si="249"/>
        <v>048314-004796-**-**</v>
      </c>
      <c r="X898" t="s">
        <v>838</v>
      </c>
      <c r="Y898">
        <v>1254.5</v>
      </c>
      <c r="Z898">
        <v>1254.5</v>
      </c>
      <c r="AA898" t="str">
        <f t="shared" si="242"/>
        <v>06/08/2016</v>
      </c>
    </row>
    <row r="899" spans="1:27" x14ac:dyDescent="0.3">
      <c r="A899" t="str">
        <f t="shared" si="251"/>
        <v>048314</v>
      </c>
      <c r="B899" t="str">
        <f t="shared" si="244"/>
        <v>004796</v>
      </c>
      <c r="C899" t="s">
        <v>1133</v>
      </c>
      <c r="D899" t="s">
        <v>3839</v>
      </c>
      <c r="E899" t="s">
        <v>3840</v>
      </c>
      <c r="F899" t="s">
        <v>3841</v>
      </c>
      <c r="G899" t="s">
        <v>3842</v>
      </c>
      <c r="H899" t="str">
        <f t="shared" si="248"/>
        <v>048314</v>
      </c>
      <c r="I899" t="s">
        <v>833</v>
      </c>
      <c r="J899" t="str">
        <f t="shared" si="247"/>
        <v>2015-07-01 00:00:00.0</v>
      </c>
      <c r="K899" t="s">
        <v>834</v>
      </c>
      <c r="L899" t="s">
        <v>0</v>
      </c>
      <c r="M899" t="str">
        <f t="shared" si="250"/>
        <v>048314</v>
      </c>
      <c r="N899">
        <v>0.53</v>
      </c>
      <c r="O899">
        <v>0.53</v>
      </c>
      <c r="P899" t="str">
        <f>"12"</f>
        <v>12</v>
      </c>
      <c r="Q899" t="s">
        <v>835</v>
      </c>
      <c r="S899" t="s">
        <v>836</v>
      </c>
      <c r="T899" t="s">
        <v>836</v>
      </c>
      <c r="U899" t="str">
        <f t="shared" si="246"/>
        <v>2500-12-31 00:00:00.0</v>
      </c>
      <c r="V899" t="s">
        <v>837</v>
      </c>
      <c r="W899" t="str">
        <f>"048314-004796-12-PM"</f>
        <v>048314-004796-12-PM</v>
      </c>
      <c r="X899" t="s">
        <v>838</v>
      </c>
      <c r="Y899">
        <v>664.89</v>
      </c>
      <c r="Z899">
        <v>1254.5</v>
      </c>
      <c r="AA899" t="str">
        <f t="shared" si="242"/>
        <v>06/08/2016</v>
      </c>
    </row>
    <row r="900" spans="1:27" x14ac:dyDescent="0.3">
      <c r="A900" t="str">
        <f t="shared" si="251"/>
        <v>048314</v>
      </c>
      <c r="B900" t="str">
        <f t="shared" si="244"/>
        <v>004796</v>
      </c>
      <c r="C900" t="s">
        <v>1133</v>
      </c>
      <c r="D900" t="s">
        <v>3839</v>
      </c>
      <c r="E900" t="s">
        <v>3840</v>
      </c>
      <c r="F900" t="s">
        <v>3841</v>
      </c>
      <c r="G900" t="s">
        <v>3842</v>
      </c>
      <c r="H900" t="str">
        <f>"051243"</f>
        <v>051243</v>
      </c>
      <c r="I900" t="s">
        <v>833</v>
      </c>
      <c r="J900" t="str">
        <f t="shared" si="247"/>
        <v>2015-07-01 00:00:00.0</v>
      </c>
      <c r="K900" t="s">
        <v>834</v>
      </c>
      <c r="L900" t="s">
        <v>0</v>
      </c>
      <c r="M900" t="str">
        <f t="shared" si="250"/>
        <v>048314</v>
      </c>
      <c r="N900">
        <v>0.47</v>
      </c>
      <c r="O900">
        <v>0.47</v>
      </c>
      <c r="P900" t="str">
        <f>"12"</f>
        <v>12</v>
      </c>
      <c r="Q900" t="s">
        <v>835</v>
      </c>
      <c r="S900" t="s">
        <v>836</v>
      </c>
      <c r="T900" t="s">
        <v>836</v>
      </c>
      <c r="U900" t="str">
        <f t="shared" si="246"/>
        <v>2500-12-31 00:00:00.0</v>
      </c>
      <c r="V900" t="s">
        <v>886</v>
      </c>
      <c r="W900" t="str">
        <f>"051243-051250-12-SP"</f>
        <v>051243-051250-12-SP</v>
      </c>
      <c r="X900" t="s">
        <v>838</v>
      </c>
      <c r="Y900">
        <v>519.35</v>
      </c>
      <c r="Z900">
        <v>1105</v>
      </c>
      <c r="AA900" t="str">
        <f>"05/21/2016"</f>
        <v>05/21/2016</v>
      </c>
    </row>
    <row r="901" spans="1:27" x14ac:dyDescent="0.3">
      <c r="A901" t="str">
        <f t="shared" si="251"/>
        <v>048314</v>
      </c>
      <c r="B901" t="str">
        <f t="shared" si="244"/>
        <v>004796</v>
      </c>
      <c r="C901" t="s">
        <v>1134</v>
      </c>
      <c r="D901" t="s">
        <v>3839</v>
      </c>
      <c r="E901" t="s">
        <v>3840</v>
      </c>
      <c r="F901" t="s">
        <v>3841</v>
      </c>
      <c r="G901" t="s">
        <v>3842</v>
      </c>
      <c r="H901" t="str">
        <f t="shared" ref="H901:H908" si="252">"048314"</f>
        <v>048314</v>
      </c>
      <c r="I901" t="s">
        <v>833</v>
      </c>
      <c r="J901" t="str">
        <f t="shared" si="247"/>
        <v>2015-07-01 00:00:00.0</v>
      </c>
      <c r="K901" t="s">
        <v>834</v>
      </c>
      <c r="L901" t="s">
        <v>0</v>
      </c>
      <c r="M901" t="str">
        <f t="shared" si="250"/>
        <v>048314</v>
      </c>
      <c r="N901">
        <v>1</v>
      </c>
      <c r="O901">
        <v>1</v>
      </c>
      <c r="P901" t="str">
        <f>"12"</f>
        <v>12</v>
      </c>
      <c r="Q901" t="s">
        <v>835</v>
      </c>
      <c r="S901" t="s">
        <v>836</v>
      </c>
      <c r="T901" t="s">
        <v>836</v>
      </c>
      <c r="U901" t="str">
        <f t="shared" si="246"/>
        <v>2500-12-31 00:00:00.0</v>
      </c>
      <c r="V901" t="s">
        <v>837</v>
      </c>
      <c r="W901" t="str">
        <f>"048314-004796-12-SE"</f>
        <v>048314-004796-12-SE</v>
      </c>
      <c r="X901" t="s">
        <v>838</v>
      </c>
      <c r="Y901">
        <v>1254.5</v>
      </c>
      <c r="Z901">
        <v>1254.5</v>
      </c>
      <c r="AA901" t="str">
        <f t="shared" ref="AA901:AA924" si="253">"06/08/2016"</f>
        <v>06/08/2016</v>
      </c>
    </row>
    <row r="902" spans="1:27" x14ac:dyDescent="0.3">
      <c r="A902" t="str">
        <f t="shared" si="251"/>
        <v>048314</v>
      </c>
      <c r="B902" t="str">
        <f t="shared" si="244"/>
        <v>004796</v>
      </c>
      <c r="C902" t="s">
        <v>1587</v>
      </c>
      <c r="D902" t="s">
        <v>3839</v>
      </c>
      <c r="E902" t="s">
        <v>3840</v>
      </c>
      <c r="F902" t="s">
        <v>3841</v>
      </c>
      <c r="G902" t="s">
        <v>3842</v>
      </c>
      <c r="H902" t="str">
        <f t="shared" si="252"/>
        <v>048314</v>
      </c>
      <c r="I902" t="s">
        <v>833</v>
      </c>
      <c r="J902" t="str">
        <f t="shared" si="247"/>
        <v>2015-07-01 00:00:00.0</v>
      </c>
      <c r="K902" t="s">
        <v>834</v>
      </c>
      <c r="L902" t="s">
        <v>0</v>
      </c>
      <c r="M902" t="str">
        <f t="shared" si="250"/>
        <v>048314</v>
      </c>
      <c r="N902">
        <v>0.24870500000000001</v>
      </c>
      <c r="O902">
        <v>0.24870500000000001</v>
      </c>
      <c r="P902" t="str">
        <f>"10"</f>
        <v>10</v>
      </c>
      <c r="Q902" t="s">
        <v>835</v>
      </c>
      <c r="S902" t="s">
        <v>836</v>
      </c>
      <c r="T902" t="s">
        <v>836</v>
      </c>
      <c r="U902" t="str">
        <f>"2015-11-05 00:00:00.0"</f>
        <v>2015-11-05 00:00:00.0</v>
      </c>
      <c r="V902" t="s">
        <v>837</v>
      </c>
      <c r="W902" t="str">
        <f>"048314-004796-**-**"</f>
        <v>048314-004796-**-**</v>
      </c>
      <c r="X902" t="s">
        <v>838</v>
      </c>
      <c r="Y902">
        <v>312</v>
      </c>
      <c r="Z902">
        <v>1254.5</v>
      </c>
      <c r="AA902" t="str">
        <f t="shared" si="253"/>
        <v>06/08/2016</v>
      </c>
    </row>
    <row r="903" spans="1:27" x14ac:dyDescent="0.3">
      <c r="A903" t="str">
        <f t="shared" si="251"/>
        <v>048314</v>
      </c>
      <c r="B903" t="str">
        <f t="shared" si="244"/>
        <v>004796</v>
      </c>
      <c r="C903" t="s">
        <v>1587</v>
      </c>
      <c r="D903" t="s">
        <v>3839</v>
      </c>
      <c r="E903" t="s">
        <v>3840</v>
      </c>
      <c r="F903" t="s">
        <v>3841</v>
      </c>
      <c r="G903" t="s">
        <v>3842</v>
      </c>
      <c r="H903" t="str">
        <f t="shared" si="252"/>
        <v>048314</v>
      </c>
      <c r="I903" t="s">
        <v>833</v>
      </c>
      <c r="J903" t="str">
        <f>"2015-11-06 00:00:00.0"</f>
        <v>2015-11-06 00:00:00.0</v>
      </c>
      <c r="K903" t="s">
        <v>834</v>
      </c>
      <c r="L903" t="s">
        <v>0</v>
      </c>
      <c r="M903" t="str">
        <f t="shared" si="250"/>
        <v>048314</v>
      </c>
      <c r="N903">
        <v>0.69948200000000005</v>
      </c>
      <c r="O903">
        <v>0.69948200000000005</v>
      </c>
      <c r="P903" t="str">
        <f>"10"</f>
        <v>10</v>
      </c>
      <c r="Q903" t="s">
        <v>835</v>
      </c>
      <c r="S903" t="s">
        <v>860</v>
      </c>
      <c r="T903" t="s">
        <v>836</v>
      </c>
      <c r="U903" t="str">
        <f>"2016-05-24 00:00:00.0"</f>
        <v>2016-05-24 00:00:00.0</v>
      </c>
      <c r="V903" t="s">
        <v>837</v>
      </c>
      <c r="W903" t="str">
        <f>"048314-004796-**-**"</f>
        <v>048314-004796-**-**</v>
      </c>
      <c r="X903" t="s">
        <v>838</v>
      </c>
      <c r="Y903">
        <v>877.5</v>
      </c>
      <c r="Z903">
        <v>1254.5</v>
      </c>
      <c r="AA903" t="str">
        <f t="shared" si="253"/>
        <v>06/08/2016</v>
      </c>
    </row>
    <row r="904" spans="1:27" x14ac:dyDescent="0.3">
      <c r="A904" t="str">
        <f t="shared" si="251"/>
        <v>048314</v>
      </c>
      <c r="B904" t="str">
        <f t="shared" si="244"/>
        <v>004796</v>
      </c>
      <c r="C904" t="s">
        <v>1332</v>
      </c>
      <c r="D904" t="s">
        <v>3839</v>
      </c>
      <c r="E904" t="s">
        <v>3840</v>
      </c>
      <c r="F904" t="s">
        <v>3841</v>
      </c>
      <c r="G904" t="s">
        <v>3842</v>
      </c>
      <c r="H904" t="str">
        <f t="shared" si="252"/>
        <v>048314</v>
      </c>
      <c r="I904" t="s">
        <v>833</v>
      </c>
      <c r="J904" t="str">
        <f>"2015-07-01 00:00:00.0"</f>
        <v>2015-07-01 00:00:00.0</v>
      </c>
      <c r="K904" t="s">
        <v>834</v>
      </c>
      <c r="L904" t="s">
        <v>0</v>
      </c>
      <c r="M904" t="str">
        <f t="shared" si="250"/>
        <v>048314</v>
      </c>
      <c r="N904">
        <v>0.35233199999999998</v>
      </c>
      <c r="O904">
        <v>0.35233199999999998</v>
      </c>
      <c r="P904" t="str">
        <f>"11"</f>
        <v>11</v>
      </c>
      <c r="Q904" t="s">
        <v>835</v>
      </c>
      <c r="S904" t="s">
        <v>836</v>
      </c>
      <c r="T904" t="s">
        <v>836</v>
      </c>
      <c r="U904" t="str">
        <f>"2015-12-07 00:00:00.0"</f>
        <v>2015-12-07 00:00:00.0</v>
      </c>
      <c r="V904" t="s">
        <v>837</v>
      </c>
      <c r="W904" t="str">
        <f>"048314-004796-**-**"</f>
        <v>048314-004796-**-**</v>
      </c>
      <c r="X904" t="s">
        <v>838</v>
      </c>
      <c r="Y904">
        <v>442</v>
      </c>
      <c r="Z904">
        <v>1254.5</v>
      </c>
      <c r="AA904" t="str">
        <f t="shared" si="253"/>
        <v>06/08/2016</v>
      </c>
    </row>
    <row r="905" spans="1:27" x14ac:dyDescent="0.3">
      <c r="A905" t="str">
        <f t="shared" si="251"/>
        <v>048314</v>
      </c>
      <c r="B905" t="str">
        <f t="shared" si="244"/>
        <v>004796</v>
      </c>
      <c r="C905" t="s">
        <v>1332</v>
      </c>
      <c r="D905" t="s">
        <v>3839</v>
      </c>
      <c r="E905" t="s">
        <v>3840</v>
      </c>
      <c r="F905" t="s">
        <v>3841</v>
      </c>
      <c r="G905" t="s">
        <v>3842</v>
      </c>
      <c r="H905" t="str">
        <f t="shared" si="252"/>
        <v>048314</v>
      </c>
      <c r="I905" t="s">
        <v>833</v>
      </c>
      <c r="J905" t="str">
        <f>"2015-12-08 00:00:00.0"</f>
        <v>2015-12-08 00:00:00.0</v>
      </c>
      <c r="K905" t="s">
        <v>834</v>
      </c>
      <c r="L905" t="s">
        <v>0</v>
      </c>
      <c r="M905" t="str">
        <f t="shared" si="250"/>
        <v>048314</v>
      </c>
      <c r="N905">
        <v>0.64766800000000002</v>
      </c>
      <c r="O905">
        <v>0.64766800000000002</v>
      </c>
      <c r="P905" t="str">
        <f>"11"</f>
        <v>11</v>
      </c>
      <c r="Q905" t="s">
        <v>835</v>
      </c>
      <c r="S905" t="s">
        <v>836</v>
      </c>
      <c r="T905" t="s">
        <v>836</v>
      </c>
      <c r="U905" t="str">
        <f>"2500-12-31 00:00:00.0"</f>
        <v>2500-12-31 00:00:00.0</v>
      </c>
      <c r="V905" t="s">
        <v>837</v>
      </c>
      <c r="W905" t="str">
        <f>"048314-004796-**-**"</f>
        <v>048314-004796-**-**</v>
      </c>
      <c r="X905" t="s">
        <v>838</v>
      </c>
      <c r="Y905">
        <v>812.5</v>
      </c>
      <c r="Z905">
        <v>1254.5</v>
      </c>
      <c r="AA905" t="str">
        <f t="shared" si="253"/>
        <v>06/08/2016</v>
      </c>
    </row>
    <row r="906" spans="1:27" x14ac:dyDescent="0.3">
      <c r="A906" t="str">
        <f t="shared" si="251"/>
        <v>048314</v>
      </c>
      <c r="B906" t="str">
        <f t="shared" si="244"/>
        <v>004796</v>
      </c>
      <c r="C906" t="s">
        <v>1135</v>
      </c>
      <c r="D906" t="s">
        <v>3839</v>
      </c>
      <c r="E906" t="s">
        <v>3840</v>
      </c>
      <c r="F906" t="s">
        <v>3841</v>
      </c>
      <c r="G906" t="s">
        <v>3842</v>
      </c>
      <c r="H906" t="str">
        <f t="shared" si="252"/>
        <v>048314</v>
      </c>
      <c r="I906" t="s">
        <v>833</v>
      </c>
      <c r="J906" t="str">
        <f>"2015-07-01 00:00:00.0"</f>
        <v>2015-07-01 00:00:00.0</v>
      </c>
      <c r="K906" t="s">
        <v>834</v>
      </c>
      <c r="L906" t="s">
        <v>0</v>
      </c>
      <c r="M906" t="str">
        <f t="shared" si="250"/>
        <v>048314</v>
      </c>
      <c r="N906">
        <v>1</v>
      </c>
      <c r="O906">
        <v>1</v>
      </c>
      <c r="P906" t="str">
        <f>"12"</f>
        <v>12</v>
      </c>
      <c r="Q906" t="s">
        <v>835</v>
      </c>
      <c r="S906" t="s">
        <v>836</v>
      </c>
      <c r="T906" t="s">
        <v>836</v>
      </c>
      <c r="U906" t="str">
        <f>"2500-12-31 00:00:00.0"</f>
        <v>2500-12-31 00:00:00.0</v>
      </c>
      <c r="V906" t="s">
        <v>837</v>
      </c>
      <c r="W906" t="str">
        <f>"048314-004796-12-SE"</f>
        <v>048314-004796-12-SE</v>
      </c>
      <c r="X906" t="s">
        <v>838</v>
      </c>
      <c r="Y906">
        <v>1254.5</v>
      </c>
      <c r="Z906">
        <v>1254.5</v>
      </c>
      <c r="AA906" t="str">
        <f t="shared" si="253"/>
        <v>06/08/2016</v>
      </c>
    </row>
    <row r="907" spans="1:27" x14ac:dyDescent="0.3">
      <c r="A907" t="str">
        <f t="shared" si="251"/>
        <v>048314</v>
      </c>
      <c r="B907" t="str">
        <f t="shared" si="244"/>
        <v>004796</v>
      </c>
      <c r="C907" t="s">
        <v>1182</v>
      </c>
      <c r="D907" t="s">
        <v>3839</v>
      </c>
      <c r="E907" t="s">
        <v>3840</v>
      </c>
      <c r="F907" t="s">
        <v>3841</v>
      </c>
      <c r="G907" t="s">
        <v>3842</v>
      </c>
      <c r="H907" t="str">
        <f t="shared" si="252"/>
        <v>048314</v>
      </c>
      <c r="I907" t="s">
        <v>833</v>
      </c>
      <c r="J907" t="str">
        <f>"2015-07-01 00:00:00.0"</f>
        <v>2015-07-01 00:00:00.0</v>
      </c>
      <c r="K907" t="s">
        <v>834</v>
      </c>
      <c r="L907" t="s">
        <v>0</v>
      </c>
      <c r="M907" t="str">
        <f t="shared" si="250"/>
        <v>048314</v>
      </c>
      <c r="N907">
        <v>1</v>
      </c>
      <c r="O907">
        <v>1</v>
      </c>
      <c r="P907" t="str">
        <f>"12"</f>
        <v>12</v>
      </c>
      <c r="Q907" t="s">
        <v>835</v>
      </c>
      <c r="S907" t="s">
        <v>836</v>
      </c>
      <c r="T907" t="s">
        <v>836</v>
      </c>
      <c r="U907" t="str">
        <f>"2500-12-31 00:00:00.0"</f>
        <v>2500-12-31 00:00:00.0</v>
      </c>
      <c r="V907" t="s">
        <v>837</v>
      </c>
      <c r="W907" t="str">
        <f>"048314-004796-12-SE"</f>
        <v>048314-004796-12-SE</v>
      </c>
      <c r="X907" t="s">
        <v>838</v>
      </c>
      <c r="Y907">
        <v>1254.5</v>
      </c>
      <c r="Z907">
        <v>1254.5</v>
      </c>
      <c r="AA907" t="str">
        <f t="shared" si="253"/>
        <v>06/08/2016</v>
      </c>
    </row>
    <row r="908" spans="1:27" x14ac:dyDescent="0.3">
      <c r="A908" t="str">
        <f t="shared" si="251"/>
        <v>048314</v>
      </c>
      <c r="B908" t="str">
        <f t="shared" si="244"/>
        <v>004796</v>
      </c>
      <c r="C908" t="s">
        <v>1533</v>
      </c>
      <c r="D908" t="s">
        <v>3839</v>
      </c>
      <c r="E908" t="s">
        <v>3840</v>
      </c>
      <c r="F908" t="s">
        <v>3841</v>
      </c>
      <c r="G908" t="s">
        <v>3842</v>
      </c>
      <c r="H908" t="str">
        <f t="shared" si="252"/>
        <v>048314</v>
      </c>
      <c r="I908" t="s">
        <v>833</v>
      </c>
      <c r="J908" t="str">
        <f>"2015-07-01 00:00:00.0"</f>
        <v>2015-07-01 00:00:00.0</v>
      </c>
      <c r="K908" t="s">
        <v>834</v>
      </c>
      <c r="L908" t="s">
        <v>0</v>
      </c>
      <c r="M908" t="str">
        <f t="shared" si="250"/>
        <v>048314</v>
      </c>
      <c r="N908">
        <v>1</v>
      </c>
      <c r="O908">
        <v>1</v>
      </c>
      <c r="P908" t="str">
        <f>"10"</f>
        <v>10</v>
      </c>
      <c r="Q908" t="s">
        <v>835</v>
      </c>
      <c r="S908" t="s">
        <v>836</v>
      </c>
      <c r="T908" t="s">
        <v>836</v>
      </c>
      <c r="U908" t="str">
        <f>"2500-12-31 00:00:00.0"</f>
        <v>2500-12-31 00:00:00.0</v>
      </c>
      <c r="V908" t="s">
        <v>837</v>
      </c>
      <c r="W908" t="str">
        <f>"048314-004796-**-**"</f>
        <v>048314-004796-**-**</v>
      </c>
      <c r="X908" t="s">
        <v>838</v>
      </c>
      <c r="Y908">
        <v>1254.5</v>
      </c>
      <c r="Z908">
        <v>1254.5</v>
      </c>
      <c r="AA908" t="str">
        <f t="shared" si="253"/>
        <v>06/08/2016</v>
      </c>
    </row>
    <row r="909" spans="1:27" x14ac:dyDescent="0.3">
      <c r="A909" t="str">
        <f t="shared" si="251"/>
        <v>048314</v>
      </c>
      <c r="B909" t="str">
        <f t="shared" si="244"/>
        <v>004796</v>
      </c>
      <c r="C909" t="s">
        <v>1288</v>
      </c>
      <c r="D909" t="s">
        <v>3839</v>
      </c>
      <c r="E909" t="s">
        <v>3840</v>
      </c>
      <c r="F909" t="s">
        <v>3841</v>
      </c>
      <c r="G909" t="s">
        <v>3842</v>
      </c>
      <c r="H909" t="str">
        <f>"048397"</f>
        <v>048397</v>
      </c>
      <c r="I909" t="s">
        <v>833</v>
      </c>
      <c r="J909" t="str">
        <f>"2016-01-25 00:00:00.0"</f>
        <v>2016-01-25 00:00:00.0</v>
      </c>
      <c r="K909" t="s">
        <v>834</v>
      </c>
      <c r="L909" t="s">
        <v>1</v>
      </c>
      <c r="M909" t="str">
        <f t="shared" si="250"/>
        <v>048314</v>
      </c>
      <c r="N909">
        <v>0.50372799999999995</v>
      </c>
      <c r="O909">
        <v>0.50372799999999995</v>
      </c>
      <c r="P909" t="str">
        <f>"12"</f>
        <v>12</v>
      </c>
      <c r="Q909" t="s">
        <v>835</v>
      </c>
      <c r="S909" t="s">
        <v>836</v>
      </c>
      <c r="T909" t="s">
        <v>836</v>
      </c>
      <c r="U909" t="str">
        <f>"2500-12-31 00:00:00.0"</f>
        <v>2500-12-31 00:00:00.0</v>
      </c>
      <c r="V909" t="s">
        <v>837</v>
      </c>
      <c r="W909" t="str">
        <f>"048397-042333-12-SR"</f>
        <v>048397-042333-12-SR</v>
      </c>
      <c r="X909" t="s">
        <v>838</v>
      </c>
      <c r="Y909">
        <v>560.70000000000005</v>
      </c>
      <c r="Z909">
        <v>1113.0999999999999</v>
      </c>
      <c r="AA909" t="str">
        <f t="shared" si="253"/>
        <v>06/08/2016</v>
      </c>
    </row>
    <row r="910" spans="1:27" x14ac:dyDescent="0.3">
      <c r="A910" t="str">
        <f t="shared" si="251"/>
        <v>048314</v>
      </c>
      <c r="B910" t="str">
        <f t="shared" si="244"/>
        <v>004796</v>
      </c>
      <c r="C910" t="s">
        <v>1288</v>
      </c>
      <c r="D910" t="s">
        <v>3839</v>
      </c>
      <c r="E910" t="s">
        <v>3840</v>
      </c>
      <c r="F910" t="s">
        <v>3841</v>
      </c>
      <c r="G910" t="s">
        <v>3842</v>
      </c>
      <c r="H910" t="str">
        <f>"048397"</f>
        <v>048397</v>
      </c>
      <c r="I910" t="s">
        <v>833</v>
      </c>
      <c r="J910" t="str">
        <f t="shared" ref="J910:J916" si="254">"2015-07-01 00:00:00.0"</f>
        <v>2015-07-01 00:00:00.0</v>
      </c>
      <c r="K910" t="s">
        <v>834</v>
      </c>
      <c r="L910" t="s">
        <v>1</v>
      </c>
      <c r="M910" t="str">
        <f t="shared" si="250"/>
        <v>048314</v>
      </c>
      <c r="N910">
        <v>0.49627199999999999</v>
      </c>
      <c r="O910">
        <v>0.49627199999999999</v>
      </c>
      <c r="P910" t="str">
        <f>"12"</f>
        <v>12</v>
      </c>
      <c r="Q910" t="s">
        <v>835</v>
      </c>
      <c r="S910" t="s">
        <v>836</v>
      </c>
      <c r="T910" t="s">
        <v>836</v>
      </c>
      <c r="U910" t="str">
        <f>"2016-01-24 00:00:00.0"</f>
        <v>2016-01-24 00:00:00.0</v>
      </c>
      <c r="V910" t="s">
        <v>837</v>
      </c>
      <c r="W910" t="str">
        <f>"048397-042333-12-SR"</f>
        <v>048397-042333-12-SR</v>
      </c>
      <c r="X910" t="s">
        <v>838</v>
      </c>
      <c r="Y910">
        <v>552.4</v>
      </c>
      <c r="Z910">
        <v>1113.0999999999999</v>
      </c>
      <c r="AA910" t="str">
        <f t="shared" si="253"/>
        <v>06/08/2016</v>
      </c>
    </row>
    <row r="911" spans="1:27" x14ac:dyDescent="0.3">
      <c r="A911" t="str">
        <f t="shared" si="251"/>
        <v>048314</v>
      </c>
      <c r="B911" t="str">
        <f t="shared" si="244"/>
        <v>004796</v>
      </c>
      <c r="C911" t="s">
        <v>2179</v>
      </c>
      <c r="D911" t="s">
        <v>3839</v>
      </c>
      <c r="E911" t="s">
        <v>3840</v>
      </c>
      <c r="F911" t="s">
        <v>3841</v>
      </c>
      <c r="G911" t="s">
        <v>3842</v>
      </c>
      <c r="H911" t="str">
        <f t="shared" ref="H911:H924" si="255">"048314"</f>
        <v>048314</v>
      </c>
      <c r="I911" t="s">
        <v>833</v>
      </c>
      <c r="J911" t="str">
        <f t="shared" si="254"/>
        <v>2015-07-01 00:00:00.0</v>
      </c>
      <c r="K911" t="s">
        <v>834</v>
      </c>
      <c r="L911" t="s">
        <v>0</v>
      </c>
      <c r="M911" t="str">
        <f t="shared" si="250"/>
        <v>048314</v>
      </c>
      <c r="N911">
        <v>1</v>
      </c>
      <c r="O911">
        <v>1</v>
      </c>
      <c r="P911" t="str">
        <f>"10"</f>
        <v>10</v>
      </c>
      <c r="Q911" t="s">
        <v>835</v>
      </c>
      <c r="S911" t="s">
        <v>836</v>
      </c>
      <c r="T911" t="s">
        <v>836</v>
      </c>
      <c r="U911" t="str">
        <f>"2500-12-31 00:00:00.0"</f>
        <v>2500-12-31 00:00:00.0</v>
      </c>
      <c r="V911" t="s">
        <v>837</v>
      </c>
      <c r="W911" t="str">
        <f t="shared" ref="W911:W922" si="256">"048314-004796-**-**"</f>
        <v>048314-004796-**-**</v>
      </c>
      <c r="X911" t="s">
        <v>838</v>
      </c>
      <c r="Y911">
        <v>1254.5</v>
      </c>
      <c r="Z911">
        <v>1254.5</v>
      </c>
      <c r="AA911" t="str">
        <f t="shared" si="253"/>
        <v>06/08/2016</v>
      </c>
    </row>
    <row r="912" spans="1:27" x14ac:dyDescent="0.3">
      <c r="A912" t="str">
        <f t="shared" si="251"/>
        <v>048314</v>
      </c>
      <c r="B912" t="str">
        <f t="shared" si="244"/>
        <v>004796</v>
      </c>
      <c r="C912" t="s">
        <v>2180</v>
      </c>
      <c r="D912" t="s">
        <v>3839</v>
      </c>
      <c r="E912" t="s">
        <v>3840</v>
      </c>
      <c r="F912" t="s">
        <v>3841</v>
      </c>
      <c r="G912" t="s">
        <v>3842</v>
      </c>
      <c r="H912" t="str">
        <f t="shared" si="255"/>
        <v>048314</v>
      </c>
      <c r="I912" t="s">
        <v>833</v>
      </c>
      <c r="J912" t="str">
        <f t="shared" si="254"/>
        <v>2015-07-01 00:00:00.0</v>
      </c>
      <c r="K912" t="s">
        <v>834</v>
      </c>
      <c r="L912" t="s">
        <v>0</v>
      </c>
      <c r="M912" t="str">
        <f t="shared" si="250"/>
        <v>048314</v>
      </c>
      <c r="N912">
        <v>1</v>
      </c>
      <c r="O912">
        <v>1</v>
      </c>
      <c r="P912" t="str">
        <f>"11"</f>
        <v>11</v>
      </c>
      <c r="Q912" t="str">
        <f>"10"</f>
        <v>10</v>
      </c>
      <c r="R912" t="str">
        <f>"2"</f>
        <v>2</v>
      </c>
      <c r="S912" t="s">
        <v>836</v>
      </c>
      <c r="T912" t="s">
        <v>836</v>
      </c>
      <c r="U912" t="str">
        <f>"2500-12-31 00:00:00.0"</f>
        <v>2500-12-31 00:00:00.0</v>
      </c>
      <c r="V912" t="s">
        <v>837</v>
      </c>
      <c r="W912" t="str">
        <f t="shared" si="256"/>
        <v>048314-004796-**-**</v>
      </c>
      <c r="X912" t="s">
        <v>838</v>
      </c>
      <c r="Y912">
        <v>1254.5</v>
      </c>
      <c r="Z912">
        <v>1254.5</v>
      </c>
      <c r="AA912" t="str">
        <f t="shared" si="253"/>
        <v>06/08/2016</v>
      </c>
    </row>
    <row r="913" spans="1:27" x14ac:dyDescent="0.3">
      <c r="A913" t="str">
        <f t="shared" si="251"/>
        <v>048314</v>
      </c>
      <c r="B913" t="str">
        <f t="shared" si="244"/>
        <v>004796</v>
      </c>
      <c r="C913" t="s">
        <v>2181</v>
      </c>
      <c r="D913" t="s">
        <v>3839</v>
      </c>
      <c r="E913" t="s">
        <v>3840</v>
      </c>
      <c r="F913" t="s">
        <v>3841</v>
      </c>
      <c r="G913" t="s">
        <v>3842</v>
      </c>
      <c r="H913" t="str">
        <f t="shared" si="255"/>
        <v>048314</v>
      </c>
      <c r="I913" t="s">
        <v>833</v>
      </c>
      <c r="J913" t="str">
        <f t="shared" si="254"/>
        <v>2015-07-01 00:00:00.0</v>
      </c>
      <c r="K913" t="s">
        <v>834</v>
      </c>
      <c r="L913" t="s">
        <v>0</v>
      </c>
      <c r="M913" t="str">
        <f t="shared" si="250"/>
        <v>048314</v>
      </c>
      <c r="N913">
        <v>1</v>
      </c>
      <c r="O913">
        <v>1</v>
      </c>
      <c r="P913" t="str">
        <f>"11"</f>
        <v>11</v>
      </c>
      <c r="Q913" t="s">
        <v>835</v>
      </c>
      <c r="S913" t="s">
        <v>836</v>
      </c>
      <c r="T913" t="s">
        <v>836</v>
      </c>
      <c r="U913" t="str">
        <f>"2500-12-31 00:00:00.0"</f>
        <v>2500-12-31 00:00:00.0</v>
      </c>
      <c r="V913" t="s">
        <v>837</v>
      </c>
      <c r="W913" t="str">
        <f t="shared" si="256"/>
        <v>048314-004796-**-**</v>
      </c>
      <c r="X913" t="s">
        <v>838</v>
      </c>
      <c r="Y913">
        <v>1254.5</v>
      </c>
      <c r="Z913">
        <v>1254.5</v>
      </c>
      <c r="AA913" t="str">
        <f t="shared" si="253"/>
        <v>06/08/2016</v>
      </c>
    </row>
    <row r="914" spans="1:27" x14ac:dyDescent="0.3">
      <c r="A914" t="str">
        <f t="shared" si="251"/>
        <v>048314</v>
      </c>
      <c r="B914" t="str">
        <f t="shared" si="244"/>
        <v>004796</v>
      </c>
      <c r="C914" t="s">
        <v>1588</v>
      </c>
      <c r="D914" t="s">
        <v>3839</v>
      </c>
      <c r="E914" t="s">
        <v>3840</v>
      </c>
      <c r="F914" t="s">
        <v>3841</v>
      </c>
      <c r="G914" t="s">
        <v>3842</v>
      </c>
      <c r="H914" t="str">
        <f t="shared" si="255"/>
        <v>048314</v>
      </c>
      <c r="I914" t="s">
        <v>833</v>
      </c>
      <c r="J914" t="str">
        <f t="shared" si="254"/>
        <v>2015-07-01 00:00:00.0</v>
      </c>
      <c r="K914" t="s">
        <v>834</v>
      </c>
      <c r="L914" t="s">
        <v>0</v>
      </c>
      <c r="M914" t="str">
        <f t="shared" si="250"/>
        <v>048314</v>
      </c>
      <c r="N914">
        <v>1</v>
      </c>
      <c r="O914">
        <v>1</v>
      </c>
      <c r="P914" t="str">
        <f>"10"</f>
        <v>10</v>
      </c>
      <c r="Q914" t="s">
        <v>835</v>
      </c>
      <c r="S914" t="s">
        <v>836</v>
      </c>
      <c r="T914" t="s">
        <v>836</v>
      </c>
      <c r="U914" t="str">
        <f>"2500-12-31 00:00:00.0"</f>
        <v>2500-12-31 00:00:00.0</v>
      </c>
      <c r="V914" t="s">
        <v>837</v>
      </c>
      <c r="W914" t="str">
        <f t="shared" si="256"/>
        <v>048314-004796-**-**</v>
      </c>
      <c r="X914" t="s">
        <v>838</v>
      </c>
      <c r="Y914">
        <v>1254.5</v>
      </c>
      <c r="Z914">
        <v>1254.5</v>
      </c>
      <c r="AA914" t="str">
        <f t="shared" si="253"/>
        <v>06/08/2016</v>
      </c>
    </row>
    <row r="915" spans="1:27" x14ac:dyDescent="0.3">
      <c r="A915" t="str">
        <f t="shared" si="251"/>
        <v>048314</v>
      </c>
      <c r="B915" t="str">
        <f t="shared" si="244"/>
        <v>004796</v>
      </c>
      <c r="C915" t="s">
        <v>1762</v>
      </c>
      <c r="D915" t="s">
        <v>3839</v>
      </c>
      <c r="E915" t="s">
        <v>3840</v>
      </c>
      <c r="F915" t="s">
        <v>3841</v>
      </c>
      <c r="G915" t="s">
        <v>3842</v>
      </c>
      <c r="H915" t="str">
        <f t="shared" si="255"/>
        <v>048314</v>
      </c>
      <c r="I915" t="s">
        <v>833</v>
      </c>
      <c r="J915" t="str">
        <f t="shared" si="254"/>
        <v>2015-07-01 00:00:00.0</v>
      </c>
      <c r="K915" t="s">
        <v>834</v>
      </c>
      <c r="L915" t="s">
        <v>0</v>
      </c>
      <c r="M915" t="str">
        <f t="shared" si="250"/>
        <v>048314</v>
      </c>
      <c r="N915">
        <v>1</v>
      </c>
      <c r="O915">
        <v>1</v>
      </c>
      <c r="P915" t="str">
        <f>"11"</f>
        <v>11</v>
      </c>
      <c r="Q915" t="s">
        <v>835</v>
      </c>
      <c r="S915" t="s">
        <v>836</v>
      </c>
      <c r="T915" t="s">
        <v>836</v>
      </c>
      <c r="U915" t="str">
        <f>"2500-12-31 00:00:00.0"</f>
        <v>2500-12-31 00:00:00.0</v>
      </c>
      <c r="V915" t="s">
        <v>837</v>
      </c>
      <c r="W915" t="str">
        <f t="shared" si="256"/>
        <v>048314-004796-**-**</v>
      </c>
      <c r="X915" t="s">
        <v>838</v>
      </c>
      <c r="Y915">
        <v>1254.5</v>
      </c>
      <c r="Z915">
        <v>1254.5</v>
      </c>
      <c r="AA915" t="str">
        <f t="shared" si="253"/>
        <v>06/08/2016</v>
      </c>
    </row>
    <row r="916" spans="1:27" x14ac:dyDescent="0.3">
      <c r="A916" t="str">
        <f t="shared" si="251"/>
        <v>048314</v>
      </c>
      <c r="B916" t="str">
        <f t="shared" si="244"/>
        <v>004796</v>
      </c>
      <c r="C916" t="s">
        <v>2526</v>
      </c>
      <c r="D916" t="s">
        <v>3839</v>
      </c>
      <c r="E916" t="s">
        <v>3840</v>
      </c>
      <c r="F916" t="s">
        <v>3841</v>
      </c>
      <c r="G916" t="s">
        <v>3842</v>
      </c>
      <c r="H916" t="str">
        <f t="shared" si="255"/>
        <v>048314</v>
      </c>
      <c r="I916" t="s">
        <v>833</v>
      </c>
      <c r="J916" t="str">
        <f t="shared" si="254"/>
        <v>2015-07-01 00:00:00.0</v>
      </c>
      <c r="K916" t="s">
        <v>834</v>
      </c>
      <c r="L916" t="s">
        <v>0</v>
      </c>
      <c r="M916" t="str">
        <f t="shared" si="250"/>
        <v>048314</v>
      </c>
      <c r="N916">
        <v>0.22797899999999999</v>
      </c>
      <c r="O916">
        <v>0.22797899999999999</v>
      </c>
      <c r="P916" t="str">
        <f>"11"</f>
        <v>11</v>
      </c>
      <c r="Q916" t="s">
        <v>835</v>
      </c>
      <c r="S916" t="s">
        <v>836</v>
      </c>
      <c r="T916" t="s">
        <v>836</v>
      </c>
      <c r="U916" t="str">
        <f>"2015-11-01 00:00:00.0"</f>
        <v>2015-11-01 00:00:00.0</v>
      </c>
      <c r="V916" t="s">
        <v>837</v>
      </c>
      <c r="W916" t="str">
        <f t="shared" si="256"/>
        <v>048314-004796-**-**</v>
      </c>
      <c r="X916" t="s">
        <v>838</v>
      </c>
      <c r="Y916">
        <v>286</v>
      </c>
      <c r="Z916">
        <v>1254.5</v>
      </c>
      <c r="AA916" t="str">
        <f t="shared" si="253"/>
        <v>06/08/2016</v>
      </c>
    </row>
    <row r="917" spans="1:27" x14ac:dyDescent="0.3">
      <c r="A917" t="str">
        <f t="shared" si="251"/>
        <v>048314</v>
      </c>
      <c r="B917" t="str">
        <f t="shared" si="244"/>
        <v>004796</v>
      </c>
      <c r="C917" t="s">
        <v>2526</v>
      </c>
      <c r="D917" t="s">
        <v>3839</v>
      </c>
      <c r="E917" t="s">
        <v>3840</v>
      </c>
      <c r="F917" t="s">
        <v>3841</v>
      </c>
      <c r="G917" t="s">
        <v>3842</v>
      </c>
      <c r="H917" t="str">
        <f t="shared" si="255"/>
        <v>048314</v>
      </c>
      <c r="I917" t="s">
        <v>833</v>
      </c>
      <c r="J917" t="str">
        <f>"2015-11-02 00:00:00.0"</f>
        <v>2015-11-02 00:00:00.0</v>
      </c>
      <c r="K917" t="s">
        <v>834</v>
      </c>
      <c r="L917" t="s">
        <v>0</v>
      </c>
      <c r="M917" t="str">
        <f t="shared" si="250"/>
        <v>048314</v>
      </c>
      <c r="N917">
        <v>0.77202099999999996</v>
      </c>
      <c r="O917">
        <v>0.77202099999999996</v>
      </c>
      <c r="P917" t="str">
        <f>"11"</f>
        <v>11</v>
      </c>
      <c r="Q917" t="s">
        <v>835</v>
      </c>
      <c r="S917" t="s">
        <v>860</v>
      </c>
      <c r="T917" t="s">
        <v>836</v>
      </c>
      <c r="U917" t="str">
        <f>"2500-12-31 00:00:00.0"</f>
        <v>2500-12-31 00:00:00.0</v>
      </c>
      <c r="V917" t="s">
        <v>837</v>
      </c>
      <c r="W917" t="str">
        <f t="shared" si="256"/>
        <v>048314-004796-**-**</v>
      </c>
      <c r="X917" t="s">
        <v>838</v>
      </c>
      <c r="Y917">
        <v>968.5</v>
      </c>
      <c r="Z917">
        <v>1254.5</v>
      </c>
      <c r="AA917" t="str">
        <f t="shared" si="253"/>
        <v>06/08/2016</v>
      </c>
    </row>
    <row r="918" spans="1:27" x14ac:dyDescent="0.3">
      <c r="A918" t="str">
        <f t="shared" si="251"/>
        <v>048314</v>
      </c>
      <c r="B918" t="str">
        <f t="shared" si="244"/>
        <v>004796</v>
      </c>
      <c r="C918" t="s">
        <v>2527</v>
      </c>
      <c r="D918" t="s">
        <v>3839</v>
      </c>
      <c r="E918" t="s">
        <v>3840</v>
      </c>
      <c r="F918" t="s">
        <v>3841</v>
      </c>
      <c r="G918" t="s">
        <v>3842</v>
      </c>
      <c r="H918" t="str">
        <f t="shared" si="255"/>
        <v>048314</v>
      </c>
      <c r="I918" t="s">
        <v>833</v>
      </c>
      <c r="J918" t="str">
        <f>"2015-11-02 00:00:00.0"</f>
        <v>2015-11-02 00:00:00.0</v>
      </c>
      <c r="K918" t="s">
        <v>834</v>
      </c>
      <c r="L918" t="s">
        <v>0</v>
      </c>
      <c r="M918" t="str">
        <f t="shared" si="250"/>
        <v>048314</v>
      </c>
      <c r="N918">
        <v>0.77202099999999996</v>
      </c>
      <c r="O918">
        <v>0.77202099999999996</v>
      </c>
      <c r="P918" t="str">
        <f>"10"</f>
        <v>10</v>
      </c>
      <c r="Q918" t="s">
        <v>835</v>
      </c>
      <c r="S918" t="s">
        <v>860</v>
      </c>
      <c r="T918" t="s">
        <v>836</v>
      </c>
      <c r="U918" t="str">
        <f>"2500-12-31 00:00:00.0"</f>
        <v>2500-12-31 00:00:00.0</v>
      </c>
      <c r="V918" t="s">
        <v>837</v>
      </c>
      <c r="W918" t="str">
        <f t="shared" si="256"/>
        <v>048314-004796-**-**</v>
      </c>
      <c r="X918" t="s">
        <v>838</v>
      </c>
      <c r="Y918">
        <v>968.5</v>
      </c>
      <c r="Z918">
        <v>1254.5</v>
      </c>
      <c r="AA918" t="str">
        <f t="shared" si="253"/>
        <v>06/08/2016</v>
      </c>
    </row>
    <row r="919" spans="1:27" x14ac:dyDescent="0.3">
      <c r="A919" t="str">
        <f t="shared" si="251"/>
        <v>048314</v>
      </c>
      <c r="B919" t="str">
        <f t="shared" si="244"/>
        <v>004796</v>
      </c>
      <c r="C919" t="s">
        <v>2527</v>
      </c>
      <c r="D919" t="s">
        <v>3839</v>
      </c>
      <c r="E919" t="s">
        <v>3840</v>
      </c>
      <c r="F919" t="s">
        <v>3841</v>
      </c>
      <c r="G919" t="s">
        <v>3842</v>
      </c>
      <c r="H919" t="str">
        <f t="shared" si="255"/>
        <v>048314</v>
      </c>
      <c r="I919" t="s">
        <v>833</v>
      </c>
      <c r="J919" t="str">
        <f t="shared" ref="J919:J937" si="257">"2015-07-01 00:00:00.0"</f>
        <v>2015-07-01 00:00:00.0</v>
      </c>
      <c r="K919" t="s">
        <v>834</v>
      </c>
      <c r="L919" t="s">
        <v>0</v>
      </c>
      <c r="M919" t="str">
        <f t="shared" si="250"/>
        <v>048314</v>
      </c>
      <c r="N919">
        <v>0.22797899999999999</v>
      </c>
      <c r="O919">
        <v>0.22797899999999999</v>
      </c>
      <c r="P919" t="str">
        <f>"10"</f>
        <v>10</v>
      </c>
      <c r="Q919" t="s">
        <v>835</v>
      </c>
      <c r="S919" t="s">
        <v>836</v>
      </c>
      <c r="T919" t="s">
        <v>836</v>
      </c>
      <c r="U919" t="str">
        <f>"2015-11-01 00:00:00.0"</f>
        <v>2015-11-01 00:00:00.0</v>
      </c>
      <c r="V919" t="s">
        <v>837</v>
      </c>
      <c r="W919" t="str">
        <f t="shared" si="256"/>
        <v>048314-004796-**-**</v>
      </c>
      <c r="X919" t="s">
        <v>838</v>
      </c>
      <c r="Y919">
        <v>286</v>
      </c>
      <c r="Z919">
        <v>1254.5</v>
      </c>
      <c r="AA919" t="str">
        <f t="shared" si="253"/>
        <v>06/08/2016</v>
      </c>
    </row>
    <row r="920" spans="1:27" x14ac:dyDescent="0.3">
      <c r="A920" t="str">
        <f t="shared" si="251"/>
        <v>048314</v>
      </c>
      <c r="B920" t="str">
        <f t="shared" si="244"/>
        <v>004796</v>
      </c>
      <c r="C920" t="s">
        <v>1650</v>
      </c>
      <c r="D920" t="s">
        <v>3839</v>
      </c>
      <c r="E920" t="s">
        <v>3840</v>
      </c>
      <c r="F920" t="s">
        <v>3841</v>
      </c>
      <c r="G920" t="s">
        <v>3842</v>
      </c>
      <c r="H920" t="str">
        <f t="shared" si="255"/>
        <v>048314</v>
      </c>
      <c r="I920" t="s">
        <v>833</v>
      </c>
      <c r="J920" t="str">
        <f t="shared" si="257"/>
        <v>2015-07-01 00:00:00.0</v>
      </c>
      <c r="K920" t="s">
        <v>834</v>
      </c>
      <c r="L920" t="s">
        <v>0</v>
      </c>
      <c r="M920" t="str">
        <f t="shared" si="250"/>
        <v>048314</v>
      </c>
      <c r="N920">
        <v>1</v>
      </c>
      <c r="O920">
        <v>1</v>
      </c>
      <c r="P920" t="str">
        <f>"10"</f>
        <v>10</v>
      </c>
      <c r="Q920" t="s">
        <v>835</v>
      </c>
      <c r="S920" t="s">
        <v>836</v>
      </c>
      <c r="T920" t="s">
        <v>836</v>
      </c>
      <c r="U920" t="str">
        <f t="shared" ref="U920:U953" si="258">"2500-12-31 00:00:00.0"</f>
        <v>2500-12-31 00:00:00.0</v>
      </c>
      <c r="V920" t="s">
        <v>837</v>
      </c>
      <c r="W920" t="str">
        <f t="shared" si="256"/>
        <v>048314-004796-**-**</v>
      </c>
      <c r="X920" t="s">
        <v>838</v>
      </c>
      <c r="Y920">
        <v>1254.5</v>
      </c>
      <c r="Z920">
        <v>1254.5</v>
      </c>
      <c r="AA920" t="str">
        <f t="shared" si="253"/>
        <v>06/08/2016</v>
      </c>
    </row>
    <row r="921" spans="1:27" x14ac:dyDescent="0.3">
      <c r="A921" t="str">
        <f t="shared" si="251"/>
        <v>048314</v>
      </c>
      <c r="B921" t="str">
        <f t="shared" si="244"/>
        <v>004796</v>
      </c>
      <c r="C921" t="s">
        <v>1379</v>
      </c>
      <c r="D921" t="s">
        <v>3839</v>
      </c>
      <c r="E921" t="s">
        <v>3840</v>
      </c>
      <c r="F921" t="s">
        <v>3841</v>
      </c>
      <c r="G921" t="s">
        <v>3842</v>
      </c>
      <c r="H921" t="str">
        <f t="shared" si="255"/>
        <v>048314</v>
      </c>
      <c r="I921" t="s">
        <v>833</v>
      </c>
      <c r="J921" t="str">
        <f t="shared" si="257"/>
        <v>2015-07-01 00:00:00.0</v>
      </c>
      <c r="K921" t="s">
        <v>834</v>
      </c>
      <c r="L921" t="s">
        <v>0</v>
      </c>
      <c r="M921" t="str">
        <f t="shared" si="250"/>
        <v>048314</v>
      </c>
      <c r="N921">
        <v>1</v>
      </c>
      <c r="O921">
        <v>1</v>
      </c>
      <c r="P921" t="str">
        <f>"11"</f>
        <v>11</v>
      </c>
      <c r="Q921" t="s">
        <v>835</v>
      </c>
      <c r="S921" t="s">
        <v>836</v>
      </c>
      <c r="T921" t="s">
        <v>836</v>
      </c>
      <c r="U921" t="str">
        <f t="shared" si="258"/>
        <v>2500-12-31 00:00:00.0</v>
      </c>
      <c r="V921" t="s">
        <v>837</v>
      </c>
      <c r="W921" t="str">
        <f t="shared" si="256"/>
        <v>048314-004796-**-**</v>
      </c>
      <c r="X921" t="s">
        <v>838</v>
      </c>
      <c r="Y921">
        <v>1254.5</v>
      </c>
      <c r="Z921">
        <v>1254.5</v>
      </c>
      <c r="AA921" t="str">
        <f t="shared" si="253"/>
        <v>06/08/2016</v>
      </c>
    </row>
    <row r="922" spans="1:27" x14ac:dyDescent="0.3">
      <c r="A922" t="str">
        <f t="shared" si="251"/>
        <v>048314</v>
      </c>
      <c r="B922" t="str">
        <f t="shared" si="244"/>
        <v>004796</v>
      </c>
      <c r="C922" t="s">
        <v>1651</v>
      </c>
      <c r="D922" t="s">
        <v>3839</v>
      </c>
      <c r="E922" t="s">
        <v>3840</v>
      </c>
      <c r="F922" t="s">
        <v>3841</v>
      </c>
      <c r="G922" t="s">
        <v>3842</v>
      </c>
      <c r="H922" t="str">
        <f t="shared" si="255"/>
        <v>048314</v>
      </c>
      <c r="I922" t="s">
        <v>833</v>
      </c>
      <c r="J922" t="str">
        <f t="shared" si="257"/>
        <v>2015-07-01 00:00:00.0</v>
      </c>
      <c r="K922" t="s">
        <v>834</v>
      </c>
      <c r="L922" t="s">
        <v>0</v>
      </c>
      <c r="M922" t="str">
        <f t="shared" si="250"/>
        <v>048314</v>
      </c>
      <c r="N922">
        <v>1</v>
      </c>
      <c r="O922">
        <v>1</v>
      </c>
      <c r="P922" t="str">
        <f>"10"</f>
        <v>10</v>
      </c>
      <c r="Q922" t="s">
        <v>835</v>
      </c>
      <c r="S922" t="s">
        <v>836</v>
      </c>
      <c r="T922" t="s">
        <v>836</v>
      </c>
      <c r="U922" t="str">
        <f t="shared" si="258"/>
        <v>2500-12-31 00:00:00.0</v>
      </c>
      <c r="V922" t="s">
        <v>837</v>
      </c>
      <c r="W922" t="str">
        <f t="shared" si="256"/>
        <v>048314-004796-**-**</v>
      </c>
      <c r="X922" t="s">
        <v>838</v>
      </c>
      <c r="Y922">
        <v>1254.5</v>
      </c>
      <c r="Z922">
        <v>1254.5</v>
      </c>
      <c r="AA922" t="str">
        <f t="shared" si="253"/>
        <v>06/08/2016</v>
      </c>
    </row>
    <row r="923" spans="1:27" x14ac:dyDescent="0.3">
      <c r="A923" t="str">
        <f t="shared" si="251"/>
        <v>048314</v>
      </c>
      <c r="B923" t="str">
        <f t="shared" si="244"/>
        <v>004796</v>
      </c>
      <c r="C923" t="s">
        <v>1136</v>
      </c>
      <c r="D923" t="s">
        <v>3839</v>
      </c>
      <c r="E923" t="s">
        <v>3840</v>
      </c>
      <c r="F923" t="s">
        <v>3841</v>
      </c>
      <c r="G923" t="s">
        <v>3842</v>
      </c>
      <c r="H923" t="str">
        <f t="shared" si="255"/>
        <v>048314</v>
      </c>
      <c r="I923" t="s">
        <v>833</v>
      </c>
      <c r="J923" t="str">
        <f t="shared" si="257"/>
        <v>2015-07-01 00:00:00.0</v>
      </c>
      <c r="K923" t="s">
        <v>834</v>
      </c>
      <c r="L923" t="s">
        <v>0</v>
      </c>
      <c r="M923" t="str">
        <f t="shared" si="250"/>
        <v>048314</v>
      </c>
      <c r="N923">
        <v>1</v>
      </c>
      <c r="O923">
        <v>1</v>
      </c>
      <c r="P923" t="str">
        <f>"12"</f>
        <v>12</v>
      </c>
      <c r="Q923" t="s">
        <v>835</v>
      </c>
      <c r="S923" t="s">
        <v>836</v>
      </c>
      <c r="T923" t="s">
        <v>836</v>
      </c>
      <c r="U923" t="str">
        <f t="shared" si="258"/>
        <v>2500-12-31 00:00:00.0</v>
      </c>
      <c r="V923" t="s">
        <v>837</v>
      </c>
      <c r="W923" t="str">
        <f>"048314-004796-12-SE"</f>
        <v>048314-004796-12-SE</v>
      </c>
      <c r="X923" t="s">
        <v>838</v>
      </c>
      <c r="Y923">
        <v>1254.5</v>
      </c>
      <c r="Z923">
        <v>1254.5</v>
      </c>
      <c r="AA923" t="str">
        <f t="shared" si="253"/>
        <v>06/08/2016</v>
      </c>
    </row>
    <row r="924" spans="1:27" x14ac:dyDescent="0.3">
      <c r="A924" t="str">
        <f t="shared" si="251"/>
        <v>048314</v>
      </c>
      <c r="B924" t="str">
        <f t="shared" si="244"/>
        <v>004796</v>
      </c>
      <c r="C924" t="s">
        <v>1763</v>
      </c>
      <c r="D924" t="s">
        <v>3839</v>
      </c>
      <c r="E924" t="s">
        <v>3840</v>
      </c>
      <c r="F924" t="s">
        <v>3841</v>
      </c>
      <c r="G924" t="s">
        <v>3842</v>
      </c>
      <c r="H924" t="str">
        <f t="shared" si="255"/>
        <v>048314</v>
      </c>
      <c r="I924" t="s">
        <v>833</v>
      </c>
      <c r="J924" t="str">
        <f t="shared" si="257"/>
        <v>2015-07-01 00:00:00.0</v>
      </c>
      <c r="K924" t="s">
        <v>834</v>
      </c>
      <c r="L924" t="s">
        <v>0</v>
      </c>
      <c r="M924" t="str">
        <f t="shared" si="250"/>
        <v>048314</v>
      </c>
      <c r="N924">
        <v>1</v>
      </c>
      <c r="O924">
        <v>1</v>
      </c>
      <c r="P924" t="str">
        <f>"11"</f>
        <v>11</v>
      </c>
      <c r="Q924" t="s">
        <v>835</v>
      </c>
      <c r="S924" t="s">
        <v>836</v>
      </c>
      <c r="T924" t="s">
        <v>836</v>
      </c>
      <c r="U924" t="str">
        <f t="shared" si="258"/>
        <v>2500-12-31 00:00:00.0</v>
      </c>
      <c r="V924" t="s">
        <v>837</v>
      </c>
      <c r="W924" t="str">
        <f>"048314-004796-**-**"</f>
        <v>048314-004796-**-**</v>
      </c>
      <c r="X924" t="s">
        <v>838</v>
      </c>
      <c r="Y924">
        <v>1254.5</v>
      </c>
      <c r="Z924">
        <v>1254.5</v>
      </c>
      <c r="AA924" t="str">
        <f t="shared" si="253"/>
        <v>06/08/2016</v>
      </c>
    </row>
    <row r="925" spans="1:27" x14ac:dyDescent="0.3">
      <c r="A925" t="str">
        <f t="shared" si="251"/>
        <v>048314</v>
      </c>
      <c r="B925" t="str">
        <f t="shared" si="244"/>
        <v>004796</v>
      </c>
      <c r="C925" t="s">
        <v>1103</v>
      </c>
      <c r="D925" t="s">
        <v>3839</v>
      </c>
      <c r="E925" t="s">
        <v>3840</v>
      </c>
      <c r="F925" t="s">
        <v>3841</v>
      </c>
      <c r="G925" t="s">
        <v>3842</v>
      </c>
      <c r="H925" t="str">
        <f>"051243"</f>
        <v>051243</v>
      </c>
      <c r="I925" t="s">
        <v>833</v>
      </c>
      <c r="J925" t="str">
        <f t="shared" si="257"/>
        <v>2015-07-01 00:00:00.0</v>
      </c>
      <c r="K925" t="s">
        <v>834</v>
      </c>
      <c r="L925" t="s">
        <v>100</v>
      </c>
      <c r="M925" t="str">
        <f t="shared" si="250"/>
        <v>048314</v>
      </c>
      <c r="N925">
        <v>1</v>
      </c>
      <c r="O925">
        <v>1</v>
      </c>
      <c r="P925" t="str">
        <f>"12"</f>
        <v>12</v>
      </c>
      <c r="Q925" t="s">
        <v>835</v>
      </c>
      <c r="S925" t="s">
        <v>836</v>
      </c>
      <c r="T925" t="s">
        <v>836</v>
      </c>
      <c r="U925" t="str">
        <f t="shared" si="258"/>
        <v>2500-12-31 00:00:00.0</v>
      </c>
      <c r="V925" t="s">
        <v>886</v>
      </c>
      <c r="W925" t="str">
        <f>"051243-051250-12-SE"</f>
        <v>051243-051250-12-SE</v>
      </c>
      <c r="X925" t="s">
        <v>838</v>
      </c>
      <c r="Y925">
        <v>1105</v>
      </c>
      <c r="Z925">
        <v>1105</v>
      </c>
      <c r="AA925" t="str">
        <f>"05/21/2016"</f>
        <v>05/21/2016</v>
      </c>
    </row>
    <row r="926" spans="1:27" x14ac:dyDescent="0.3">
      <c r="A926" t="str">
        <f t="shared" si="251"/>
        <v>048314</v>
      </c>
      <c r="B926" t="str">
        <f t="shared" si="244"/>
        <v>004796</v>
      </c>
      <c r="C926" t="s">
        <v>1652</v>
      </c>
      <c r="D926" t="s">
        <v>3839</v>
      </c>
      <c r="E926" t="s">
        <v>3840</v>
      </c>
      <c r="F926" t="s">
        <v>3841</v>
      </c>
      <c r="G926" t="s">
        <v>3842</v>
      </c>
      <c r="H926" t="str">
        <f>"048363"</f>
        <v>048363</v>
      </c>
      <c r="I926" t="s">
        <v>833</v>
      </c>
      <c r="J926" t="str">
        <f t="shared" si="257"/>
        <v>2015-07-01 00:00:00.0</v>
      </c>
      <c r="K926" t="s">
        <v>834</v>
      </c>
      <c r="L926" t="s">
        <v>1</v>
      </c>
      <c r="M926" t="str">
        <f t="shared" si="250"/>
        <v>048314</v>
      </c>
      <c r="N926">
        <v>1</v>
      </c>
      <c r="O926">
        <v>1</v>
      </c>
      <c r="P926" t="str">
        <f>"10"</f>
        <v>10</v>
      </c>
      <c r="Q926" t="s">
        <v>835</v>
      </c>
      <c r="S926" t="s">
        <v>836</v>
      </c>
      <c r="T926" t="s">
        <v>836</v>
      </c>
      <c r="U926" t="str">
        <f t="shared" si="258"/>
        <v>2500-12-31 00:00:00.0</v>
      </c>
      <c r="V926" t="s">
        <v>837</v>
      </c>
      <c r="W926" t="str">
        <f>"048363-026229-**-**"</f>
        <v>048363-026229-**-**</v>
      </c>
      <c r="X926" t="s">
        <v>838</v>
      </c>
      <c r="Y926">
        <v>1127</v>
      </c>
      <c r="Z926">
        <v>1127</v>
      </c>
      <c r="AA926" t="str">
        <f>"06/15/2016"</f>
        <v>06/15/2016</v>
      </c>
    </row>
    <row r="927" spans="1:27" x14ac:dyDescent="0.3">
      <c r="A927" t="str">
        <f t="shared" si="251"/>
        <v>048314</v>
      </c>
      <c r="B927" t="str">
        <f t="shared" si="244"/>
        <v>004796</v>
      </c>
      <c r="C927" t="s">
        <v>1380</v>
      </c>
      <c r="D927" t="s">
        <v>3839</v>
      </c>
      <c r="E927" t="s">
        <v>3840</v>
      </c>
      <c r="F927" t="s">
        <v>3841</v>
      </c>
      <c r="G927" t="s">
        <v>3842</v>
      </c>
      <c r="H927" t="str">
        <f t="shared" ref="H927:H932" si="259">"048314"</f>
        <v>048314</v>
      </c>
      <c r="I927" t="s">
        <v>833</v>
      </c>
      <c r="J927" t="str">
        <f t="shared" si="257"/>
        <v>2015-07-01 00:00:00.0</v>
      </c>
      <c r="K927" t="s">
        <v>834</v>
      </c>
      <c r="L927" t="s">
        <v>0</v>
      </c>
      <c r="M927" t="str">
        <f t="shared" si="250"/>
        <v>048314</v>
      </c>
      <c r="N927">
        <v>1</v>
      </c>
      <c r="O927">
        <v>1</v>
      </c>
      <c r="P927" t="str">
        <f>"11"</f>
        <v>11</v>
      </c>
      <c r="Q927" t="s">
        <v>835</v>
      </c>
      <c r="S927" t="s">
        <v>836</v>
      </c>
      <c r="T927" t="s">
        <v>836</v>
      </c>
      <c r="U927" t="str">
        <f t="shared" si="258"/>
        <v>2500-12-31 00:00:00.0</v>
      </c>
      <c r="V927" t="s">
        <v>837</v>
      </c>
      <c r="W927" t="str">
        <f>"048314-004796-**-**"</f>
        <v>048314-004796-**-**</v>
      </c>
      <c r="X927" t="s">
        <v>838</v>
      </c>
      <c r="Y927">
        <v>1254.5</v>
      </c>
      <c r="Z927">
        <v>1254.5</v>
      </c>
      <c r="AA927" t="str">
        <f t="shared" ref="AA927:AA932" si="260">"06/08/2016"</f>
        <v>06/08/2016</v>
      </c>
    </row>
    <row r="928" spans="1:27" x14ac:dyDescent="0.3">
      <c r="A928" t="str">
        <f t="shared" si="251"/>
        <v>048314</v>
      </c>
      <c r="B928" t="str">
        <f t="shared" si="244"/>
        <v>004796</v>
      </c>
      <c r="C928" t="s">
        <v>3708</v>
      </c>
      <c r="D928" t="s">
        <v>3839</v>
      </c>
      <c r="E928" t="s">
        <v>3840</v>
      </c>
      <c r="F928" t="s">
        <v>3841</v>
      </c>
      <c r="G928" t="s">
        <v>3842</v>
      </c>
      <c r="H928" t="str">
        <f t="shared" si="259"/>
        <v>048314</v>
      </c>
      <c r="I928" t="s">
        <v>833</v>
      </c>
      <c r="J928" t="str">
        <f t="shared" si="257"/>
        <v>2015-07-01 00:00:00.0</v>
      </c>
      <c r="K928" t="s">
        <v>834</v>
      </c>
      <c r="L928" t="s">
        <v>0</v>
      </c>
      <c r="M928" t="str">
        <f t="shared" si="250"/>
        <v>048314</v>
      </c>
      <c r="N928">
        <v>1</v>
      </c>
      <c r="O928">
        <v>1</v>
      </c>
      <c r="P928" t="str">
        <f>"10"</f>
        <v>10</v>
      </c>
      <c r="Q928" t="str">
        <f>"10"</f>
        <v>10</v>
      </c>
      <c r="R928" t="str">
        <f>"2"</f>
        <v>2</v>
      </c>
      <c r="S928" t="s">
        <v>836</v>
      </c>
      <c r="T928" t="s">
        <v>836</v>
      </c>
      <c r="U928" t="str">
        <f t="shared" si="258"/>
        <v>2500-12-31 00:00:00.0</v>
      </c>
      <c r="V928" t="s">
        <v>837</v>
      </c>
      <c r="W928" t="str">
        <f>"048314-004796-**-**"</f>
        <v>048314-004796-**-**</v>
      </c>
      <c r="X928" t="s">
        <v>838</v>
      </c>
      <c r="Y928">
        <v>1254.5</v>
      </c>
      <c r="Z928">
        <v>1254.5</v>
      </c>
      <c r="AA928" t="str">
        <f t="shared" si="260"/>
        <v>06/08/2016</v>
      </c>
    </row>
    <row r="929" spans="1:27" x14ac:dyDescent="0.3">
      <c r="A929" t="str">
        <f t="shared" si="251"/>
        <v>048314</v>
      </c>
      <c r="B929" t="str">
        <f t="shared" si="244"/>
        <v>004796</v>
      </c>
      <c r="C929" t="s">
        <v>1056</v>
      </c>
      <c r="D929" t="s">
        <v>3839</v>
      </c>
      <c r="E929" t="s">
        <v>3840</v>
      </c>
      <c r="F929" t="s">
        <v>3841</v>
      </c>
      <c r="G929" t="s">
        <v>3842</v>
      </c>
      <c r="H929" t="str">
        <f t="shared" si="259"/>
        <v>048314</v>
      </c>
      <c r="I929" t="s">
        <v>833</v>
      </c>
      <c r="J929" t="str">
        <f t="shared" si="257"/>
        <v>2015-07-01 00:00:00.0</v>
      </c>
      <c r="K929" t="s">
        <v>834</v>
      </c>
      <c r="L929" t="s">
        <v>0</v>
      </c>
      <c r="M929" t="str">
        <f t="shared" si="250"/>
        <v>048314</v>
      </c>
      <c r="N929">
        <v>1</v>
      </c>
      <c r="O929">
        <v>1</v>
      </c>
      <c r="P929" t="str">
        <f>"12"</f>
        <v>12</v>
      </c>
      <c r="Q929" t="str">
        <f>"10"</f>
        <v>10</v>
      </c>
      <c r="R929" t="str">
        <f>"2"</f>
        <v>2</v>
      </c>
      <c r="S929" t="s">
        <v>836</v>
      </c>
      <c r="T929" t="s">
        <v>836</v>
      </c>
      <c r="U929" t="str">
        <f t="shared" si="258"/>
        <v>2500-12-31 00:00:00.0</v>
      </c>
      <c r="V929" t="s">
        <v>837</v>
      </c>
      <c r="W929" t="str">
        <f>"048314-004796-12-SE"</f>
        <v>048314-004796-12-SE</v>
      </c>
      <c r="X929" t="s">
        <v>838</v>
      </c>
      <c r="Y929">
        <v>1254.5</v>
      </c>
      <c r="Z929">
        <v>1254.5</v>
      </c>
      <c r="AA929" t="str">
        <f t="shared" si="260"/>
        <v>06/08/2016</v>
      </c>
    </row>
    <row r="930" spans="1:27" x14ac:dyDescent="0.3">
      <c r="A930" t="str">
        <f t="shared" si="251"/>
        <v>048314</v>
      </c>
      <c r="B930" t="str">
        <f t="shared" si="244"/>
        <v>004796</v>
      </c>
      <c r="C930" t="s">
        <v>1137</v>
      </c>
      <c r="D930" t="s">
        <v>3839</v>
      </c>
      <c r="E930" t="s">
        <v>3840</v>
      </c>
      <c r="F930" t="s">
        <v>3841</v>
      </c>
      <c r="G930" t="s">
        <v>3842</v>
      </c>
      <c r="H930" t="str">
        <f t="shared" si="259"/>
        <v>048314</v>
      </c>
      <c r="I930" t="s">
        <v>833</v>
      </c>
      <c r="J930" t="str">
        <f t="shared" si="257"/>
        <v>2015-07-01 00:00:00.0</v>
      </c>
      <c r="K930" t="s">
        <v>834</v>
      </c>
      <c r="L930" t="s">
        <v>0</v>
      </c>
      <c r="M930" t="str">
        <f t="shared" si="250"/>
        <v>048314</v>
      </c>
      <c r="N930">
        <v>1</v>
      </c>
      <c r="O930">
        <v>1</v>
      </c>
      <c r="P930" t="str">
        <f>"12"</f>
        <v>12</v>
      </c>
      <c r="Q930" t="s">
        <v>835</v>
      </c>
      <c r="S930" t="s">
        <v>836</v>
      </c>
      <c r="T930" t="s">
        <v>836</v>
      </c>
      <c r="U930" t="str">
        <f t="shared" si="258"/>
        <v>2500-12-31 00:00:00.0</v>
      </c>
      <c r="V930" t="s">
        <v>837</v>
      </c>
      <c r="W930" t="str">
        <f>"048314-004796-12-SE"</f>
        <v>048314-004796-12-SE</v>
      </c>
      <c r="X930" t="s">
        <v>838</v>
      </c>
      <c r="Y930">
        <v>1254.5</v>
      </c>
      <c r="Z930">
        <v>1254.5</v>
      </c>
      <c r="AA930" t="str">
        <f t="shared" si="260"/>
        <v>06/08/2016</v>
      </c>
    </row>
    <row r="931" spans="1:27" x14ac:dyDescent="0.3">
      <c r="A931" t="str">
        <f t="shared" si="251"/>
        <v>048314</v>
      </c>
      <c r="B931" t="str">
        <f t="shared" si="244"/>
        <v>004796</v>
      </c>
      <c r="C931" t="s">
        <v>1333</v>
      </c>
      <c r="D931" t="s">
        <v>3839</v>
      </c>
      <c r="E931" t="s">
        <v>3840</v>
      </c>
      <c r="F931" t="s">
        <v>3841</v>
      </c>
      <c r="G931" t="s">
        <v>3842</v>
      </c>
      <c r="H931" t="str">
        <f t="shared" si="259"/>
        <v>048314</v>
      </c>
      <c r="I931" t="s">
        <v>833</v>
      </c>
      <c r="J931" t="str">
        <f t="shared" si="257"/>
        <v>2015-07-01 00:00:00.0</v>
      </c>
      <c r="K931" t="s">
        <v>834</v>
      </c>
      <c r="L931" t="s">
        <v>0</v>
      </c>
      <c r="M931" t="str">
        <f t="shared" si="250"/>
        <v>048314</v>
      </c>
      <c r="N931">
        <v>1</v>
      </c>
      <c r="O931">
        <v>1</v>
      </c>
      <c r="P931" t="str">
        <f>"11"</f>
        <v>11</v>
      </c>
      <c r="Q931" t="s">
        <v>835</v>
      </c>
      <c r="S931" t="s">
        <v>836</v>
      </c>
      <c r="T931" t="s">
        <v>836</v>
      </c>
      <c r="U931" t="str">
        <f t="shared" si="258"/>
        <v>2500-12-31 00:00:00.0</v>
      </c>
      <c r="V931" t="s">
        <v>837</v>
      </c>
      <c r="W931" t="str">
        <f>"048314-004796-**-**"</f>
        <v>048314-004796-**-**</v>
      </c>
      <c r="X931" t="s">
        <v>838</v>
      </c>
      <c r="Y931">
        <v>1254.5</v>
      </c>
      <c r="Z931">
        <v>1254.5</v>
      </c>
      <c r="AA931" t="str">
        <f t="shared" si="260"/>
        <v>06/08/2016</v>
      </c>
    </row>
    <row r="932" spans="1:27" x14ac:dyDescent="0.3">
      <c r="A932" t="str">
        <f t="shared" si="251"/>
        <v>048314</v>
      </c>
      <c r="B932" t="str">
        <f t="shared" si="244"/>
        <v>004796</v>
      </c>
      <c r="C932" t="s">
        <v>1422</v>
      </c>
      <c r="D932" t="s">
        <v>3839</v>
      </c>
      <c r="E932" t="s">
        <v>3840</v>
      </c>
      <c r="F932" t="s">
        <v>3841</v>
      </c>
      <c r="G932" t="s">
        <v>3842</v>
      </c>
      <c r="H932" t="str">
        <f t="shared" si="259"/>
        <v>048314</v>
      </c>
      <c r="I932" t="s">
        <v>833</v>
      </c>
      <c r="J932" t="str">
        <f t="shared" si="257"/>
        <v>2015-07-01 00:00:00.0</v>
      </c>
      <c r="K932" t="s">
        <v>834</v>
      </c>
      <c r="L932" t="s">
        <v>0</v>
      </c>
      <c r="M932" t="str">
        <f t="shared" si="250"/>
        <v>048314</v>
      </c>
      <c r="N932">
        <v>1</v>
      </c>
      <c r="O932">
        <v>1</v>
      </c>
      <c r="P932" t="str">
        <f>"12"</f>
        <v>12</v>
      </c>
      <c r="Q932" t="s">
        <v>835</v>
      </c>
      <c r="S932" t="s">
        <v>836</v>
      </c>
      <c r="T932" t="s">
        <v>836</v>
      </c>
      <c r="U932" t="str">
        <f t="shared" si="258"/>
        <v>2500-12-31 00:00:00.0</v>
      </c>
      <c r="V932" t="s">
        <v>837</v>
      </c>
      <c r="W932" t="str">
        <f>"048314-004796-12-SE"</f>
        <v>048314-004796-12-SE</v>
      </c>
      <c r="X932" t="s">
        <v>838</v>
      </c>
      <c r="Y932">
        <v>1254.5</v>
      </c>
      <c r="Z932">
        <v>1254.5</v>
      </c>
      <c r="AA932" t="str">
        <f t="shared" si="260"/>
        <v>06/08/2016</v>
      </c>
    </row>
    <row r="933" spans="1:27" x14ac:dyDescent="0.3">
      <c r="A933" t="str">
        <f t="shared" si="251"/>
        <v>048314</v>
      </c>
      <c r="B933" t="str">
        <f t="shared" si="244"/>
        <v>004796</v>
      </c>
      <c r="C933" t="s">
        <v>1227</v>
      </c>
      <c r="D933" t="s">
        <v>3839</v>
      </c>
      <c r="E933" t="s">
        <v>3840</v>
      </c>
      <c r="F933" t="s">
        <v>3841</v>
      </c>
      <c r="G933" t="s">
        <v>3842</v>
      </c>
      <c r="H933" t="str">
        <f>"045328"</f>
        <v>045328</v>
      </c>
      <c r="I933" t="s">
        <v>833</v>
      </c>
      <c r="J933" t="str">
        <f t="shared" si="257"/>
        <v>2015-07-01 00:00:00.0</v>
      </c>
      <c r="K933" t="s">
        <v>834</v>
      </c>
      <c r="L933" t="s">
        <v>1</v>
      </c>
      <c r="M933" t="str">
        <f t="shared" si="250"/>
        <v>048314</v>
      </c>
      <c r="N933">
        <v>1</v>
      </c>
      <c r="O933">
        <v>1</v>
      </c>
      <c r="P933" t="str">
        <f>"12"</f>
        <v>12</v>
      </c>
      <c r="Q933" t="s">
        <v>835</v>
      </c>
      <c r="S933" t="s">
        <v>836</v>
      </c>
      <c r="T933" t="s">
        <v>836</v>
      </c>
      <c r="U933" t="str">
        <f t="shared" si="258"/>
        <v>2500-12-31 00:00:00.0</v>
      </c>
      <c r="V933" t="s">
        <v>837</v>
      </c>
      <c r="W933" t="str">
        <f>"045328-007062-12-SR"</f>
        <v>045328-007062-12-SR</v>
      </c>
      <c r="X933" t="s">
        <v>838</v>
      </c>
      <c r="Y933">
        <v>1214</v>
      </c>
      <c r="Z933">
        <v>1214</v>
      </c>
      <c r="AA933" t="str">
        <f>"06/04/2016"</f>
        <v>06/04/2016</v>
      </c>
    </row>
    <row r="934" spans="1:27" x14ac:dyDescent="0.3">
      <c r="A934" t="str">
        <f t="shared" si="251"/>
        <v>048314</v>
      </c>
      <c r="B934" t="str">
        <f t="shared" si="244"/>
        <v>004796</v>
      </c>
      <c r="C934" t="s">
        <v>1589</v>
      </c>
      <c r="D934" t="s">
        <v>3839</v>
      </c>
      <c r="E934" t="s">
        <v>3840</v>
      </c>
      <c r="F934" t="s">
        <v>3841</v>
      </c>
      <c r="G934" t="s">
        <v>3842</v>
      </c>
      <c r="H934" t="str">
        <f t="shared" ref="H934:H939" si="261">"048314"</f>
        <v>048314</v>
      </c>
      <c r="I934" t="s">
        <v>833</v>
      </c>
      <c r="J934" t="str">
        <f t="shared" si="257"/>
        <v>2015-07-01 00:00:00.0</v>
      </c>
      <c r="K934" t="s">
        <v>834</v>
      </c>
      <c r="L934" t="s">
        <v>0</v>
      </c>
      <c r="M934" t="str">
        <f t="shared" si="250"/>
        <v>048314</v>
      </c>
      <c r="N934">
        <v>1</v>
      </c>
      <c r="O934">
        <v>1</v>
      </c>
      <c r="P934" t="str">
        <f>"10"</f>
        <v>10</v>
      </c>
      <c r="Q934" t="s">
        <v>835</v>
      </c>
      <c r="S934" t="s">
        <v>836</v>
      </c>
      <c r="T934" t="s">
        <v>836</v>
      </c>
      <c r="U934" t="str">
        <f t="shared" si="258"/>
        <v>2500-12-31 00:00:00.0</v>
      </c>
      <c r="V934" t="s">
        <v>837</v>
      </c>
      <c r="W934" t="str">
        <f t="shared" ref="W934:W939" si="262">"048314-004796-**-**"</f>
        <v>048314-004796-**-**</v>
      </c>
      <c r="X934" t="s">
        <v>838</v>
      </c>
      <c r="Y934">
        <v>1254.5</v>
      </c>
      <c r="Z934">
        <v>1254.5</v>
      </c>
      <c r="AA934" t="str">
        <f t="shared" ref="AA934:AA939" si="263">"06/08/2016"</f>
        <v>06/08/2016</v>
      </c>
    </row>
    <row r="935" spans="1:27" x14ac:dyDescent="0.3">
      <c r="A935" t="str">
        <f t="shared" si="251"/>
        <v>048314</v>
      </c>
      <c r="B935" t="str">
        <f t="shared" si="244"/>
        <v>004796</v>
      </c>
      <c r="C935" t="s">
        <v>1334</v>
      </c>
      <c r="D935" t="s">
        <v>3839</v>
      </c>
      <c r="E935" t="s">
        <v>3840</v>
      </c>
      <c r="F935" t="s">
        <v>3841</v>
      </c>
      <c r="G935" t="s">
        <v>3842</v>
      </c>
      <c r="H935" t="str">
        <f t="shared" si="261"/>
        <v>048314</v>
      </c>
      <c r="I935" t="s">
        <v>833</v>
      </c>
      <c r="J935" t="str">
        <f t="shared" si="257"/>
        <v>2015-07-01 00:00:00.0</v>
      </c>
      <c r="K935" t="s">
        <v>834</v>
      </c>
      <c r="L935" t="s">
        <v>0</v>
      </c>
      <c r="M935" t="str">
        <f t="shared" si="250"/>
        <v>048314</v>
      </c>
      <c r="N935">
        <v>1</v>
      </c>
      <c r="O935">
        <v>1</v>
      </c>
      <c r="P935" t="str">
        <f>"11"</f>
        <v>11</v>
      </c>
      <c r="Q935" t="s">
        <v>835</v>
      </c>
      <c r="S935" t="s">
        <v>836</v>
      </c>
      <c r="T935" t="s">
        <v>836</v>
      </c>
      <c r="U935" t="str">
        <f t="shared" si="258"/>
        <v>2500-12-31 00:00:00.0</v>
      </c>
      <c r="V935" t="s">
        <v>837</v>
      </c>
      <c r="W935" t="str">
        <f t="shared" si="262"/>
        <v>048314-004796-**-**</v>
      </c>
      <c r="X935" t="s">
        <v>838</v>
      </c>
      <c r="Y935">
        <v>1254.5</v>
      </c>
      <c r="Z935">
        <v>1254.5</v>
      </c>
      <c r="AA935" t="str">
        <f t="shared" si="263"/>
        <v>06/08/2016</v>
      </c>
    </row>
    <row r="936" spans="1:27" x14ac:dyDescent="0.3">
      <c r="A936" t="str">
        <f t="shared" si="251"/>
        <v>048314</v>
      </c>
      <c r="B936" t="str">
        <f t="shared" si="244"/>
        <v>004796</v>
      </c>
      <c r="C936" t="s">
        <v>1335</v>
      </c>
      <c r="D936" t="s">
        <v>3839</v>
      </c>
      <c r="E936" t="s">
        <v>3840</v>
      </c>
      <c r="F936" t="s">
        <v>3841</v>
      </c>
      <c r="G936" t="s">
        <v>3842</v>
      </c>
      <c r="H936" t="str">
        <f t="shared" si="261"/>
        <v>048314</v>
      </c>
      <c r="I936" t="s">
        <v>833</v>
      </c>
      <c r="J936" t="str">
        <f t="shared" si="257"/>
        <v>2015-07-01 00:00:00.0</v>
      </c>
      <c r="K936" t="s">
        <v>834</v>
      </c>
      <c r="L936" t="s">
        <v>0</v>
      </c>
      <c r="M936" t="str">
        <f t="shared" si="250"/>
        <v>048314</v>
      </c>
      <c r="N936">
        <v>1</v>
      </c>
      <c r="O936">
        <v>1</v>
      </c>
      <c r="P936" t="str">
        <f>"11"</f>
        <v>11</v>
      </c>
      <c r="Q936" t="s">
        <v>835</v>
      </c>
      <c r="S936" t="s">
        <v>836</v>
      </c>
      <c r="T936" t="s">
        <v>836</v>
      </c>
      <c r="U936" t="str">
        <f t="shared" si="258"/>
        <v>2500-12-31 00:00:00.0</v>
      </c>
      <c r="V936" t="s">
        <v>837</v>
      </c>
      <c r="W936" t="str">
        <f t="shared" si="262"/>
        <v>048314-004796-**-**</v>
      </c>
      <c r="X936" t="s">
        <v>838</v>
      </c>
      <c r="Y936">
        <v>1254.5</v>
      </c>
      <c r="Z936">
        <v>1254.5</v>
      </c>
      <c r="AA936" t="str">
        <f t="shared" si="263"/>
        <v>06/08/2016</v>
      </c>
    </row>
    <row r="937" spans="1:27" x14ac:dyDescent="0.3">
      <c r="A937" t="str">
        <f t="shared" si="251"/>
        <v>048314</v>
      </c>
      <c r="B937" t="str">
        <f t="shared" si="244"/>
        <v>004796</v>
      </c>
      <c r="C937" t="s">
        <v>3707</v>
      </c>
      <c r="D937" t="s">
        <v>3839</v>
      </c>
      <c r="E937" t="s">
        <v>3840</v>
      </c>
      <c r="F937" t="s">
        <v>3841</v>
      </c>
      <c r="G937" t="s">
        <v>3842</v>
      </c>
      <c r="H937" t="str">
        <f t="shared" si="261"/>
        <v>048314</v>
      </c>
      <c r="I937" t="s">
        <v>833</v>
      </c>
      <c r="J937" t="str">
        <f t="shared" si="257"/>
        <v>2015-07-01 00:00:00.0</v>
      </c>
      <c r="K937" t="s">
        <v>834</v>
      </c>
      <c r="L937" t="s">
        <v>0</v>
      </c>
      <c r="M937" t="str">
        <f t="shared" si="250"/>
        <v>048314</v>
      </c>
      <c r="N937">
        <v>1</v>
      </c>
      <c r="O937">
        <v>1</v>
      </c>
      <c r="P937" t="str">
        <f>"11"</f>
        <v>11</v>
      </c>
      <c r="Q937" t="s">
        <v>835</v>
      </c>
      <c r="S937" t="s">
        <v>836</v>
      </c>
      <c r="T937" t="s">
        <v>836</v>
      </c>
      <c r="U937" t="str">
        <f t="shared" si="258"/>
        <v>2500-12-31 00:00:00.0</v>
      </c>
      <c r="V937" t="s">
        <v>837</v>
      </c>
      <c r="W937" t="str">
        <f t="shared" si="262"/>
        <v>048314-004796-**-**</v>
      </c>
      <c r="X937" t="s">
        <v>838</v>
      </c>
      <c r="Y937">
        <v>1254.5</v>
      </c>
      <c r="Z937">
        <v>1254.5</v>
      </c>
      <c r="AA937" t="str">
        <f t="shared" si="263"/>
        <v>06/08/2016</v>
      </c>
    </row>
    <row r="938" spans="1:27" x14ac:dyDescent="0.3">
      <c r="A938" t="str">
        <f t="shared" si="251"/>
        <v>048314</v>
      </c>
      <c r="B938" t="str">
        <f t="shared" si="244"/>
        <v>004796</v>
      </c>
      <c r="C938" t="s">
        <v>3674</v>
      </c>
      <c r="D938" t="s">
        <v>3839</v>
      </c>
      <c r="E938" t="s">
        <v>3840</v>
      </c>
      <c r="F938" t="s">
        <v>3841</v>
      </c>
      <c r="G938" t="s">
        <v>3842</v>
      </c>
      <c r="H938" t="str">
        <f t="shared" si="261"/>
        <v>048314</v>
      </c>
      <c r="I938" t="s">
        <v>833</v>
      </c>
      <c r="J938" t="str">
        <f>"2015-08-03 00:00:00.0"</f>
        <v>2015-08-03 00:00:00.0</v>
      </c>
      <c r="K938" t="s">
        <v>834</v>
      </c>
      <c r="L938" t="s">
        <v>0</v>
      </c>
      <c r="M938" t="str">
        <f t="shared" si="250"/>
        <v>048314</v>
      </c>
      <c r="N938">
        <v>1</v>
      </c>
      <c r="O938">
        <v>1</v>
      </c>
      <c r="P938" t="str">
        <f>"10"</f>
        <v>10</v>
      </c>
      <c r="Q938" t="s">
        <v>835</v>
      </c>
      <c r="S938" t="s">
        <v>836</v>
      </c>
      <c r="T938" t="s">
        <v>836</v>
      </c>
      <c r="U938" t="str">
        <f t="shared" si="258"/>
        <v>2500-12-31 00:00:00.0</v>
      </c>
      <c r="V938" t="s">
        <v>837</v>
      </c>
      <c r="W938" t="str">
        <f t="shared" si="262"/>
        <v>048314-004796-**-**</v>
      </c>
      <c r="X938" t="s">
        <v>838</v>
      </c>
      <c r="Y938">
        <v>1254.5</v>
      </c>
      <c r="Z938">
        <v>1254.5</v>
      </c>
      <c r="AA938" t="str">
        <f t="shared" si="263"/>
        <v>06/08/2016</v>
      </c>
    </row>
    <row r="939" spans="1:27" x14ac:dyDescent="0.3">
      <c r="A939" t="str">
        <f t="shared" si="251"/>
        <v>048314</v>
      </c>
      <c r="B939" t="str">
        <f t="shared" si="244"/>
        <v>004796</v>
      </c>
      <c r="C939" t="s">
        <v>1459</v>
      </c>
      <c r="D939" t="s">
        <v>3839</v>
      </c>
      <c r="E939" t="s">
        <v>3840</v>
      </c>
      <c r="F939" t="s">
        <v>3841</v>
      </c>
      <c r="G939" t="s">
        <v>3842</v>
      </c>
      <c r="H939" t="str">
        <f t="shared" si="261"/>
        <v>048314</v>
      </c>
      <c r="I939" t="s">
        <v>833</v>
      </c>
      <c r="J939" t="str">
        <f>"2015-07-01 00:00:00.0"</f>
        <v>2015-07-01 00:00:00.0</v>
      </c>
      <c r="K939" t="s">
        <v>834</v>
      </c>
      <c r="L939" t="s">
        <v>0</v>
      </c>
      <c r="M939" t="str">
        <f t="shared" si="250"/>
        <v>048314</v>
      </c>
      <c r="N939">
        <v>1</v>
      </c>
      <c r="O939">
        <v>1</v>
      </c>
      <c r="P939" t="str">
        <f>"11"</f>
        <v>11</v>
      </c>
      <c r="Q939" t="s">
        <v>835</v>
      </c>
      <c r="S939" t="s">
        <v>836</v>
      </c>
      <c r="T939" t="s">
        <v>836</v>
      </c>
      <c r="U939" t="str">
        <f t="shared" si="258"/>
        <v>2500-12-31 00:00:00.0</v>
      </c>
      <c r="V939" t="s">
        <v>837</v>
      </c>
      <c r="W939" t="str">
        <f t="shared" si="262"/>
        <v>048314-004796-**-**</v>
      </c>
      <c r="X939" t="s">
        <v>838</v>
      </c>
      <c r="Y939">
        <v>1254.5</v>
      </c>
      <c r="Z939">
        <v>1254.5</v>
      </c>
      <c r="AA939" t="str">
        <f t="shared" si="263"/>
        <v>06/08/2016</v>
      </c>
    </row>
    <row r="940" spans="1:27" x14ac:dyDescent="0.3">
      <c r="A940" t="str">
        <f t="shared" si="251"/>
        <v>048314</v>
      </c>
      <c r="B940" t="str">
        <f t="shared" si="244"/>
        <v>004796</v>
      </c>
      <c r="C940" t="s">
        <v>1410</v>
      </c>
      <c r="D940" t="s">
        <v>3839</v>
      </c>
      <c r="E940" t="s">
        <v>3840</v>
      </c>
      <c r="F940" t="s">
        <v>3841</v>
      </c>
      <c r="G940" t="s">
        <v>3842</v>
      </c>
      <c r="H940" t="str">
        <f>"051243"</f>
        <v>051243</v>
      </c>
      <c r="I940" t="s">
        <v>833</v>
      </c>
      <c r="J940" t="str">
        <f>"2015-08-03 00:00:00.0"</f>
        <v>2015-08-03 00:00:00.0</v>
      </c>
      <c r="K940" t="s">
        <v>834</v>
      </c>
      <c r="L940" t="s">
        <v>100</v>
      </c>
      <c r="M940" t="str">
        <f t="shared" si="250"/>
        <v>048314</v>
      </c>
      <c r="N940">
        <v>1</v>
      </c>
      <c r="O940">
        <v>1</v>
      </c>
      <c r="P940" t="str">
        <f>"11"</f>
        <v>11</v>
      </c>
      <c r="Q940" t="str">
        <f>"15"</f>
        <v>15</v>
      </c>
      <c r="R940" t="str">
        <f>"2"</f>
        <v>2</v>
      </c>
      <c r="S940" t="s">
        <v>836</v>
      </c>
      <c r="T940" t="s">
        <v>836</v>
      </c>
      <c r="U940" t="str">
        <f t="shared" si="258"/>
        <v>2500-12-31 00:00:00.0</v>
      </c>
      <c r="V940" t="s">
        <v>886</v>
      </c>
      <c r="W940" t="str">
        <f>"051243-051250-11-**"</f>
        <v>051243-051250-11-**</v>
      </c>
      <c r="X940" t="s">
        <v>838</v>
      </c>
      <c r="Y940">
        <v>1144</v>
      </c>
      <c r="Z940">
        <v>1144</v>
      </c>
      <c r="AA940" t="str">
        <f>"05/21/2016"</f>
        <v>05/21/2016</v>
      </c>
    </row>
    <row r="941" spans="1:27" x14ac:dyDescent="0.3">
      <c r="A941" t="str">
        <f t="shared" si="251"/>
        <v>048314</v>
      </c>
      <c r="B941" t="str">
        <f t="shared" ref="B941:B1004" si="264">"004796"</f>
        <v>004796</v>
      </c>
      <c r="C941" t="s">
        <v>1653</v>
      </c>
      <c r="D941" t="s">
        <v>3839</v>
      </c>
      <c r="E941" t="s">
        <v>3840</v>
      </c>
      <c r="F941" t="s">
        <v>3841</v>
      </c>
      <c r="G941" t="s">
        <v>3842</v>
      </c>
      <c r="H941" t="str">
        <f t="shared" ref="H941:H1004" si="265">"048314"</f>
        <v>048314</v>
      </c>
      <c r="I941" t="s">
        <v>833</v>
      </c>
      <c r="J941" t="str">
        <f t="shared" ref="J941:J952" si="266">"2015-07-01 00:00:00.0"</f>
        <v>2015-07-01 00:00:00.0</v>
      </c>
      <c r="K941" t="s">
        <v>834</v>
      </c>
      <c r="L941" t="s">
        <v>0</v>
      </c>
      <c r="M941" t="str">
        <f t="shared" si="250"/>
        <v>048314</v>
      </c>
      <c r="N941">
        <v>1</v>
      </c>
      <c r="O941">
        <v>1</v>
      </c>
      <c r="P941" t="str">
        <f>"10"</f>
        <v>10</v>
      </c>
      <c r="Q941" t="s">
        <v>835</v>
      </c>
      <c r="S941" t="s">
        <v>836</v>
      </c>
      <c r="T941" t="s">
        <v>836</v>
      </c>
      <c r="U941" t="str">
        <f t="shared" si="258"/>
        <v>2500-12-31 00:00:00.0</v>
      </c>
      <c r="V941" t="s">
        <v>837</v>
      </c>
      <c r="W941" t="str">
        <f>"048314-004796-**-**"</f>
        <v>048314-004796-**-**</v>
      </c>
      <c r="X941" t="s">
        <v>838</v>
      </c>
      <c r="Y941">
        <v>1254.5</v>
      </c>
      <c r="Z941">
        <v>1254.5</v>
      </c>
      <c r="AA941" t="str">
        <f t="shared" ref="AA941:AA1004" si="267">"06/08/2016"</f>
        <v>06/08/2016</v>
      </c>
    </row>
    <row r="942" spans="1:27" x14ac:dyDescent="0.3">
      <c r="A942" t="str">
        <f t="shared" si="251"/>
        <v>048314</v>
      </c>
      <c r="B942" t="str">
        <f t="shared" si="264"/>
        <v>004796</v>
      </c>
      <c r="C942" t="s">
        <v>1138</v>
      </c>
      <c r="D942" t="s">
        <v>3839</v>
      </c>
      <c r="E942" t="s">
        <v>3840</v>
      </c>
      <c r="F942" t="s">
        <v>3841</v>
      </c>
      <c r="G942" t="s">
        <v>3842</v>
      </c>
      <c r="H942" t="str">
        <f t="shared" si="265"/>
        <v>048314</v>
      </c>
      <c r="I942" t="s">
        <v>833</v>
      </c>
      <c r="J942" t="str">
        <f t="shared" si="266"/>
        <v>2015-07-01 00:00:00.0</v>
      </c>
      <c r="K942" t="s">
        <v>834</v>
      </c>
      <c r="L942" t="s">
        <v>0</v>
      </c>
      <c r="M942" t="str">
        <f t="shared" si="250"/>
        <v>048314</v>
      </c>
      <c r="N942">
        <v>1</v>
      </c>
      <c r="O942">
        <v>1</v>
      </c>
      <c r="P942" t="str">
        <f>"12"</f>
        <v>12</v>
      </c>
      <c r="Q942" t="s">
        <v>835</v>
      </c>
      <c r="S942" t="s">
        <v>836</v>
      </c>
      <c r="T942" t="s">
        <v>836</v>
      </c>
      <c r="U942" t="str">
        <f t="shared" si="258"/>
        <v>2500-12-31 00:00:00.0</v>
      </c>
      <c r="V942" t="s">
        <v>837</v>
      </c>
      <c r="W942" t="str">
        <f>"048314-004796-12-SE"</f>
        <v>048314-004796-12-SE</v>
      </c>
      <c r="X942" t="s">
        <v>838</v>
      </c>
      <c r="Y942">
        <v>1254.5</v>
      </c>
      <c r="Z942">
        <v>1254.5</v>
      </c>
      <c r="AA942" t="str">
        <f t="shared" si="267"/>
        <v>06/08/2016</v>
      </c>
    </row>
    <row r="943" spans="1:27" x14ac:dyDescent="0.3">
      <c r="A943" t="str">
        <f t="shared" si="251"/>
        <v>048314</v>
      </c>
      <c r="B943" t="str">
        <f t="shared" si="264"/>
        <v>004796</v>
      </c>
      <c r="C943" t="s">
        <v>1336</v>
      </c>
      <c r="D943" t="s">
        <v>3839</v>
      </c>
      <c r="E943" t="s">
        <v>3840</v>
      </c>
      <c r="F943" t="s">
        <v>3841</v>
      </c>
      <c r="G943" t="s">
        <v>3842</v>
      </c>
      <c r="H943" t="str">
        <f t="shared" si="265"/>
        <v>048314</v>
      </c>
      <c r="I943" t="s">
        <v>833</v>
      </c>
      <c r="J943" t="str">
        <f t="shared" si="266"/>
        <v>2015-07-01 00:00:00.0</v>
      </c>
      <c r="K943" t="s">
        <v>834</v>
      </c>
      <c r="L943" t="s">
        <v>0</v>
      </c>
      <c r="M943" t="str">
        <f t="shared" si="250"/>
        <v>048314</v>
      </c>
      <c r="N943">
        <v>1</v>
      </c>
      <c r="O943">
        <v>1</v>
      </c>
      <c r="P943" t="str">
        <f>"11"</f>
        <v>11</v>
      </c>
      <c r="Q943" t="s">
        <v>835</v>
      </c>
      <c r="S943" t="s">
        <v>836</v>
      </c>
      <c r="T943" t="s">
        <v>836</v>
      </c>
      <c r="U943" t="str">
        <f t="shared" si="258"/>
        <v>2500-12-31 00:00:00.0</v>
      </c>
      <c r="V943" t="s">
        <v>837</v>
      </c>
      <c r="W943" t="str">
        <f>"048314-004796-**-**"</f>
        <v>048314-004796-**-**</v>
      </c>
      <c r="X943" t="s">
        <v>838</v>
      </c>
      <c r="Y943">
        <v>1254.5</v>
      </c>
      <c r="Z943">
        <v>1254.5</v>
      </c>
      <c r="AA943" t="str">
        <f t="shared" si="267"/>
        <v>06/08/2016</v>
      </c>
    </row>
    <row r="944" spans="1:27" x14ac:dyDescent="0.3">
      <c r="A944" t="str">
        <f t="shared" si="251"/>
        <v>048314</v>
      </c>
      <c r="B944" t="str">
        <f t="shared" si="264"/>
        <v>004796</v>
      </c>
      <c r="C944" t="s">
        <v>1235</v>
      </c>
      <c r="D944" t="s">
        <v>3839</v>
      </c>
      <c r="E944" t="s">
        <v>3840</v>
      </c>
      <c r="F944" t="s">
        <v>3841</v>
      </c>
      <c r="G944" t="s">
        <v>3842</v>
      </c>
      <c r="H944" t="str">
        <f t="shared" si="265"/>
        <v>048314</v>
      </c>
      <c r="I944" t="s">
        <v>833</v>
      </c>
      <c r="J944" t="str">
        <f t="shared" si="266"/>
        <v>2015-07-01 00:00:00.0</v>
      </c>
      <c r="K944" t="s">
        <v>834</v>
      </c>
      <c r="L944" t="s">
        <v>0</v>
      </c>
      <c r="M944" t="str">
        <f t="shared" si="250"/>
        <v>048314</v>
      </c>
      <c r="N944">
        <v>1</v>
      </c>
      <c r="O944">
        <v>1</v>
      </c>
      <c r="P944" t="str">
        <f>"11"</f>
        <v>11</v>
      </c>
      <c r="Q944" t="s">
        <v>835</v>
      </c>
      <c r="S944" t="s">
        <v>836</v>
      </c>
      <c r="T944" t="s">
        <v>836</v>
      </c>
      <c r="U944" t="str">
        <f t="shared" si="258"/>
        <v>2500-12-31 00:00:00.0</v>
      </c>
      <c r="V944" t="s">
        <v>837</v>
      </c>
      <c r="W944" t="str">
        <f>"048314-004796-**-**"</f>
        <v>048314-004796-**-**</v>
      </c>
      <c r="X944" t="s">
        <v>838</v>
      </c>
      <c r="Y944">
        <v>1254.5</v>
      </c>
      <c r="Z944">
        <v>1254.5</v>
      </c>
      <c r="AA944" t="str">
        <f t="shared" si="267"/>
        <v>06/08/2016</v>
      </c>
    </row>
    <row r="945" spans="1:27" x14ac:dyDescent="0.3">
      <c r="A945" t="str">
        <f t="shared" si="251"/>
        <v>048314</v>
      </c>
      <c r="B945" t="str">
        <f t="shared" si="264"/>
        <v>004796</v>
      </c>
      <c r="C945" t="s">
        <v>3489</v>
      </c>
      <c r="D945" t="s">
        <v>3839</v>
      </c>
      <c r="E945" t="s">
        <v>3840</v>
      </c>
      <c r="F945" t="s">
        <v>3841</v>
      </c>
      <c r="G945" t="s">
        <v>3842</v>
      </c>
      <c r="H945" t="str">
        <f t="shared" si="265"/>
        <v>048314</v>
      </c>
      <c r="I945" t="s">
        <v>833</v>
      </c>
      <c r="J945" t="str">
        <f t="shared" si="266"/>
        <v>2015-07-01 00:00:00.0</v>
      </c>
      <c r="K945" t="s">
        <v>834</v>
      </c>
      <c r="L945" t="s">
        <v>0</v>
      </c>
      <c r="M945" t="str">
        <f t="shared" si="250"/>
        <v>048314</v>
      </c>
      <c r="N945">
        <v>1</v>
      </c>
      <c r="O945">
        <v>1</v>
      </c>
      <c r="P945" t="str">
        <f>"11"</f>
        <v>11</v>
      </c>
      <c r="Q945" t="s">
        <v>835</v>
      </c>
      <c r="S945" t="s">
        <v>836</v>
      </c>
      <c r="T945" t="s">
        <v>836</v>
      </c>
      <c r="U945" t="str">
        <f t="shared" si="258"/>
        <v>2500-12-31 00:00:00.0</v>
      </c>
      <c r="V945" t="s">
        <v>837</v>
      </c>
      <c r="W945" t="str">
        <f>"048314-004796-**-**"</f>
        <v>048314-004796-**-**</v>
      </c>
      <c r="X945" t="s">
        <v>838</v>
      </c>
      <c r="Y945">
        <v>1254.5</v>
      </c>
      <c r="Z945">
        <v>1254.5</v>
      </c>
      <c r="AA945" t="str">
        <f t="shared" si="267"/>
        <v>06/08/2016</v>
      </c>
    </row>
    <row r="946" spans="1:27" x14ac:dyDescent="0.3">
      <c r="A946" t="str">
        <f t="shared" si="251"/>
        <v>048314</v>
      </c>
      <c r="B946" t="str">
        <f t="shared" si="264"/>
        <v>004796</v>
      </c>
      <c r="C946" t="s">
        <v>2552</v>
      </c>
      <c r="D946" t="s">
        <v>3839</v>
      </c>
      <c r="E946" t="s">
        <v>3840</v>
      </c>
      <c r="F946" t="s">
        <v>3841</v>
      </c>
      <c r="G946" t="s">
        <v>3842</v>
      </c>
      <c r="H946" t="str">
        <f t="shared" si="265"/>
        <v>048314</v>
      </c>
      <c r="I946" t="s">
        <v>833</v>
      </c>
      <c r="J946" t="str">
        <f t="shared" si="266"/>
        <v>2015-07-01 00:00:00.0</v>
      </c>
      <c r="K946" t="s">
        <v>834</v>
      </c>
      <c r="L946" t="s">
        <v>0</v>
      </c>
      <c r="M946" t="str">
        <f t="shared" si="250"/>
        <v>048314</v>
      </c>
      <c r="N946">
        <v>1</v>
      </c>
      <c r="O946">
        <v>1</v>
      </c>
      <c r="P946" t="str">
        <f>"10"</f>
        <v>10</v>
      </c>
      <c r="Q946" t="s">
        <v>835</v>
      </c>
      <c r="S946" t="s">
        <v>836</v>
      </c>
      <c r="T946" t="s">
        <v>836</v>
      </c>
      <c r="U946" t="str">
        <f t="shared" si="258"/>
        <v>2500-12-31 00:00:00.0</v>
      </c>
      <c r="V946" t="s">
        <v>837</v>
      </c>
      <c r="W946" t="str">
        <f>"048314-004796-**-**"</f>
        <v>048314-004796-**-**</v>
      </c>
      <c r="X946" t="s">
        <v>838</v>
      </c>
      <c r="Y946">
        <v>1254.5</v>
      </c>
      <c r="Z946">
        <v>1254.5</v>
      </c>
      <c r="AA946" t="str">
        <f t="shared" si="267"/>
        <v>06/08/2016</v>
      </c>
    </row>
    <row r="947" spans="1:27" x14ac:dyDescent="0.3">
      <c r="A947" t="str">
        <f t="shared" si="251"/>
        <v>048314</v>
      </c>
      <c r="B947" t="str">
        <f t="shared" si="264"/>
        <v>004796</v>
      </c>
      <c r="C947" t="s">
        <v>1183</v>
      </c>
      <c r="D947" t="s">
        <v>3839</v>
      </c>
      <c r="E947" t="s">
        <v>3840</v>
      </c>
      <c r="F947" t="s">
        <v>3841</v>
      </c>
      <c r="G947" t="s">
        <v>3842</v>
      </c>
      <c r="H947" t="str">
        <f t="shared" si="265"/>
        <v>048314</v>
      </c>
      <c r="I947" t="s">
        <v>833</v>
      </c>
      <c r="J947" t="str">
        <f t="shared" si="266"/>
        <v>2015-07-01 00:00:00.0</v>
      </c>
      <c r="K947" t="s">
        <v>834</v>
      </c>
      <c r="L947" t="s">
        <v>0</v>
      </c>
      <c r="M947" t="str">
        <f t="shared" si="250"/>
        <v>048314</v>
      </c>
      <c r="N947">
        <v>1</v>
      </c>
      <c r="O947">
        <v>1</v>
      </c>
      <c r="P947" t="str">
        <f>"12"</f>
        <v>12</v>
      </c>
      <c r="Q947" t="s">
        <v>835</v>
      </c>
      <c r="S947" t="s">
        <v>836</v>
      </c>
      <c r="T947" t="s">
        <v>836</v>
      </c>
      <c r="U947" t="str">
        <f t="shared" si="258"/>
        <v>2500-12-31 00:00:00.0</v>
      </c>
      <c r="V947" t="s">
        <v>837</v>
      </c>
      <c r="W947" t="str">
        <f>"048314-004796-12-SE"</f>
        <v>048314-004796-12-SE</v>
      </c>
      <c r="X947" t="s">
        <v>838</v>
      </c>
      <c r="Y947">
        <v>1254.5</v>
      </c>
      <c r="Z947">
        <v>1254.5</v>
      </c>
      <c r="AA947" t="str">
        <f t="shared" si="267"/>
        <v>06/08/2016</v>
      </c>
    </row>
    <row r="948" spans="1:27" x14ac:dyDescent="0.3">
      <c r="A948" t="str">
        <f t="shared" si="251"/>
        <v>048314</v>
      </c>
      <c r="B948" t="str">
        <f t="shared" si="264"/>
        <v>004796</v>
      </c>
      <c r="C948" t="s">
        <v>1184</v>
      </c>
      <c r="D948" t="s">
        <v>3839</v>
      </c>
      <c r="E948" t="s">
        <v>3840</v>
      </c>
      <c r="F948" t="s">
        <v>3841</v>
      </c>
      <c r="G948" t="s">
        <v>3842</v>
      </c>
      <c r="H948" t="str">
        <f t="shared" si="265"/>
        <v>048314</v>
      </c>
      <c r="I948" t="s">
        <v>833</v>
      </c>
      <c r="J948" t="str">
        <f t="shared" si="266"/>
        <v>2015-07-01 00:00:00.0</v>
      </c>
      <c r="K948" t="s">
        <v>834</v>
      </c>
      <c r="L948" t="s">
        <v>0</v>
      </c>
      <c r="M948" t="str">
        <f t="shared" si="250"/>
        <v>048314</v>
      </c>
      <c r="N948">
        <v>1</v>
      </c>
      <c r="O948">
        <v>1</v>
      </c>
      <c r="P948" t="str">
        <f>"12"</f>
        <v>12</v>
      </c>
      <c r="Q948" t="s">
        <v>835</v>
      </c>
      <c r="S948" t="s">
        <v>836</v>
      </c>
      <c r="T948" t="s">
        <v>836</v>
      </c>
      <c r="U948" t="str">
        <f t="shared" si="258"/>
        <v>2500-12-31 00:00:00.0</v>
      </c>
      <c r="V948" t="s">
        <v>837</v>
      </c>
      <c r="W948" t="str">
        <f>"048314-004796-12-SE"</f>
        <v>048314-004796-12-SE</v>
      </c>
      <c r="X948" t="s">
        <v>838</v>
      </c>
      <c r="Y948">
        <v>1254.5</v>
      </c>
      <c r="Z948">
        <v>1254.5</v>
      </c>
      <c r="AA948" t="str">
        <f t="shared" si="267"/>
        <v>06/08/2016</v>
      </c>
    </row>
    <row r="949" spans="1:27" x14ac:dyDescent="0.3">
      <c r="A949" t="str">
        <f t="shared" si="251"/>
        <v>048314</v>
      </c>
      <c r="B949" t="str">
        <f t="shared" si="264"/>
        <v>004796</v>
      </c>
      <c r="C949" t="s">
        <v>1139</v>
      </c>
      <c r="D949" t="s">
        <v>3839</v>
      </c>
      <c r="E949" t="s">
        <v>3840</v>
      </c>
      <c r="F949" t="s">
        <v>3841</v>
      </c>
      <c r="G949" t="s">
        <v>3842</v>
      </c>
      <c r="H949" t="str">
        <f t="shared" si="265"/>
        <v>048314</v>
      </c>
      <c r="I949" t="s">
        <v>833</v>
      </c>
      <c r="J949" t="str">
        <f t="shared" si="266"/>
        <v>2015-07-01 00:00:00.0</v>
      </c>
      <c r="K949" t="s">
        <v>834</v>
      </c>
      <c r="L949" t="s">
        <v>0</v>
      </c>
      <c r="M949" t="str">
        <f t="shared" si="250"/>
        <v>048314</v>
      </c>
      <c r="N949">
        <v>1</v>
      </c>
      <c r="O949">
        <v>1</v>
      </c>
      <c r="P949" t="str">
        <f>"12"</f>
        <v>12</v>
      </c>
      <c r="Q949" t="s">
        <v>835</v>
      </c>
      <c r="S949" t="s">
        <v>836</v>
      </c>
      <c r="T949" t="s">
        <v>836</v>
      </c>
      <c r="U949" t="str">
        <f t="shared" si="258"/>
        <v>2500-12-31 00:00:00.0</v>
      </c>
      <c r="V949" t="s">
        <v>837</v>
      </c>
      <c r="W949" t="str">
        <f>"048314-004796-12-SE"</f>
        <v>048314-004796-12-SE</v>
      </c>
      <c r="X949" t="s">
        <v>838</v>
      </c>
      <c r="Y949">
        <v>1254.5</v>
      </c>
      <c r="Z949">
        <v>1254.5</v>
      </c>
      <c r="AA949" t="str">
        <f t="shared" si="267"/>
        <v>06/08/2016</v>
      </c>
    </row>
    <row r="950" spans="1:27" x14ac:dyDescent="0.3">
      <c r="A950" t="str">
        <f t="shared" si="251"/>
        <v>048314</v>
      </c>
      <c r="B950" t="str">
        <f t="shared" si="264"/>
        <v>004796</v>
      </c>
      <c r="C950" t="s">
        <v>1719</v>
      </c>
      <c r="D950" t="s">
        <v>3839</v>
      </c>
      <c r="E950" t="s">
        <v>3840</v>
      </c>
      <c r="F950" t="s">
        <v>3841</v>
      </c>
      <c r="G950" t="s">
        <v>3842</v>
      </c>
      <c r="H950" t="str">
        <f t="shared" si="265"/>
        <v>048314</v>
      </c>
      <c r="I950" t="s">
        <v>833</v>
      </c>
      <c r="J950" t="str">
        <f t="shared" si="266"/>
        <v>2015-07-01 00:00:00.0</v>
      </c>
      <c r="K950" t="s">
        <v>834</v>
      </c>
      <c r="L950" t="s">
        <v>0</v>
      </c>
      <c r="M950" t="str">
        <f t="shared" si="250"/>
        <v>048314</v>
      </c>
      <c r="N950">
        <v>1</v>
      </c>
      <c r="O950">
        <v>1</v>
      </c>
      <c r="P950" t="str">
        <f>"10"</f>
        <v>10</v>
      </c>
      <c r="Q950" t="s">
        <v>835</v>
      </c>
      <c r="S950" t="s">
        <v>836</v>
      </c>
      <c r="T950" t="s">
        <v>836</v>
      </c>
      <c r="U950" t="str">
        <f t="shared" si="258"/>
        <v>2500-12-31 00:00:00.0</v>
      </c>
      <c r="V950" t="s">
        <v>837</v>
      </c>
      <c r="W950" t="str">
        <f t="shared" ref="W950:W955" si="268">"048314-004796-**-**"</f>
        <v>048314-004796-**-**</v>
      </c>
      <c r="X950" t="s">
        <v>838</v>
      </c>
      <c r="Y950">
        <v>1254.5</v>
      </c>
      <c r="Z950">
        <v>1254.5</v>
      </c>
      <c r="AA950" t="str">
        <f t="shared" si="267"/>
        <v>06/08/2016</v>
      </c>
    </row>
    <row r="951" spans="1:27" x14ac:dyDescent="0.3">
      <c r="A951" t="str">
        <f t="shared" si="251"/>
        <v>048314</v>
      </c>
      <c r="B951" t="str">
        <f t="shared" si="264"/>
        <v>004796</v>
      </c>
      <c r="C951" t="s">
        <v>2287</v>
      </c>
      <c r="D951" t="s">
        <v>3839</v>
      </c>
      <c r="E951" t="s">
        <v>3840</v>
      </c>
      <c r="F951" t="s">
        <v>3841</v>
      </c>
      <c r="G951" t="s">
        <v>3842</v>
      </c>
      <c r="H951" t="str">
        <f t="shared" si="265"/>
        <v>048314</v>
      </c>
      <c r="I951" t="s">
        <v>833</v>
      </c>
      <c r="J951" t="str">
        <f t="shared" si="266"/>
        <v>2015-07-01 00:00:00.0</v>
      </c>
      <c r="K951" t="s">
        <v>834</v>
      </c>
      <c r="L951" t="s">
        <v>0</v>
      </c>
      <c r="M951" t="str">
        <f t="shared" si="250"/>
        <v>048314</v>
      </c>
      <c r="N951">
        <v>1</v>
      </c>
      <c r="O951">
        <v>1</v>
      </c>
      <c r="P951" t="str">
        <f>"11"</f>
        <v>11</v>
      </c>
      <c r="Q951" t="s">
        <v>835</v>
      </c>
      <c r="S951" t="s">
        <v>836</v>
      </c>
      <c r="T951" t="s">
        <v>836</v>
      </c>
      <c r="U951" t="str">
        <f t="shared" si="258"/>
        <v>2500-12-31 00:00:00.0</v>
      </c>
      <c r="V951" t="s">
        <v>837</v>
      </c>
      <c r="W951" t="str">
        <f t="shared" si="268"/>
        <v>048314-004796-**-**</v>
      </c>
      <c r="X951" t="s">
        <v>838</v>
      </c>
      <c r="Y951">
        <v>1254.5</v>
      </c>
      <c r="Z951">
        <v>1254.5</v>
      </c>
      <c r="AA951" t="str">
        <f t="shared" si="267"/>
        <v>06/08/2016</v>
      </c>
    </row>
    <row r="952" spans="1:27" x14ac:dyDescent="0.3">
      <c r="A952" t="str">
        <f t="shared" si="251"/>
        <v>048314</v>
      </c>
      <c r="B952" t="str">
        <f t="shared" si="264"/>
        <v>004796</v>
      </c>
      <c r="C952" t="s">
        <v>1381</v>
      </c>
      <c r="D952" t="s">
        <v>3839</v>
      </c>
      <c r="E952" t="s">
        <v>3840</v>
      </c>
      <c r="F952" t="s">
        <v>3841</v>
      </c>
      <c r="G952" t="s">
        <v>3842</v>
      </c>
      <c r="H952" t="str">
        <f t="shared" si="265"/>
        <v>048314</v>
      </c>
      <c r="I952" t="s">
        <v>833</v>
      </c>
      <c r="J952" t="str">
        <f t="shared" si="266"/>
        <v>2015-07-01 00:00:00.0</v>
      </c>
      <c r="K952" t="s">
        <v>834</v>
      </c>
      <c r="L952" t="s">
        <v>0</v>
      </c>
      <c r="M952" t="str">
        <f t="shared" si="250"/>
        <v>048314</v>
      </c>
      <c r="N952">
        <v>1</v>
      </c>
      <c r="O952">
        <v>1</v>
      </c>
      <c r="P952" t="str">
        <f>"11"</f>
        <v>11</v>
      </c>
      <c r="Q952" t="s">
        <v>835</v>
      </c>
      <c r="S952" t="s">
        <v>836</v>
      </c>
      <c r="T952" t="s">
        <v>836</v>
      </c>
      <c r="U952" t="str">
        <f t="shared" si="258"/>
        <v>2500-12-31 00:00:00.0</v>
      </c>
      <c r="V952" t="s">
        <v>837</v>
      </c>
      <c r="W952" t="str">
        <f t="shared" si="268"/>
        <v>048314-004796-**-**</v>
      </c>
      <c r="X952" t="s">
        <v>838</v>
      </c>
      <c r="Y952">
        <v>1254.5</v>
      </c>
      <c r="Z952">
        <v>1254.5</v>
      </c>
      <c r="AA952" t="str">
        <f t="shared" si="267"/>
        <v>06/08/2016</v>
      </c>
    </row>
    <row r="953" spans="1:27" x14ac:dyDescent="0.3">
      <c r="A953" t="str">
        <f t="shared" si="251"/>
        <v>048314</v>
      </c>
      <c r="B953" t="str">
        <f t="shared" si="264"/>
        <v>004796</v>
      </c>
      <c r="C953" t="s">
        <v>898</v>
      </c>
      <c r="D953" t="s">
        <v>3839</v>
      </c>
      <c r="E953" t="s">
        <v>3840</v>
      </c>
      <c r="F953" t="s">
        <v>3841</v>
      </c>
      <c r="G953" t="s">
        <v>3842</v>
      </c>
      <c r="H953" t="str">
        <f t="shared" si="265"/>
        <v>048314</v>
      </c>
      <c r="I953" t="s">
        <v>833</v>
      </c>
      <c r="J953" t="str">
        <f>"2015-10-05 00:00:00.0"</f>
        <v>2015-10-05 00:00:00.0</v>
      </c>
      <c r="K953" t="s">
        <v>834</v>
      </c>
      <c r="L953" t="s">
        <v>0</v>
      </c>
      <c r="M953" t="str">
        <f t="shared" si="250"/>
        <v>048314</v>
      </c>
      <c r="N953">
        <v>0.87564799999999998</v>
      </c>
      <c r="O953">
        <v>0.87564799999999998</v>
      </c>
      <c r="P953" t="str">
        <f>"11"</f>
        <v>11</v>
      </c>
      <c r="Q953" t="str">
        <f>"01"</f>
        <v>01</v>
      </c>
      <c r="R953" t="str">
        <f>"5"</f>
        <v>5</v>
      </c>
      <c r="S953" t="s">
        <v>836</v>
      </c>
      <c r="T953" t="s">
        <v>836</v>
      </c>
      <c r="U953" t="str">
        <f t="shared" si="258"/>
        <v>2500-12-31 00:00:00.0</v>
      </c>
      <c r="V953" t="s">
        <v>837</v>
      </c>
      <c r="W953" t="str">
        <f t="shared" si="268"/>
        <v>048314-004796-**-**</v>
      </c>
      <c r="X953" t="s">
        <v>838</v>
      </c>
      <c r="Y953">
        <v>1098.5</v>
      </c>
      <c r="Z953">
        <v>1254.5</v>
      </c>
      <c r="AA953" t="str">
        <f t="shared" si="267"/>
        <v>06/08/2016</v>
      </c>
    </row>
    <row r="954" spans="1:27" x14ac:dyDescent="0.3">
      <c r="A954" t="str">
        <f t="shared" si="251"/>
        <v>048314</v>
      </c>
      <c r="B954" t="str">
        <f t="shared" si="264"/>
        <v>004796</v>
      </c>
      <c r="C954" t="s">
        <v>1654</v>
      </c>
      <c r="D954" t="s">
        <v>3839</v>
      </c>
      <c r="E954" t="s">
        <v>3840</v>
      </c>
      <c r="F954" t="s">
        <v>3841</v>
      </c>
      <c r="G954" t="s">
        <v>3842</v>
      </c>
      <c r="H954" t="str">
        <f t="shared" si="265"/>
        <v>048314</v>
      </c>
      <c r="I954" t="s">
        <v>833</v>
      </c>
      <c r="J954" t="str">
        <f>"2015-07-01 00:00:00.0"</f>
        <v>2015-07-01 00:00:00.0</v>
      </c>
      <c r="K954" t="s">
        <v>834</v>
      </c>
      <c r="L954" t="s">
        <v>0</v>
      </c>
      <c r="M954" t="str">
        <f t="shared" si="250"/>
        <v>048314</v>
      </c>
      <c r="N954">
        <v>0.217617</v>
      </c>
      <c r="O954">
        <v>0.217617</v>
      </c>
      <c r="P954" t="str">
        <f>"10"</f>
        <v>10</v>
      </c>
      <c r="Q954" t="s">
        <v>835</v>
      </c>
      <c r="S954" t="s">
        <v>836</v>
      </c>
      <c r="T954" t="s">
        <v>836</v>
      </c>
      <c r="U954" t="str">
        <f>"2015-10-28 00:00:00.0"</f>
        <v>2015-10-28 00:00:00.0</v>
      </c>
      <c r="V954" t="s">
        <v>837</v>
      </c>
      <c r="W954" t="str">
        <f t="shared" si="268"/>
        <v>048314-004796-**-**</v>
      </c>
      <c r="X954" t="s">
        <v>838</v>
      </c>
      <c r="Y954">
        <v>273</v>
      </c>
      <c r="Z954">
        <v>1254.5</v>
      </c>
      <c r="AA954" t="str">
        <f t="shared" si="267"/>
        <v>06/08/2016</v>
      </c>
    </row>
    <row r="955" spans="1:27" x14ac:dyDescent="0.3">
      <c r="A955" t="str">
        <f t="shared" si="251"/>
        <v>048314</v>
      </c>
      <c r="B955" t="str">
        <f t="shared" si="264"/>
        <v>004796</v>
      </c>
      <c r="C955" t="s">
        <v>1654</v>
      </c>
      <c r="D955" t="s">
        <v>3839</v>
      </c>
      <c r="E955" t="s">
        <v>3840</v>
      </c>
      <c r="F955" t="s">
        <v>3841</v>
      </c>
      <c r="G955" t="s">
        <v>3842</v>
      </c>
      <c r="H955" t="str">
        <f t="shared" si="265"/>
        <v>048314</v>
      </c>
      <c r="I955" t="s">
        <v>833</v>
      </c>
      <c r="J955" t="str">
        <f>"2015-10-29 00:00:00.0"</f>
        <v>2015-10-29 00:00:00.0</v>
      </c>
      <c r="K955" t="s">
        <v>834</v>
      </c>
      <c r="L955" t="s">
        <v>0</v>
      </c>
      <c r="M955" t="str">
        <f t="shared" si="250"/>
        <v>048314</v>
      </c>
      <c r="N955">
        <v>0.78238300000000005</v>
      </c>
      <c r="O955">
        <v>0.78238300000000005</v>
      </c>
      <c r="P955" t="str">
        <f>"10"</f>
        <v>10</v>
      </c>
      <c r="Q955" t="s">
        <v>835</v>
      </c>
      <c r="S955" t="s">
        <v>860</v>
      </c>
      <c r="T955" t="s">
        <v>836</v>
      </c>
      <c r="U955" t="str">
        <f>"2500-12-31 00:00:00.0"</f>
        <v>2500-12-31 00:00:00.0</v>
      </c>
      <c r="V955" t="s">
        <v>837</v>
      </c>
      <c r="W955" t="str">
        <f t="shared" si="268"/>
        <v>048314-004796-**-**</v>
      </c>
      <c r="X955" t="s">
        <v>838</v>
      </c>
      <c r="Y955">
        <v>981.5</v>
      </c>
      <c r="Z955">
        <v>1254.5</v>
      </c>
      <c r="AA955" t="str">
        <f t="shared" si="267"/>
        <v>06/08/2016</v>
      </c>
    </row>
    <row r="956" spans="1:27" x14ac:dyDescent="0.3">
      <c r="A956" t="str">
        <f t="shared" si="251"/>
        <v>048314</v>
      </c>
      <c r="B956" t="str">
        <f t="shared" si="264"/>
        <v>004796</v>
      </c>
      <c r="C956" t="s">
        <v>1220</v>
      </c>
      <c r="D956" t="s">
        <v>3839</v>
      </c>
      <c r="E956" t="s">
        <v>3840</v>
      </c>
      <c r="F956" t="s">
        <v>3841</v>
      </c>
      <c r="G956" t="s">
        <v>3842</v>
      </c>
      <c r="H956" t="str">
        <f t="shared" si="265"/>
        <v>048314</v>
      </c>
      <c r="I956" t="s">
        <v>833</v>
      </c>
      <c r="J956" t="str">
        <f>"2015-07-01 00:00:00.0"</f>
        <v>2015-07-01 00:00:00.0</v>
      </c>
      <c r="K956" t="s">
        <v>834</v>
      </c>
      <c r="L956" t="s">
        <v>0</v>
      </c>
      <c r="M956" t="str">
        <f t="shared" si="250"/>
        <v>048314</v>
      </c>
      <c r="N956">
        <v>0.217617</v>
      </c>
      <c r="O956">
        <v>0.217617</v>
      </c>
      <c r="P956" t="str">
        <f>"12"</f>
        <v>12</v>
      </c>
      <c r="Q956" t="s">
        <v>835</v>
      </c>
      <c r="S956" t="s">
        <v>836</v>
      </c>
      <c r="T956" t="s">
        <v>836</v>
      </c>
      <c r="U956" t="str">
        <f>"2015-10-28 00:00:00.0"</f>
        <v>2015-10-28 00:00:00.0</v>
      </c>
      <c r="V956" t="s">
        <v>837</v>
      </c>
      <c r="W956" t="str">
        <f>"048314-004796-12-SE"</f>
        <v>048314-004796-12-SE</v>
      </c>
      <c r="X956" t="s">
        <v>838</v>
      </c>
      <c r="Y956">
        <v>273</v>
      </c>
      <c r="Z956">
        <v>1254.5</v>
      </c>
      <c r="AA956" t="str">
        <f t="shared" si="267"/>
        <v>06/08/2016</v>
      </c>
    </row>
    <row r="957" spans="1:27" x14ac:dyDescent="0.3">
      <c r="A957" t="str">
        <f t="shared" si="251"/>
        <v>048314</v>
      </c>
      <c r="B957" t="str">
        <f t="shared" si="264"/>
        <v>004796</v>
      </c>
      <c r="C957" t="s">
        <v>1220</v>
      </c>
      <c r="D957" t="s">
        <v>3839</v>
      </c>
      <c r="E957" t="s">
        <v>3840</v>
      </c>
      <c r="F957" t="s">
        <v>3841</v>
      </c>
      <c r="G957" t="s">
        <v>3842</v>
      </c>
      <c r="H957" t="str">
        <f t="shared" si="265"/>
        <v>048314</v>
      </c>
      <c r="I957" t="s">
        <v>833</v>
      </c>
      <c r="J957" t="str">
        <f>"2015-10-29 00:00:00.0"</f>
        <v>2015-10-29 00:00:00.0</v>
      </c>
      <c r="K957" t="s">
        <v>834</v>
      </c>
      <c r="L957" t="s">
        <v>0</v>
      </c>
      <c r="M957" t="str">
        <f t="shared" si="250"/>
        <v>048314</v>
      </c>
      <c r="N957">
        <v>0.78238300000000005</v>
      </c>
      <c r="O957">
        <v>0.78238300000000005</v>
      </c>
      <c r="P957" t="str">
        <f>"12"</f>
        <v>12</v>
      </c>
      <c r="Q957" t="s">
        <v>835</v>
      </c>
      <c r="S957" t="s">
        <v>860</v>
      </c>
      <c r="T957" t="s">
        <v>836</v>
      </c>
      <c r="U957" t="str">
        <f t="shared" ref="U957:U979" si="269">"2500-12-31 00:00:00.0"</f>
        <v>2500-12-31 00:00:00.0</v>
      </c>
      <c r="V957" t="s">
        <v>837</v>
      </c>
      <c r="W957" t="str">
        <f>"048314-004796-12-SE"</f>
        <v>048314-004796-12-SE</v>
      </c>
      <c r="X957" t="s">
        <v>838</v>
      </c>
      <c r="Y957">
        <v>981.5</v>
      </c>
      <c r="Z957">
        <v>1254.5</v>
      </c>
      <c r="AA957" t="str">
        <f t="shared" si="267"/>
        <v>06/08/2016</v>
      </c>
    </row>
    <row r="958" spans="1:27" x14ac:dyDescent="0.3">
      <c r="A958" t="str">
        <f t="shared" si="251"/>
        <v>048314</v>
      </c>
      <c r="B958" t="str">
        <f t="shared" si="264"/>
        <v>004796</v>
      </c>
      <c r="C958" t="s">
        <v>2559</v>
      </c>
      <c r="D958" t="s">
        <v>3839</v>
      </c>
      <c r="E958" t="s">
        <v>3840</v>
      </c>
      <c r="F958" t="s">
        <v>3841</v>
      </c>
      <c r="G958" t="s">
        <v>3842</v>
      </c>
      <c r="H958" t="str">
        <f t="shared" si="265"/>
        <v>048314</v>
      </c>
      <c r="I958" t="s">
        <v>833</v>
      </c>
      <c r="J958" t="str">
        <f>"2015-08-31 00:00:00.0"</f>
        <v>2015-08-31 00:00:00.0</v>
      </c>
      <c r="K958" t="s">
        <v>834</v>
      </c>
      <c r="L958" t="s">
        <v>0</v>
      </c>
      <c r="M958" t="str">
        <f t="shared" ref="M958:M1021" si="270">"048314"</f>
        <v>048314</v>
      </c>
      <c r="N958">
        <v>1</v>
      </c>
      <c r="O958">
        <v>1</v>
      </c>
      <c r="P958" t="str">
        <f>"11"</f>
        <v>11</v>
      </c>
      <c r="Q958" t="s">
        <v>835</v>
      </c>
      <c r="S958" t="s">
        <v>836</v>
      </c>
      <c r="T958" t="s">
        <v>836</v>
      </c>
      <c r="U958" t="str">
        <f t="shared" si="269"/>
        <v>2500-12-31 00:00:00.0</v>
      </c>
      <c r="V958" t="s">
        <v>837</v>
      </c>
      <c r="W958" t="str">
        <f>"048314-004796-**-**"</f>
        <v>048314-004796-**-**</v>
      </c>
      <c r="X958" t="s">
        <v>838</v>
      </c>
      <c r="Y958">
        <v>1254.5</v>
      </c>
      <c r="Z958">
        <v>1254.5</v>
      </c>
      <c r="AA958" t="str">
        <f t="shared" si="267"/>
        <v>06/08/2016</v>
      </c>
    </row>
    <row r="959" spans="1:27" x14ac:dyDescent="0.3">
      <c r="A959" t="str">
        <f t="shared" si="251"/>
        <v>048314</v>
      </c>
      <c r="B959" t="str">
        <f t="shared" si="264"/>
        <v>004796</v>
      </c>
      <c r="C959" t="s">
        <v>1337</v>
      </c>
      <c r="D959" t="s">
        <v>3839</v>
      </c>
      <c r="E959" t="s">
        <v>3840</v>
      </c>
      <c r="F959" t="s">
        <v>3841</v>
      </c>
      <c r="G959" t="s">
        <v>3842</v>
      </c>
      <c r="H959" t="str">
        <f t="shared" si="265"/>
        <v>048314</v>
      </c>
      <c r="I959" t="s">
        <v>833</v>
      </c>
      <c r="J959" t="str">
        <f t="shared" ref="J959:J980" si="271">"2015-07-01 00:00:00.0"</f>
        <v>2015-07-01 00:00:00.0</v>
      </c>
      <c r="K959" t="s">
        <v>834</v>
      </c>
      <c r="L959" t="s">
        <v>0</v>
      </c>
      <c r="M959" t="str">
        <f t="shared" si="270"/>
        <v>048314</v>
      </c>
      <c r="N959">
        <v>1</v>
      </c>
      <c r="O959">
        <v>1</v>
      </c>
      <c r="P959" t="str">
        <f>"10"</f>
        <v>10</v>
      </c>
      <c r="Q959" t="s">
        <v>835</v>
      </c>
      <c r="S959" t="s">
        <v>836</v>
      </c>
      <c r="T959" t="s">
        <v>836</v>
      </c>
      <c r="U959" t="str">
        <f t="shared" si="269"/>
        <v>2500-12-31 00:00:00.0</v>
      </c>
      <c r="V959" t="s">
        <v>837</v>
      </c>
      <c r="W959" t="str">
        <f>"048314-004796-**-**"</f>
        <v>048314-004796-**-**</v>
      </c>
      <c r="X959" t="s">
        <v>838</v>
      </c>
      <c r="Y959">
        <v>1254.5</v>
      </c>
      <c r="Z959">
        <v>1254.5</v>
      </c>
      <c r="AA959" t="str">
        <f t="shared" si="267"/>
        <v>06/08/2016</v>
      </c>
    </row>
    <row r="960" spans="1:27" x14ac:dyDescent="0.3">
      <c r="A960" t="str">
        <f t="shared" si="251"/>
        <v>048314</v>
      </c>
      <c r="B960" t="str">
        <f t="shared" si="264"/>
        <v>004796</v>
      </c>
      <c r="C960" t="s">
        <v>2007</v>
      </c>
      <c r="D960" t="s">
        <v>3839</v>
      </c>
      <c r="E960" t="s">
        <v>3840</v>
      </c>
      <c r="F960" t="s">
        <v>3841</v>
      </c>
      <c r="G960" t="s">
        <v>3842</v>
      </c>
      <c r="H960" t="str">
        <f t="shared" si="265"/>
        <v>048314</v>
      </c>
      <c r="I960" t="s">
        <v>833</v>
      </c>
      <c r="J960" t="str">
        <f t="shared" si="271"/>
        <v>2015-07-01 00:00:00.0</v>
      </c>
      <c r="K960" t="s">
        <v>834</v>
      </c>
      <c r="L960" t="s">
        <v>0</v>
      </c>
      <c r="M960" t="str">
        <f t="shared" si="270"/>
        <v>048314</v>
      </c>
      <c r="N960">
        <v>1</v>
      </c>
      <c r="O960">
        <v>1</v>
      </c>
      <c r="P960" t="str">
        <f>"12"</f>
        <v>12</v>
      </c>
      <c r="Q960" t="s">
        <v>835</v>
      </c>
      <c r="S960" t="s">
        <v>836</v>
      </c>
      <c r="T960" t="s">
        <v>836</v>
      </c>
      <c r="U960" t="str">
        <f t="shared" si="269"/>
        <v>2500-12-31 00:00:00.0</v>
      </c>
      <c r="V960" t="s">
        <v>837</v>
      </c>
      <c r="W960" t="str">
        <f>"048314-004796-12-SE"</f>
        <v>048314-004796-12-SE</v>
      </c>
      <c r="X960" t="s">
        <v>838</v>
      </c>
      <c r="Y960">
        <v>1254.5</v>
      </c>
      <c r="Z960">
        <v>1254.5</v>
      </c>
      <c r="AA960" t="str">
        <f t="shared" si="267"/>
        <v>06/08/2016</v>
      </c>
    </row>
    <row r="961" spans="1:27" x14ac:dyDescent="0.3">
      <c r="A961" t="str">
        <f t="shared" si="251"/>
        <v>048314</v>
      </c>
      <c r="B961" t="str">
        <f t="shared" si="264"/>
        <v>004796</v>
      </c>
      <c r="C961" t="s">
        <v>2010</v>
      </c>
      <c r="D961" t="s">
        <v>3839</v>
      </c>
      <c r="E961" t="s">
        <v>3840</v>
      </c>
      <c r="F961" t="s">
        <v>3841</v>
      </c>
      <c r="G961" t="s">
        <v>3842</v>
      </c>
      <c r="H961" t="str">
        <f t="shared" si="265"/>
        <v>048314</v>
      </c>
      <c r="I961" t="s">
        <v>833</v>
      </c>
      <c r="J961" t="str">
        <f t="shared" si="271"/>
        <v>2015-07-01 00:00:00.0</v>
      </c>
      <c r="K961" t="s">
        <v>834</v>
      </c>
      <c r="L961" t="s">
        <v>0</v>
      </c>
      <c r="M961" t="str">
        <f t="shared" si="270"/>
        <v>048314</v>
      </c>
      <c r="N961">
        <v>1</v>
      </c>
      <c r="O961">
        <v>1</v>
      </c>
      <c r="P961" t="str">
        <f>"12"</f>
        <v>12</v>
      </c>
      <c r="Q961" t="s">
        <v>835</v>
      </c>
      <c r="S961" t="s">
        <v>836</v>
      </c>
      <c r="T961" t="s">
        <v>836</v>
      </c>
      <c r="U961" t="str">
        <f t="shared" si="269"/>
        <v>2500-12-31 00:00:00.0</v>
      </c>
      <c r="V961" t="s">
        <v>837</v>
      </c>
      <c r="W961" t="str">
        <f>"048314-004796-12-SE"</f>
        <v>048314-004796-12-SE</v>
      </c>
      <c r="X961" t="s">
        <v>838</v>
      </c>
      <c r="Y961">
        <v>1254.5</v>
      </c>
      <c r="Z961">
        <v>1254.5</v>
      </c>
      <c r="AA961" t="str">
        <f t="shared" si="267"/>
        <v>06/08/2016</v>
      </c>
    </row>
    <row r="962" spans="1:27" x14ac:dyDescent="0.3">
      <c r="A962" t="str">
        <f t="shared" ref="A962:A1025" si="272">"048314"</f>
        <v>048314</v>
      </c>
      <c r="B962" t="str">
        <f t="shared" si="264"/>
        <v>004796</v>
      </c>
      <c r="C962" t="s">
        <v>2031</v>
      </c>
      <c r="D962" t="s">
        <v>3839</v>
      </c>
      <c r="E962" t="s">
        <v>3840</v>
      </c>
      <c r="F962" t="s">
        <v>3841</v>
      </c>
      <c r="G962" t="s">
        <v>3842</v>
      </c>
      <c r="H962" t="str">
        <f t="shared" si="265"/>
        <v>048314</v>
      </c>
      <c r="I962" t="s">
        <v>833</v>
      </c>
      <c r="J962" t="str">
        <f t="shared" si="271"/>
        <v>2015-07-01 00:00:00.0</v>
      </c>
      <c r="K962" t="s">
        <v>834</v>
      </c>
      <c r="L962" t="s">
        <v>0</v>
      </c>
      <c r="M962" t="str">
        <f t="shared" si="270"/>
        <v>048314</v>
      </c>
      <c r="N962">
        <v>1</v>
      </c>
      <c r="O962">
        <v>1</v>
      </c>
      <c r="P962" t="str">
        <f>"11"</f>
        <v>11</v>
      </c>
      <c r="Q962" t="s">
        <v>835</v>
      </c>
      <c r="S962" t="s">
        <v>836</v>
      </c>
      <c r="T962" t="s">
        <v>836</v>
      </c>
      <c r="U962" t="str">
        <f t="shared" si="269"/>
        <v>2500-12-31 00:00:00.0</v>
      </c>
      <c r="V962" t="s">
        <v>837</v>
      </c>
      <c r="W962" t="str">
        <f>"048314-004796-**-**"</f>
        <v>048314-004796-**-**</v>
      </c>
      <c r="X962" t="s">
        <v>838</v>
      </c>
      <c r="Y962">
        <v>1254.5</v>
      </c>
      <c r="Z962">
        <v>1254.5</v>
      </c>
      <c r="AA962" t="str">
        <f t="shared" si="267"/>
        <v>06/08/2016</v>
      </c>
    </row>
    <row r="963" spans="1:27" x14ac:dyDescent="0.3">
      <c r="A963" t="str">
        <f t="shared" si="272"/>
        <v>048314</v>
      </c>
      <c r="B963" t="str">
        <f t="shared" si="264"/>
        <v>004796</v>
      </c>
      <c r="C963" t="s">
        <v>3111</v>
      </c>
      <c r="D963" t="s">
        <v>3839</v>
      </c>
      <c r="E963" t="s">
        <v>3840</v>
      </c>
      <c r="F963" t="s">
        <v>3841</v>
      </c>
      <c r="G963" t="s">
        <v>3842</v>
      </c>
      <c r="H963" t="str">
        <f t="shared" si="265"/>
        <v>048314</v>
      </c>
      <c r="I963" t="s">
        <v>833</v>
      </c>
      <c r="J963" t="str">
        <f t="shared" si="271"/>
        <v>2015-07-01 00:00:00.0</v>
      </c>
      <c r="K963" t="s">
        <v>834</v>
      </c>
      <c r="L963" t="s">
        <v>0</v>
      </c>
      <c r="M963" t="str">
        <f t="shared" si="270"/>
        <v>048314</v>
      </c>
      <c r="N963">
        <v>1</v>
      </c>
      <c r="O963">
        <v>1</v>
      </c>
      <c r="P963" t="str">
        <f>"11"</f>
        <v>11</v>
      </c>
      <c r="Q963" t="s">
        <v>835</v>
      </c>
      <c r="S963" t="s">
        <v>836</v>
      </c>
      <c r="T963" t="s">
        <v>836</v>
      </c>
      <c r="U963" t="str">
        <f t="shared" si="269"/>
        <v>2500-12-31 00:00:00.0</v>
      </c>
      <c r="V963" t="s">
        <v>837</v>
      </c>
      <c r="W963" t="str">
        <f>"048314-004796-**-**"</f>
        <v>048314-004796-**-**</v>
      </c>
      <c r="X963" t="s">
        <v>838</v>
      </c>
      <c r="Y963">
        <v>1254.5</v>
      </c>
      <c r="Z963">
        <v>1254.5</v>
      </c>
      <c r="AA963" t="str">
        <f t="shared" si="267"/>
        <v>06/08/2016</v>
      </c>
    </row>
    <row r="964" spans="1:27" x14ac:dyDescent="0.3">
      <c r="A964" t="str">
        <f t="shared" si="272"/>
        <v>048314</v>
      </c>
      <c r="B964" t="str">
        <f t="shared" si="264"/>
        <v>004796</v>
      </c>
      <c r="C964" t="s">
        <v>1697</v>
      </c>
      <c r="D964" t="s">
        <v>3839</v>
      </c>
      <c r="E964" t="s">
        <v>3840</v>
      </c>
      <c r="F964" t="s">
        <v>3841</v>
      </c>
      <c r="G964" t="s">
        <v>3842</v>
      </c>
      <c r="H964" t="str">
        <f t="shared" si="265"/>
        <v>048314</v>
      </c>
      <c r="I964" t="s">
        <v>833</v>
      </c>
      <c r="J964" t="str">
        <f t="shared" si="271"/>
        <v>2015-07-01 00:00:00.0</v>
      </c>
      <c r="K964" t="s">
        <v>834</v>
      </c>
      <c r="L964" t="s">
        <v>0</v>
      </c>
      <c r="M964" t="str">
        <f t="shared" si="270"/>
        <v>048314</v>
      </c>
      <c r="N964">
        <v>1</v>
      </c>
      <c r="O964">
        <v>1</v>
      </c>
      <c r="P964" t="str">
        <f>"10"</f>
        <v>10</v>
      </c>
      <c r="Q964" t="str">
        <f>"10"</f>
        <v>10</v>
      </c>
      <c r="R964" t="str">
        <f>"2"</f>
        <v>2</v>
      </c>
      <c r="S964" t="s">
        <v>836</v>
      </c>
      <c r="T964" t="s">
        <v>836</v>
      </c>
      <c r="U964" t="str">
        <f t="shared" si="269"/>
        <v>2500-12-31 00:00:00.0</v>
      </c>
      <c r="V964" t="s">
        <v>837</v>
      </c>
      <c r="W964" t="str">
        <f>"048314-004796-**-**"</f>
        <v>048314-004796-**-**</v>
      </c>
      <c r="X964" t="s">
        <v>838</v>
      </c>
      <c r="Y964">
        <v>1254.5</v>
      </c>
      <c r="Z964">
        <v>1254.5</v>
      </c>
      <c r="AA964" t="str">
        <f t="shared" si="267"/>
        <v>06/08/2016</v>
      </c>
    </row>
    <row r="965" spans="1:27" x14ac:dyDescent="0.3">
      <c r="A965" t="str">
        <f t="shared" si="272"/>
        <v>048314</v>
      </c>
      <c r="B965" t="str">
        <f t="shared" si="264"/>
        <v>004796</v>
      </c>
      <c r="C965" t="s">
        <v>1185</v>
      </c>
      <c r="D965" t="s">
        <v>3839</v>
      </c>
      <c r="E965" t="s">
        <v>3840</v>
      </c>
      <c r="F965" t="s">
        <v>3841</v>
      </c>
      <c r="G965" t="s">
        <v>3842</v>
      </c>
      <c r="H965" t="str">
        <f t="shared" si="265"/>
        <v>048314</v>
      </c>
      <c r="I965" t="s">
        <v>833</v>
      </c>
      <c r="J965" t="str">
        <f t="shared" si="271"/>
        <v>2015-07-01 00:00:00.0</v>
      </c>
      <c r="K965" t="s">
        <v>834</v>
      </c>
      <c r="L965" t="s">
        <v>0</v>
      </c>
      <c r="M965" t="str">
        <f t="shared" si="270"/>
        <v>048314</v>
      </c>
      <c r="N965">
        <v>1</v>
      </c>
      <c r="O965">
        <v>1</v>
      </c>
      <c r="P965" t="str">
        <f>"12"</f>
        <v>12</v>
      </c>
      <c r="Q965" t="s">
        <v>835</v>
      </c>
      <c r="S965" t="s">
        <v>836</v>
      </c>
      <c r="T965" t="s">
        <v>836</v>
      </c>
      <c r="U965" t="str">
        <f t="shared" si="269"/>
        <v>2500-12-31 00:00:00.0</v>
      </c>
      <c r="V965" t="s">
        <v>837</v>
      </c>
      <c r="W965" t="str">
        <f>"048314-004796-12-SE"</f>
        <v>048314-004796-12-SE</v>
      </c>
      <c r="X965" t="s">
        <v>838</v>
      </c>
      <c r="Y965">
        <v>1254.5</v>
      </c>
      <c r="Z965">
        <v>1254.5</v>
      </c>
      <c r="AA965" t="str">
        <f t="shared" si="267"/>
        <v>06/08/2016</v>
      </c>
    </row>
    <row r="966" spans="1:27" x14ac:dyDescent="0.3">
      <c r="A966" t="str">
        <f t="shared" si="272"/>
        <v>048314</v>
      </c>
      <c r="B966" t="str">
        <f t="shared" si="264"/>
        <v>004796</v>
      </c>
      <c r="C966" t="s">
        <v>1186</v>
      </c>
      <c r="D966" t="s">
        <v>3839</v>
      </c>
      <c r="E966" t="s">
        <v>3840</v>
      </c>
      <c r="F966" t="s">
        <v>3841</v>
      </c>
      <c r="G966" t="s">
        <v>3842</v>
      </c>
      <c r="H966" t="str">
        <f t="shared" si="265"/>
        <v>048314</v>
      </c>
      <c r="I966" t="s">
        <v>833</v>
      </c>
      <c r="J966" t="str">
        <f t="shared" si="271"/>
        <v>2015-07-01 00:00:00.0</v>
      </c>
      <c r="K966" t="s">
        <v>834</v>
      </c>
      <c r="L966" t="s">
        <v>0</v>
      </c>
      <c r="M966" t="str">
        <f t="shared" si="270"/>
        <v>048314</v>
      </c>
      <c r="N966">
        <v>1</v>
      </c>
      <c r="O966">
        <v>1</v>
      </c>
      <c r="P966" t="str">
        <f>"12"</f>
        <v>12</v>
      </c>
      <c r="Q966" t="s">
        <v>835</v>
      </c>
      <c r="S966" t="s">
        <v>836</v>
      </c>
      <c r="T966" t="s">
        <v>836</v>
      </c>
      <c r="U966" t="str">
        <f t="shared" si="269"/>
        <v>2500-12-31 00:00:00.0</v>
      </c>
      <c r="V966" t="s">
        <v>837</v>
      </c>
      <c r="W966" t="str">
        <f>"048314-004796-12-SE"</f>
        <v>048314-004796-12-SE</v>
      </c>
      <c r="X966" t="s">
        <v>838</v>
      </c>
      <c r="Y966">
        <v>1254.5</v>
      </c>
      <c r="Z966">
        <v>1254.5</v>
      </c>
      <c r="AA966" t="str">
        <f t="shared" si="267"/>
        <v>06/08/2016</v>
      </c>
    </row>
    <row r="967" spans="1:27" x14ac:dyDescent="0.3">
      <c r="A967" t="str">
        <f t="shared" si="272"/>
        <v>048314</v>
      </c>
      <c r="B967" t="str">
        <f t="shared" si="264"/>
        <v>004796</v>
      </c>
      <c r="C967" t="s">
        <v>1515</v>
      </c>
      <c r="D967" t="s">
        <v>3839</v>
      </c>
      <c r="E967" t="s">
        <v>3840</v>
      </c>
      <c r="F967" t="s">
        <v>3841</v>
      </c>
      <c r="G967" t="s">
        <v>3842</v>
      </c>
      <c r="H967" t="str">
        <f t="shared" si="265"/>
        <v>048314</v>
      </c>
      <c r="I967" t="s">
        <v>833</v>
      </c>
      <c r="J967" t="str">
        <f t="shared" si="271"/>
        <v>2015-07-01 00:00:00.0</v>
      </c>
      <c r="K967" t="s">
        <v>834</v>
      </c>
      <c r="L967" t="s">
        <v>0</v>
      </c>
      <c r="M967" t="str">
        <f t="shared" si="270"/>
        <v>048314</v>
      </c>
      <c r="N967">
        <v>1</v>
      </c>
      <c r="O967">
        <v>1</v>
      </c>
      <c r="P967" t="str">
        <f>"10"</f>
        <v>10</v>
      </c>
      <c r="Q967" t="s">
        <v>835</v>
      </c>
      <c r="S967" t="s">
        <v>836</v>
      </c>
      <c r="T967" t="s">
        <v>836</v>
      </c>
      <c r="U967" t="str">
        <f t="shared" si="269"/>
        <v>2500-12-31 00:00:00.0</v>
      </c>
      <c r="V967" t="s">
        <v>837</v>
      </c>
      <c r="W967" t="str">
        <f t="shared" ref="W967:W972" si="273">"048314-004796-**-**"</f>
        <v>048314-004796-**-**</v>
      </c>
      <c r="X967" t="s">
        <v>838</v>
      </c>
      <c r="Y967">
        <v>1254.5</v>
      </c>
      <c r="Z967">
        <v>1254.5</v>
      </c>
      <c r="AA967" t="str">
        <f t="shared" si="267"/>
        <v>06/08/2016</v>
      </c>
    </row>
    <row r="968" spans="1:27" x14ac:dyDescent="0.3">
      <c r="A968" t="str">
        <f t="shared" si="272"/>
        <v>048314</v>
      </c>
      <c r="B968" t="str">
        <f t="shared" si="264"/>
        <v>004796</v>
      </c>
      <c r="C968" t="s">
        <v>2252</v>
      </c>
      <c r="D968" t="s">
        <v>3839</v>
      </c>
      <c r="E968" t="s">
        <v>3840</v>
      </c>
      <c r="F968" t="s">
        <v>3841</v>
      </c>
      <c r="G968" t="s">
        <v>3842</v>
      </c>
      <c r="H968" t="str">
        <f t="shared" si="265"/>
        <v>048314</v>
      </c>
      <c r="I968" t="s">
        <v>833</v>
      </c>
      <c r="J968" t="str">
        <f t="shared" si="271"/>
        <v>2015-07-01 00:00:00.0</v>
      </c>
      <c r="K968" t="s">
        <v>834</v>
      </c>
      <c r="L968" t="s">
        <v>0</v>
      </c>
      <c r="M968" t="str">
        <f t="shared" si="270"/>
        <v>048314</v>
      </c>
      <c r="N968">
        <v>1</v>
      </c>
      <c r="O968">
        <v>1</v>
      </c>
      <c r="P968" t="str">
        <f>"10"</f>
        <v>10</v>
      </c>
      <c r="Q968" t="s">
        <v>835</v>
      </c>
      <c r="S968" t="s">
        <v>836</v>
      </c>
      <c r="T968" t="s">
        <v>836</v>
      </c>
      <c r="U968" t="str">
        <f t="shared" si="269"/>
        <v>2500-12-31 00:00:00.0</v>
      </c>
      <c r="V968" t="s">
        <v>837</v>
      </c>
      <c r="W968" t="str">
        <f t="shared" si="273"/>
        <v>048314-004796-**-**</v>
      </c>
      <c r="X968" t="s">
        <v>838</v>
      </c>
      <c r="Y968">
        <v>1254.5</v>
      </c>
      <c r="Z968">
        <v>1254.5</v>
      </c>
      <c r="AA968" t="str">
        <f t="shared" si="267"/>
        <v>06/08/2016</v>
      </c>
    </row>
    <row r="969" spans="1:27" x14ac:dyDescent="0.3">
      <c r="A969" t="str">
        <f t="shared" si="272"/>
        <v>048314</v>
      </c>
      <c r="B969" t="str">
        <f t="shared" si="264"/>
        <v>004796</v>
      </c>
      <c r="C969" t="s">
        <v>1289</v>
      </c>
      <c r="D969" t="s">
        <v>3839</v>
      </c>
      <c r="E969" t="s">
        <v>3840</v>
      </c>
      <c r="F969" t="s">
        <v>3841</v>
      </c>
      <c r="G969" t="s">
        <v>3842</v>
      </c>
      <c r="H969" t="str">
        <f t="shared" si="265"/>
        <v>048314</v>
      </c>
      <c r="I969" t="s">
        <v>833</v>
      </c>
      <c r="J969" t="str">
        <f t="shared" si="271"/>
        <v>2015-07-01 00:00:00.0</v>
      </c>
      <c r="K969" t="s">
        <v>834</v>
      </c>
      <c r="L969" t="s">
        <v>0</v>
      </c>
      <c r="M969" t="str">
        <f t="shared" si="270"/>
        <v>048314</v>
      </c>
      <c r="N969">
        <v>1</v>
      </c>
      <c r="O969">
        <v>1</v>
      </c>
      <c r="P969" t="str">
        <f>"11"</f>
        <v>11</v>
      </c>
      <c r="Q969" t="s">
        <v>835</v>
      </c>
      <c r="S969" t="s">
        <v>836</v>
      </c>
      <c r="T969" t="s">
        <v>836</v>
      </c>
      <c r="U969" t="str">
        <f t="shared" si="269"/>
        <v>2500-12-31 00:00:00.0</v>
      </c>
      <c r="V969" t="s">
        <v>837</v>
      </c>
      <c r="W969" t="str">
        <f t="shared" si="273"/>
        <v>048314-004796-**-**</v>
      </c>
      <c r="X969" t="s">
        <v>838</v>
      </c>
      <c r="Y969">
        <v>1254.5</v>
      </c>
      <c r="Z969">
        <v>1254.5</v>
      </c>
      <c r="AA969" t="str">
        <f t="shared" si="267"/>
        <v>06/08/2016</v>
      </c>
    </row>
    <row r="970" spans="1:27" x14ac:dyDescent="0.3">
      <c r="A970" t="str">
        <f t="shared" si="272"/>
        <v>048314</v>
      </c>
      <c r="B970" t="str">
        <f t="shared" si="264"/>
        <v>004796</v>
      </c>
      <c r="C970" t="s">
        <v>2290</v>
      </c>
      <c r="D970" t="s">
        <v>3839</v>
      </c>
      <c r="E970" t="s">
        <v>3840</v>
      </c>
      <c r="F970" t="s">
        <v>3841</v>
      </c>
      <c r="G970" t="s">
        <v>3842</v>
      </c>
      <c r="H970" t="str">
        <f t="shared" si="265"/>
        <v>048314</v>
      </c>
      <c r="I970" t="s">
        <v>833</v>
      </c>
      <c r="J970" t="str">
        <f t="shared" si="271"/>
        <v>2015-07-01 00:00:00.0</v>
      </c>
      <c r="K970" t="s">
        <v>834</v>
      </c>
      <c r="L970" t="s">
        <v>0</v>
      </c>
      <c r="M970" t="str">
        <f t="shared" si="270"/>
        <v>048314</v>
      </c>
      <c r="N970">
        <v>1</v>
      </c>
      <c r="O970">
        <v>1</v>
      </c>
      <c r="P970" t="str">
        <f>"11"</f>
        <v>11</v>
      </c>
      <c r="Q970" t="s">
        <v>835</v>
      </c>
      <c r="S970" t="s">
        <v>836</v>
      </c>
      <c r="T970" t="s">
        <v>836</v>
      </c>
      <c r="U970" t="str">
        <f t="shared" si="269"/>
        <v>2500-12-31 00:00:00.0</v>
      </c>
      <c r="V970" t="s">
        <v>837</v>
      </c>
      <c r="W970" t="str">
        <f t="shared" si="273"/>
        <v>048314-004796-**-**</v>
      </c>
      <c r="X970" t="s">
        <v>838</v>
      </c>
      <c r="Y970">
        <v>1254.5</v>
      </c>
      <c r="Z970">
        <v>1254.5</v>
      </c>
      <c r="AA970" t="str">
        <f t="shared" si="267"/>
        <v>06/08/2016</v>
      </c>
    </row>
    <row r="971" spans="1:27" x14ac:dyDescent="0.3">
      <c r="A971" t="str">
        <f t="shared" si="272"/>
        <v>048314</v>
      </c>
      <c r="B971" t="str">
        <f t="shared" si="264"/>
        <v>004796</v>
      </c>
      <c r="C971" t="s">
        <v>1590</v>
      </c>
      <c r="D971" t="s">
        <v>3839</v>
      </c>
      <c r="E971" t="s">
        <v>3840</v>
      </c>
      <c r="F971" t="s">
        <v>3841</v>
      </c>
      <c r="G971" t="s">
        <v>3842</v>
      </c>
      <c r="H971" t="str">
        <f t="shared" si="265"/>
        <v>048314</v>
      </c>
      <c r="I971" t="s">
        <v>833</v>
      </c>
      <c r="J971" t="str">
        <f t="shared" si="271"/>
        <v>2015-07-01 00:00:00.0</v>
      </c>
      <c r="K971" t="s">
        <v>834</v>
      </c>
      <c r="L971" t="s">
        <v>0</v>
      </c>
      <c r="M971" t="str">
        <f t="shared" si="270"/>
        <v>048314</v>
      </c>
      <c r="N971">
        <v>1</v>
      </c>
      <c r="O971">
        <v>1</v>
      </c>
      <c r="P971" t="str">
        <f>"10"</f>
        <v>10</v>
      </c>
      <c r="Q971" t="s">
        <v>835</v>
      </c>
      <c r="S971" t="s">
        <v>836</v>
      </c>
      <c r="T971" t="s">
        <v>836</v>
      </c>
      <c r="U971" t="str">
        <f t="shared" si="269"/>
        <v>2500-12-31 00:00:00.0</v>
      </c>
      <c r="V971" t="s">
        <v>837</v>
      </c>
      <c r="W971" t="str">
        <f t="shared" si="273"/>
        <v>048314-004796-**-**</v>
      </c>
      <c r="X971" t="s">
        <v>838</v>
      </c>
      <c r="Y971">
        <v>1254.5</v>
      </c>
      <c r="Z971">
        <v>1254.5</v>
      </c>
      <c r="AA971" t="str">
        <f t="shared" si="267"/>
        <v>06/08/2016</v>
      </c>
    </row>
    <row r="972" spans="1:27" x14ac:dyDescent="0.3">
      <c r="A972" t="str">
        <f t="shared" si="272"/>
        <v>048314</v>
      </c>
      <c r="B972" t="str">
        <f t="shared" si="264"/>
        <v>004796</v>
      </c>
      <c r="C972" t="s">
        <v>3468</v>
      </c>
      <c r="D972" t="s">
        <v>3839</v>
      </c>
      <c r="E972" t="s">
        <v>3840</v>
      </c>
      <c r="F972" t="s">
        <v>3841</v>
      </c>
      <c r="G972" t="s">
        <v>3842</v>
      </c>
      <c r="H972" t="str">
        <f t="shared" si="265"/>
        <v>048314</v>
      </c>
      <c r="I972" t="s">
        <v>833</v>
      </c>
      <c r="J972" t="str">
        <f t="shared" si="271"/>
        <v>2015-07-01 00:00:00.0</v>
      </c>
      <c r="K972" t="s">
        <v>834</v>
      </c>
      <c r="L972" t="s">
        <v>0</v>
      </c>
      <c r="M972" t="str">
        <f t="shared" si="270"/>
        <v>048314</v>
      </c>
      <c r="N972">
        <v>1</v>
      </c>
      <c r="O972">
        <v>1</v>
      </c>
      <c r="P972" t="str">
        <f>"11"</f>
        <v>11</v>
      </c>
      <c r="Q972" t="s">
        <v>835</v>
      </c>
      <c r="S972" t="s">
        <v>860</v>
      </c>
      <c r="T972" t="s">
        <v>1433</v>
      </c>
      <c r="U972" t="str">
        <f t="shared" si="269"/>
        <v>2500-12-31 00:00:00.0</v>
      </c>
      <c r="V972" t="s">
        <v>837</v>
      </c>
      <c r="W972" t="str">
        <f t="shared" si="273"/>
        <v>048314-004796-**-**</v>
      </c>
      <c r="X972" t="s">
        <v>838</v>
      </c>
      <c r="Y972">
        <v>1254.5</v>
      </c>
      <c r="Z972">
        <v>1254.5</v>
      </c>
      <c r="AA972" t="str">
        <f t="shared" si="267"/>
        <v>06/08/2016</v>
      </c>
    </row>
    <row r="973" spans="1:27" x14ac:dyDescent="0.3">
      <c r="A973" t="str">
        <f t="shared" si="272"/>
        <v>048314</v>
      </c>
      <c r="B973" t="str">
        <f t="shared" si="264"/>
        <v>004796</v>
      </c>
      <c r="C973" t="s">
        <v>3666</v>
      </c>
      <c r="D973" t="s">
        <v>3839</v>
      </c>
      <c r="E973" t="s">
        <v>3840</v>
      </c>
      <c r="F973" t="s">
        <v>3841</v>
      </c>
      <c r="G973" t="s">
        <v>3842</v>
      </c>
      <c r="H973" t="str">
        <f t="shared" si="265"/>
        <v>048314</v>
      </c>
      <c r="I973" t="s">
        <v>833</v>
      </c>
      <c r="J973" t="str">
        <f t="shared" si="271"/>
        <v>2015-07-01 00:00:00.0</v>
      </c>
      <c r="K973" t="s">
        <v>834</v>
      </c>
      <c r="L973" t="s">
        <v>0</v>
      </c>
      <c r="M973" t="str">
        <f t="shared" si="270"/>
        <v>048314</v>
      </c>
      <c r="N973">
        <v>1</v>
      </c>
      <c r="O973">
        <v>1</v>
      </c>
      <c r="P973" t="str">
        <f>"12"</f>
        <v>12</v>
      </c>
      <c r="Q973" t="s">
        <v>835</v>
      </c>
      <c r="S973" t="s">
        <v>860</v>
      </c>
      <c r="T973" t="s">
        <v>836</v>
      </c>
      <c r="U973" t="str">
        <f t="shared" si="269"/>
        <v>2500-12-31 00:00:00.0</v>
      </c>
      <c r="V973" t="s">
        <v>837</v>
      </c>
      <c r="W973" t="str">
        <f>"048314-004796-12-SE"</f>
        <v>048314-004796-12-SE</v>
      </c>
      <c r="X973" t="s">
        <v>838</v>
      </c>
      <c r="Y973">
        <v>1254.5</v>
      </c>
      <c r="Z973">
        <v>1254.5</v>
      </c>
      <c r="AA973" t="str">
        <f t="shared" si="267"/>
        <v>06/08/2016</v>
      </c>
    </row>
    <row r="974" spans="1:27" x14ac:dyDescent="0.3">
      <c r="A974" t="str">
        <f t="shared" si="272"/>
        <v>048314</v>
      </c>
      <c r="B974" t="str">
        <f t="shared" si="264"/>
        <v>004796</v>
      </c>
      <c r="C974" t="s">
        <v>1764</v>
      </c>
      <c r="D974" t="s">
        <v>3839</v>
      </c>
      <c r="E974" t="s">
        <v>3840</v>
      </c>
      <c r="F974" t="s">
        <v>3841</v>
      </c>
      <c r="G974" t="s">
        <v>3842</v>
      </c>
      <c r="H974" t="str">
        <f t="shared" si="265"/>
        <v>048314</v>
      </c>
      <c r="I974" t="s">
        <v>833</v>
      </c>
      <c r="J974" t="str">
        <f t="shared" si="271"/>
        <v>2015-07-01 00:00:00.0</v>
      </c>
      <c r="K974" t="s">
        <v>834</v>
      </c>
      <c r="L974" t="s">
        <v>0</v>
      </c>
      <c r="M974" t="str">
        <f t="shared" si="270"/>
        <v>048314</v>
      </c>
      <c r="N974">
        <v>1</v>
      </c>
      <c r="O974">
        <v>1</v>
      </c>
      <c r="P974" t="str">
        <f>"11"</f>
        <v>11</v>
      </c>
      <c r="Q974" t="s">
        <v>835</v>
      </c>
      <c r="S974" t="s">
        <v>836</v>
      </c>
      <c r="T974" t="s">
        <v>836</v>
      </c>
      <c r="U974" t="str">
        <f t="shared" si="269"/>
        <v>2500-12-31 00:00:00.0</v>
      </c>
      <c r="V974" t="s">
        <v>837</v>
      </c>
      <c r="W974" t="str">
        <f>"048314-004796-**-**"</f>
        <v>048314-004796-**-**</v>
      </c>
      <c r="X974" t="s">
        <v>838</v>
      </c>
      <c r="Y974">
        <v>1254.5</v>
      </c>
      <c r="Z974">
        <v>1254.5</v>
      </c>
      <c r="AA974" t="str">
        <f t="shared" si="267"/>
        <v>06/08/2016</v>
      </c>
    </row>
    <row r="975" spans="1:27" x14ac:dyDescent="0.3">
      <c r="A975" t="str">
        <f t="shared" si="272"/>
        <v>048314</v>
      </c>
      <c r="B975" t="str">
        <f t="shared" si="264"/>
        <v>004796</v>
      </c>
      <c r="C975" t="s">
        <v>1187</v>
      </c>
      <c r="D975" t="s">
        <v>3839</v>
      </c>
      <c r="E975" t="s">
        <v>3840</v>
      </c>
      <c r="F975" t="s">
        <v>3841</v>
      </c>
      <c r="G975" t="s">
        <v>3842</v>
      </c>
      <c r="H975" t="str">
        <f t="shared" si="265"/>
        <v>048314</v>
      </c>
      <c r="I975" t="s">
        <v>833</v>
      </c>
      <c r="J975" t="str">
        <f t="shared" si="271"/>
        <v>2015-07-01 00:00:00.0</v>
      </c>
      <c r="K975" t="s">
        <v>834</v>
      </c>
      <c r="L975" t="s">
        <v>0</v>
      </c>
      <c r="M975" t="str">
        <f t="shared" si="270"/>
        <v>048314</v>
      </c>
      <c r="N975">
        <v>1</v>
      </c>
      <c r="O975">
        <v>1</v>
      </c>
      <c r="P975" t="str">
        <f>"12"</f>
        <v>12</v>
      </c>
      <c r="Q975" t="s">
        <v>835</v>
      </c>
      <c r="S975" t="s">
        <v>836</v>
      </c>
      <c r="T975" t="s">
        <v>836</v>
      </c>
      <c r="U975" t="str">
        <f t="shared" si="269"/>
        <v>2500-12-31 00:00:00.0</v>
      </c>
      <c r="V975" t="s">
        <v>837</v>
      </c>
      <c r="W975" t="str">
        <f>"048314-004796-12-SE"</f>
        <v>048314-004796-12-SE</v>
      </c>
      <c r="X975" t="s">
        <v>838</v>
      </c>
      <c r="Y975">
        <v>1254.5</v>
      </c>
      <c r="Z975">
        <v>1254.5</v>
      </c>
      <c r="AA975" t="str">
        <f t="shared" si="267"/>
        <v>06/08/2016</v>
      </c>
    </row>
    <row r="976" spans="1:27" x14ac:dyDescent="0.3">
      <c r="A976" t="str">
        <f t="shared" si="272"/>
        <v>048314</v>
      </c>
      <c r="B976" t="str">
        <f t="shared" si="264"/>
        <v>004796</v>
      </c>
      <c r="C976" t="s">
        <v>1140</v>
      </c>
      <c r="D976" t="s">
        <v>3839</v>
      </c>
      <c r="E976" t="s">
        <v>3840</v>
      </c>
      <c r="F976" t="s">
        <v>3841</v>
      </c>
      <c r="G976" t="s">
        <v>3842</v>
      </c>
      <c r="H976" t="str">
        <f t="shared" si="265"/>
        <v>048314</v>
      </c>
      <c r="I976" t="s">
        <v>833</v>
      </c>
      <c r="J976" t="str">
        <f t="shared" si="271"/>
        <v>2015-07-01 00:00:00.0</v>
      </c>
      <c r="K976" t="s">
        <v>834</v>
      </c>
      <c r="L976" t="s">
        <v>0</v>
      </c>
      <c r="M976" t="str">
        <f t="shared" si="270"/>
        <v>048314</v>
      </c>
      <c r="N976">
        <v>1</v>
      </c>
      <c r="O976">
        <v>1</v>
      </c>
      <c r="P976" t="str">
        <f>"12"</f>
        <v>12</v>
      </c>
      <c r="Q976" t="s">
        <v>835</v>
      </c>
      <c r="S976" t="s">
        <v>836</v>
      </c>
      <c r="T976" t="s">
        <v>836</v>
      </c>
      <c r="U976" t="str">
        <f t="shared" si="269"/>
        <v>2500-12-31 00:00:00.0</v>
      </c>
      <c r="V976" t="s">
        <v>837</v>
      </c>
      <c r="W976" t="str">
        <f>"048314-004796-12-SE"</f>
        <v>048314-004796-12-SE</v>
      </c>
      <c r="X976" t="s">
        <v>838</v>
      </c>
      <c r="Y976">
        <v>1254.5</v>
      </c>
      <c r="Z976">
        <v>1254.5</v>
      </c>
      <c r="AA976" t="str">
        <f t="shared" si="267"/>
        <v>06/08/2016</v>
      </c>
    </row>
    <row r="977" spans="1:27" x14ac:dyDescent="0.3">
      <c r="A977" t="str">
        <f t="shared" si="272"/>
        <v>048314</v>
      </c>
      <c r="B977" t="str">
        <f t="shared" si="264"/>
        <v>004796</v>
      </c>
      <c r="C977" t="s">
        <v>1408</v>
      </c>
      <c r="D977" t="s">
        <v>3839</v>
      </c>
      <c r="E977" t="s">
        <v>3840</v>
      </c>
      <c r="F977" t="s">
        <v>3841</v>
      </c>
      <c r="G977" t="s">
        <v>3842</v>
      </c>
      <c r="H977" t="str">
        <f t="shared" si="265"/>
        <v>048314</v>
      </c>
      <c r="I977" t="s">
        <v>833</v>
      </c>
      <c r="J977" t="str">
        <f t="shared" si="271"/>
        <v>2015-07-01 00:00:00.0</v>
      </c>
      <c r="K977" t="s">
        <v>834</v>
      </c>
      <c r="L977" t="s">
        <v>0</v>
      </c>
      <c r="M977" t="str">
        <f t="shared" si="270"/>
        <v>048314</v>
      </c>
      <c r="N977">
        <v>1</v>
      </c>
      <c r="O977">
        <v>1</v>
      </c>
      <c r="P977" t="str">
        <f>"11"</f>
        <v>11</v>
      </c>
      <c r="Q977" t="s">
        <v>835</v>
      </c>
      <c r="S977" t="s">
        <v>860</v>
      </c>
      <c r="T977" t="s">
        <v>836</v>
      </c>
      <c r="U977" t="str">
        <f t="shared" si="269"/>
        <v>2500-12-31 00:00:00.0</v>
      </c>
      <c r="V977" t="s">
        <v>837</v>
      </c>
      <c r="W977" t="str">
        <f>"048314-004796-**-**"</f>
        <v>048314-004796-**-**</v>
      </c>
      <c r="X977" t="s">
        <v>838</v>
      </c>
      <c r="Y977">
        <v>1254.5</v>
      </c>
      <c r="Z977">
        <v>1254.5</v>
      </c>
      <c r="AA977" t="str">
        <f t="shared" si="267"/>
        <v>06/08/2016</v>
      </c>
    </row>
    <row r="978" spans="1:27" x14ac:dyDescent="0.3">
      <c r="A978" t="str">
        <f t="shared" si="272"/>
        <v>048314</v>
      </c>
      <c r="B978" t="str">
        <f t="shared" si="264"/>
        <v>004796</v>
      </c>
      <c r="C978" t="s">
        <v>2009</v>
      </c>
      <c r="D978" t="s">
        <v>3839</v>
      </c>
      <c r="E978" t="s">
        <v>3840</v>
      </c>
      <c r="F978" t="s">
        <v>3841</v>
      </c>
      <c r="G978" t="s">
        <v>3842</v>
      </c>
      <c r="H978" t="str">
        <f t="shared" si="265"/>
        <v>048314</v>
      </c>
      <c r="I978" t="s">
        <v>833</v>
      </c>
      <c r="J978" t="str">
        <f t="shared" si="271"/>
        <v>2015-07-01 00:00:00.0</v>
      </c>
      <c r="K978" t="s">
        <v>834</v>
      </c>
      <c r="L978" t="s">
        <v>0</v>
      </c>
      <c r="M978" t="str">
        <f t="shared" si="270"/>
        <v>048314</v>
      </c>
      <c r="N978">
        <v>1</v>
      </c>
      <c r="O978">
        <v>1</v>
      </c>
      <c r="P978" t="str">
        <f>"12"</f>
        <v>12</v>
      </c>
      <c r="Q978" t="s">
        <v>835</v>
      </c>
      <c r="S978" t="s">
        <v>836</v>
      </c>
      <c r="T978" t="s">
        <v>836</v>
      </c>
      <c r="U978" t="str">
        <f t="shared" si="269"/>
        <v>2500-12-31 00:00:00.0</v>
      </c>
      <c r="V978" t="s">
        <v>837</v>
      </c>
      <c r="W978" t="str">
        <f>"048314-004796-12-SE"</f>
        <v>048314-004796-12-SE</v>
      </c>
      <c r="X978" t="s">
        <v>838</v>
      </c>
      <c r="Y978">
        <v>1254.5</v>
      </c>
      <c r="Z978">
        <v>1254.5</v>
      </c>
      <c r="AA978" t="str">
        <f t="shared" si="267"/>
        <v>06/08/2016</v>
      </c>
    </row>
    <row r="979" spans="1:27" x14ac:dyDescent="0.3">
      <c r="A979" t="str">
        <f t="shared" si="272"/>
        <v>048314</v>
      </c>
      <c r="B979" t="str">
        <f t="shared" si="264"/>
        <v>004796</v>
      </c>
      <c r="C979" t="s">
        <v>2000</v>
      </c>
      <c r="D979" t="s">
        <v>3839</v>
      </c>
      <c r="E979" t="s">
        <v>3840</v>
      </c>
      <c r="F979" t="s">
        <v>3841</v>
      </c>
      <c r="G979" t="s">
        <v>3842</v>
      </c>
      <c r="H979" t="str">
        <f t="shared" si="265"/>
        <v>048314</v>
      </c>
      <c r="I979" t="s">
        <v>833</v>
      </c>
      <c r="J979" t="str">
        <f t="shared" si="271"/>
        <v>2015-07-01 00:00:00.0</v>
      </c>
      <c r="K979" t="s">
        <v>834</v>
      </c>
      <c r="L979" t="s">
        <v>0</v>
      </c>
      <c r="M979" t="str">
        <f t="shared" si="270"/>
        <v>048314</v>
      </c>
      <c r="N979">
        <v>1</v>
      </c>
      <c r="O979">
        <v>1</v>
      </c>
      <c r="P979" t="str">
        <f>"10"</f>
        <v>10</v>
      </c>
      <c r="Q979" t="s">
        <v>835</v>
      </c>
      <c r="S979" t="s">
        <v>836</v>
      </c>
      <c r="T979" t="s">
        <v>836</v>
      </c>
      <c r="U979" t="str">
        <f t="shared" si="269"/>
        <v>2500-12-31 00:00:00.0</v>
      </c>
      <c r="V979" t="s">
        <v>837</v>
      </c>
      <c r="W979" t="str">
        <f t="shared" ref="W979:W984" si="274">"048314-004796-**-**"</f>
        <v>048314-004796-**-**</v>
      </c>
      <c r="X979" t="s">
        <v>838</v>
      </c>
      <c r="Y979">
        <v>1254.5</v>
      </c>
      <c r="Z979">
        <v>1254.5</v>
      </c>
      <c r="AA979" t="str">
        <f t="shared" si="267"/>
        <v>06/08/2016</v>
      </c>
    </row>
    <row r="980" spans="1:27" x14ac:dyDescent="0.3">
      <c r="A980" t="str">
        <f t="shared" si="272"/>
        <v>048314</v>
      </c>
      <c r="B980" t="str">
        <f t="shared" si="264"/>
        <v>004796</v>
      </c>
      <c r="C980" t="s">
        <v>2669</v>
      </c>
      <c r="D980" t="s">
        <v>3839</v>
      </c>
      <c r="E980" t="s">
        <v>3840</v>
      </c>
      <c r="F980" t="s">
        <v>3841</v>
      </c>
      <c r="G980" t="s">
        <v>3842</v>
      </c>
      <c r="H980" t="str">
        <f t="shared" si="265"/>
        <v>048314</v>
      </c>
      <c r="I980" t="s">
        <v>833</v>
      </c>
      <c r="J980" t="str">
        <f t="shared" si="271"/>
        <v>2015-07-01 00:00:00.0</v>
      </c>
      <c r="K980" t="s">
        <v>834</v>
      </c>
      <c r="L980" t="s">
        <v>0</v>
      </c>
      <c r="M980" t="str">
        <f t="shared" si="270"/>
        <v>048314</v>
      </c>
      <c r="N980">
        <v>8.2902000000000003E-2</v>
      </c>
      <c r="O980">
        <v>8.2902000000000003E-2</v>
      </c>
      <c r="P980" t="str">
        <f>"10"</f>
        <v>10</v>
      </c>
      <c r="Q980" t="s">
        <v>835</v>
      </c>
      <c r="S980" t="s">
        <v>836</v>
      </c>
      <c r="T980" t="s">
        <v>836</v>
      </c>
      <c r="U980" t="str">
        <f>"2015-09-22 00:00:00.0"</f>
        <v>2015-09-22 00:00:00.0</v>
      </c>
      <c r="V980" t="s">
        <v>837</v>
      </c>
      <c r="W980" t="str">
        <f t="shared" si="274"/>
        <v>048314-004796-**-**</v>
      </c>
      <c r="X980" t="s">
        <v>838</v>
      </c>
      <c r="Y980">
        <v>104</v>
      </c>
      <c r="Z980">
        <v>1254.5</v>
      </c>
      <c r="AA980" t="str">
        <f t="shared" si="267"/>
        <v>06/08/2016</v>
      </c>
    </row>
    <row r="981" spans="1:27" x14ac:dyDescent="0.3">
      <c r="A981" t="str">
        <f t="shared" si="272"/>
        <v>048314</v>
      </c>
      <c r="B981" t="str">
        <f t="shared" si="264"/>
        <v>004796</v>
      </c>
      <c r="C981" t="s">
        <v>2669</v>
      </c>
      <c r="D981" t="s">
        <v>3839</v>
      </c>
      <c r="E981" t="s">
        <v>3840</v>
      </c>
      <c r="F981" t="s">
        <v>3841</v>
      </c>
      <c r="G981" t="s">
        <v>3842</v>
      </c>
      <c r="H981" t="str">
        <f t="shared" si="265"/>
        <v>048314</v>
      </c>
      <c r="I981" t="s">
        <v>833</v>
      </c>
      <c r="J981" t="str">
        <f>"2015-09-23 00:00:00.0"</f>
        <v>2015-09-23 00:00:00.0</v>
      </c>
      <c r="K981" t="s">
        <v>834</v>
      </c>
      <c r="L981" t="s">
        <v>0</v>
      </c>
      <c r="M981" t="str">
        <f t="shared" si="270"/>
        <v>048314</v>
      </c>
      <c r="N981">
        <v>0.91709799999999997</v>
      </c>
      <c r="O981">
        <v>0.91709799999999997</v>
      </c>
      <c r="P981" t="str">
        <f>"10"</f>
        <v>10</v>
      </c>
      <c r="Q981" t="s">
        <v>835</v>
      </c>
      <c r="S981" t="s">
        <v>836</v>
      </c>
      <c r="T981" t="s">
        <v>836</v>
      </c>
      <c r="U981" t="str">
        <f t="shared" ref="U981:U1002" si="275">"2500-12-31 00:00:00.0"</f>
        <v>2500-12-31 00:00:00.0</v>
      </c>
      <c r="V981" t="s">
        <v>837</v>
      </c>
      <c r="W981" t="str">
        <f t="shared" si="274"/>
        <v>048314-004796-**-**</v>
      </c>
      <c r="X981" t="s">
        <v>838</v>
      </c>
      <c r="Y981">
        <v>1150.5</v>
      </c>
      <c r="Z981">
        <v>1254.5</v>
      </c>
      <c r="AA981" t="str">
        <f t="shared" si="267"/>
        <v>06/08/2016</v>
      </c>
    </row>
    <row r="982" spans="1:27" x14ac:dyDescent="0.3">
      <c r="A982" t="str">
        <f t="shared" si="272"/>
        <v>048314</v>
      </c>
      <c r="B982" t="str">
        <f t="shared" si="264"/>
        <v>004796</v>
      </c>
      <c r="C982" t="s">
        <v>899</v>
      </c>
      <c r="D982" t="s">
        <v>3839</v>
      </c>
      <c r="E982" t="s">
        <v>3840</v>
      </c>
      <c r="F982" t="s">
        <v>3841</v>
      </c>
      <c r="G982" t="s">
        <v>3842</v>
      </c>
      <c r="H982" t="str">
        <f t="shared" si="265"/>
        <v>048314</v>
      </c>
      <c r="I982" t="s">
        <v>833</v>
      </c>
      <c r="J982" t="str">
        <f>"2015-07-01 00:00:00.0"</f>
        <v>2015-07-01 00:00:00.0</v>
      </c>
      <c r="K982" t="s">
        <v>834</v>
      </c>
      <c r="L982" t="s">
        <v>0</v>
      </c>
      <c r="M982" t="str">
        <f t="shared" si="270"/>
        <v>048314</v>
      </c>
      <c r="N982">
        <v>1</v>
      </c>
      <c r="O982">
        <v>1</v>
      </c>
      <c r="P982" t="str">
        <f>"11"</f>
        <v>11</v>
      </c>
      <c r="Q982" t="str">
        <f>"09"</f>
        <v>09</v>
      </c>
      <c r="R982" t="str">
        <f>"2"</f>
        <v>2</v>
      </c>
      <c r="S982" t="s">
        <v>836</v>
      </c>
      <c r="T982" t="s">
        <v>836</v>
      </c>
      <c r="U982" t="str">
        <f t="shared" si="275"/>
        <v>2500-12-31 00:00:00.0</v>
      </c>
      <c r="V982" t="s">
        <v>837</v>
      </c>
      <c r="W982" t="str">
        <f t="shared" si="274"/>
        <v>048314-004796-**-**</v>
      </c>
      <c r="X982" t="s">
        <v>838</v>
      </c>
      <c r="Y982">
        <v>1254.5</v>
      </c>
      <c r="Z982">
        <v>1254.5</v>
      </c>
      <c r="AA982" t="str">
        <f t="shared" si="267"/>
        <v>06/08/2016</v>
      </c>
    </row>
    <row r="983" spans="1:27" x14ac:dyDescent="0.3">
      <c r="A983" t="str">
        <f t="shared" si="272"/>
        <v>048314</v>
      </c>
      <c r="B983" t="str">
        <f t="shared" si="264"/>
        <v>004796</v>
      </c>
      <c r="C983" t="s">
        <v>1656</v>
      </c>
      <c r="D983" t="s">
        <v>3839</v>
      </c>
      <c r="E983" t="s">
        <v>3840</v>
      </c>
      <c r="F983" t="s">
        <v>3841</v>
      </c>
      <c r="G983" t="s">
        <v>3842</v>
      </c>
      <c r="H983" t="str">
        <f t="shared" si="265"/>
        <v>048314</v>
      </c>
      <c r="I983" t="s">
        <v>833</v>
      </c>
      <c r="J983" t="str">
        <f>"2015-07-01 00:00:00.0"</f>
        <v>2015-07-01 00:00:00.0</v>
      </c>
      <c r="K983" t="s">
        <v>834</v>
      </c>
      <c r="L983" t="s">
        <v>0</v>
      </c>
      <c r="M983" t="str">
        <f t="shared" si="270"/>
        <v>048314</v>
      </c>
      <c r="N983">
        <v>1</v>
      </c>
      <c r="O983">
        <v>1</v>
      </c>
      <c r="P983" t="str">
        <f>"10"</f>
        <v>10</v>
      </c>
      <c r="Q983" t="s">
        <v>835</v>
      </c>
      <c r="S983" t="s">
        <v>836</v>
      </c>
      <c r="T983" t="s">
        <v>836</v>
      </c>
      <c r="U983" t="str">
        <f t="shared" si="275"/>
        <v>2500-12-31 00:00:00.0</v>
      </c>
      <c r="V983" t="s">
        <v>837</v>
      </c>
      <c r="W983" t="str">
        <f t="shared" si="274"/>
        <v>048314-004796-**-**</v>
      </c>
      <c r="X983" t="s">
        <v>838</v>
      </c>
      <c r="Y983">
        <v>1254.5</v>
      </c>
      <c r="Z983">
        <v>1254.5</v>
      </c>
      <c r="AA983" t="str">
        <f t="shared" si="267"/>
        <v>06/08/2016</v>
      </c>
    </row>
    <row r="984" spans="1:27" x14ac:dyDescent="0.3">
      <c r="A984" t="str">
        <f t="shared" si="272"/>
        <v>048314</v>
      </c>
      <c r="B984" t="str">
        <f t="shared" si="264"/>
        <v>004796</v>
      </c>
      <c r="C984" t="s">
        <v>1720</v>
      </c>
      <c r="D984" t="s">
        <v>3839</v>
      </c>
      <c r="E984" t="s">
        <v>3840</v>
      </c>
      <c r="F984" t="s">
        <v>3841</v>
      </c>
      <c r="G984" t="s">
        <v>3842</v>
      </c>
      <c r="H984" t="str">
        <f t="shared" si="265"/>
        <v>048314</v>
      </c>
      <c r="I984" t="s">
        <v>833</v>
      </c>
      <c r="J984" t="str">
        <f>"2015-07-01 00:00:00.0"</f>
        <v>2015-07-01 00:00:00.0</v>
      </c>
      <c r="K984" t="s">
        <v>834</v>
      </c>
      <c r="L984" t="s">
        <v>0</v>
      </c>
      <c r="M984" t="str">
        <f t="shared" si="270"/>
        <v>048314</v>
      </c>
      <c r="N984">
        <v>1</v>
      </c>
      <c r="O984">
        <v>1</v>
      </c>
      <c r="P984" t="str">
        <f>"10"</f>
        <v>10</v>
      </c>
      <c r="Q984" t="s">
        <v>835</v>
      </c>
      <c r="S984" t="s">
        <v>836</v>
      </c>
      <c r="T984" t="s">
        <v>836</v>
      </c>
      <c r="U984" t="str">
        <f t="shared" si="275"/>
        <v>2500-12-31 00:00:00.0</v>
      </c>
      <c r="V984" t="s">
        <v>837</v>
      </c>
      <c r="W984" t="str">
        <f t="shared" si="274"/>
        <v>048314-004796-**-**</v>
      </c>
      <c r="X984" t="s">
        <v>838</v>
      </c>
      <c r="Y984">
        <v>1254.5</v>
      </c>
      <c r="Z984">
        <v>1254.5</v>
      </c>
      <c r="AA984" t="str">
        <f t="shared" si="267"/>
        <v>06/08/2016</v>
      </c>
    </row>
    <row r="985" spans="1:27" x14ac:dyDescent="0.3">
      <c r="A985" t="str">
        <f t="shared" si="272"/>
        <v>048314</v>
      </c>
      <c r="B985" t="str">
        <f t="shared" si="264"/>
        <v>004796</v>
      </c>
      <c r="C985" t="s">
        <v>3439</v>
      </c>
      <c r="D985" t="s">
        <v>3839</v>
      </c>
      <c r="E985" t="s">
        <v>3840</v>
      </c>
      <c r="F985" t="s">
        <v>3841</v>
      </c>
      <c r="G985" t="s">
        <v>3842</v>
      </c>
      <c r="H985" t="str">
        <f t="shared" si="265"/>
        <v>048314</v>
      </c>
      <c r="I985" t="s">
        <v>833</v>
      </c>
      <c r="J985" t="str">
        <f>"2015-07-01 00:00:00.0"</f>
        <v>2015-07-01 00:00:00.0</v>
      </c>
      <c r="K985" t="s">
        <v>834</v>
      </c>
      <c r="L985" t="s">
        <v>0</v>
      </c>
      <c r="M985" t="str">
        <f t="shared" si="270"/>
        <v>048314</v>
      </c>
      <c r="N985">
        <v>1</v>
      </c>
      <c r="O985">
        <v>1</v>
      </c>
      <c r="P985" t="str">
        <f>"12"</f>
        <v>12</v>
      </c>
      <c r="Q985" t="s">
        <v>835</v>
      </c>
      <c r="S985" t="s">
        <v>836</v>
      </c>
      <c r="T985" t="s">
        <v>836</v>
      </c>
      <c r="U985" t="str">
        <f t="shared" si="275"/>
        <v>2500-12-31 00:00:00.0</v>
      </c>
      <c r="V985" t="s">
        <v>837</v>
      </c>
      <c r="W985" t="str">
        <f>"048314-004796-12-SE"</f>
        <v>048314-004796-12-SE</v>
      </c>
      <c r="X985" t="s">
        <v>838</v>
      </c>
      <c r="Y985">
        <v>1254.5</v>
      </c>
      <c r="Z985">
        <v>1254.5</v>
      </c>
      <c r="AA985" t="str">
        <f t="shared" si="267"/>
        <v>06/08/2016</v>
      </c>
    </row>
    <row r="986" spans="1:27" x14ac:dyDescent="0.3">
      <c r="A986" t="str">
        <f t="shared" si="272"/>
        <v>048314</v>
      </c>
      <c r="B986" t="str">
        <f t="shared" si="264"/>
        <v>004796</v>
      </c>
      <c r="C986" t="s">
        <v>2306</v>
      </c>
      <c r="D986" t="s">
        <v>3839</v>
      </c>
      <c r="E986" t="s">
        <v>3840</v>
      </c>
      <c r="F986" t="s">
        <v>3841</v>
      </c>
      <c r="G986" t="s">
        <v>3842</v>
      </c>
      <c r="H986" t="str">
        <f t="shared" si="265"/>
        <v>048314</v>
      </c>
      <c r="I986" t="s">
        <v>833</v>
      </c>
      <c r="J986" t="str">
        <f>"2015-08-31 00:00:00.0"</f>
        <v>2015-08-31 00:00:00.0</v>
      </c>
      <c r="K986" t="s">
        <v>834</v>
      </c>
      <c r="L986" t="s">
        <v>0</v>
      </c>
      <c r="M986" t="str">
        <f t="shared" si="270"/>
        <v>048314</v>
      </c>
      <c r="N986">
        <v>1</v>
      </c>
      <c r="O986">
        <v>1</v>
      </c>
      <c r="P986" t="str">
        <f>"09"</f>
        <v>09</v>
      </c>
      <c r="Q986" t="s">
        <v>835</v>
      </c>
      <c r="S986" t="s">
        <v>860</v>
      </c>
      <c r="T986" t="s">
        <v>836</v>
      </c>
      <c r="U986" t="str">
        <f t="shared" si="275"/>
        <v>2500-12-31 00:00:00.0</v>
      </c>
      <c r="V986" t="s">
        <v>837</v>
      </c>
      <c r="W986" t="str">
        <f>"048314-004796-**-**"</f>
        <v>048314-004796-**-**</v>
      </c>
      <c r="X986" t="s">
        <v>838</v>
      </c>
      <c r="Y986">
        <v>1254.5</v>
      </c>
      <c r="Z986">
        <v>1254.5</v>
      </c>
      <c r="AA986" t="str">
        <f t="shared" si="267"/>
        <v>06/08/2016</v>
      </c>
    </row>
    <row r="987" spans="1:27" x14ac:dyDescent="0.3">
      <c r="A987" t="str">
        <f t="shared" si="272"/>
        <v>048314</v>
      </c>
      <c r="B987" t="str">
        <f t="shared" si="264"/>
        <v>004796</v>
      </c>
      <c r="C987" t="s">
        <v>1293</v>
      </c>
      <c r="D987" t="s">
        <v>3839</v>
      </c>
      <c r="E987" t="s">
        <v>3840</v>
      </c>
      <c r="F987" t="s">
        <v>3841</v>
      </c>
      <c r="G987" t="s">
        <v>3842</v>
      </c>
      <c r="H987" t="str">
        <f t="shared" si="265"/>
        <v>048314</v>
      </c>
      <c r="I987" t="s">
        <v>833</v>
      </c>
      <c r="J987" t="str">
        <f t="shared" ref="J987:J992" si="276">"2015-07-01 00:00:00.0"</f>
        <v>2015-07-01 00:00:00.0</v>
      </c>
      <c r="K987" t="s">
        <v>834</v>
      </c>
      <c r="L987" t="s">
        <v>0</v>
      </c>
      <c r="M987" t="str">
        <f t="shared" si="270"/>
        <v>048314</v>
      </c>
      <c r="N987">
        <v>1</v>
      </c>
      <c r="O987">
        <v>1</v>
      </c>
      <c r="P987" t="str">
        <f>"11"</f>
        <v>11</v>
      </c>
      <c r="Q987" t="s">
        <v>835</v>
      </c>
      <c r="S987" t="s">
        <v>836</v>
      </c>
      <c r="T987" t="s">
        <v>836</v>
      </c>
      <c r="U987" t="str">
        <f t="shared" si="275"/>
        <v>2500-12-31 00:00:00.0</v>
      </c>
      <c r="V987" t="s">
        <v>837</v>
      </c>
      <c r="W987" t="str">
        <f>"048314-004796-**-**"</f>
        <v>048314-004796-**-**</v>
      </c>
      <c r="X987" t="s">
        <v>838</v>
      </c>
      <c r="Y987">
        <v>1254.5</v>
      </c>
      <c r="Z987">
        <v>1254.5</v>
      </c>
      <c r="AA987" t="str">
        <f t="shared" si="267"/>
        <v>06/08/2016</v>
      </c>
    </row>
    <row r="988" spans="1:27" x14ac:dyDescent="0.3">
      <c r="A988" t="str">
        <f t="shared" si="272"/>
        <v>048314</v>
      </c>
      <c r="B988" t="str">
        <f t="shared" si="264"/>
        <v>004796</v>
      </c>
      <c r="C988" t="s">
        <v>1747</v>
      </c>
      <c r="D988" t="s">
        <v>3839</v>
      </c>
      <c r="E988" t="s">
        <v>3840</v>
      </c>
      <c r="F988" t="s">
        <v>3841</v>
      </c>
      <c r="G988" t="s">
        <v>3842</v>
      </c>
      <c r="H988" t="str">
        <f t="shared" si="265"/>
        <v>048314</v>
      </c>
      <c r="I988" t="s">
        <v>833</v>
      </c>
      <c r="J988" t="str">
        <f t="shared" si="276"/>
        <v>2015-07-01 00:00:00.0</v>
      </c>
      <c r="K988" t="s">
        <v>834</v>
      </c>
      <c r="L988" t="s">
        <v>0</v>
      </c>
      <c r="M988" t="str">
        <f t="shared" si="270"/>
        <v>048314</v>
      </c>
      <c r="N988">
        <v>1</v>
      </c>
      <c r="O988">
        <v>1</v>
      </c>
      <c r="P988" t="str">
        <f>"11"</f>
        <v>11</v>
      </c>
      <c r="Q988" t="s">
        <v>835</v>
      </c>
      <c r="S988" t="s">
        <v>836</v>
      </c>
      <c r="T988" t="s">
        <v>836</v>
      </c>
      <c r="U988" t="str">
        <f t="shared" si="275"/>
        <v>2500-12-31 00:00:00.0</v>
      </c>
      <c r="V988" t="s">
        <v>837</v>
      </c>
      <c r="W988" t="str">
        <f>"048314-004796-**-**"</f>
        <v>048314-004796-**-**</v>
      </c>
      <c r="X988" t="s">
        <v>838</v>
      </c>
      <c r="Y988">
        <v>1254.5</v>
      </c>
      <c r="Z988">
        <v>1254.5</v>
      </c>
      <c r="AA988" t="str">
        <f t="shared" si="267"/>
        <v>06/08/2016</v>
      </c>
    </row>
    <row r="989" spans="1:27" x14ac:dyDescent="0.3">
      <c r="A989" t="str">
        <f t="shared" si="272"/>
        <v>048314</v>
      </c>
      <c r="B989" t="str">
        <f t="shared" si="264"/>
        <v>004796</v>
      </c>
      <c r="C989" t="s">
        <v>1657</v>
      </c>
      <c r="D989" t="s">
        <v>3839</v>
      </c>
      <c r="E989" t="s">
        <v>3840</v>
      </c>
      <c r="F989" t="s">
        <v>3841</v>
      </c>
      <c r="G989" t="s">
        <v>3842</v>
      </c>
      <c r="H989" t="str">
        <f t="shared" si="265"/>
        <v>048314</v>
      </c>
      <c r="I989" t="s">
        <v>833</v>
      </c>
      <c r="J989" t="str">
        <f t="shared" si="276"/>
        <v>2015-07-01 00:00:00.0</v>
      </c>
      <c r="K989" t="s">
        <v>834</v>
      </c>
      <c r="L989" t="s">
        <v>0</v>
      </c>
      <c r="M989" t="str">
        <f t="shared" si="270"/>
        <v>048314</v>
      </c>
      <c r="N989">
        <v>1</v>
      </c>
      <c r="O989">
        <v>1</v>
      </c>
      <c r="P989" t="str">
        <f>"10"</f>
        <v>10</v>
      </c>
      <c r="Q989" t="s">
        <v>835</v>
      </c>
      <c r="S989" t="s">
        <v>836</v>
      </c>
      <c r="T989" t="s">
        <v>836</v>
      </c>
      <c r="U989" t="str">
        <f t="shared" si="275"/>
        <v>2500-12-31 00:00:00.0</v>
      </c>
      <c r="V989" t="s">
        <v>837</v>
      </c>
      <c r="W989" t="str">
        <f>"048314-004796-**-**"</f>
        <v>048314-004796-**-**</v>
      </c>
      <c r="X989" t="s">
        <v>838</v>
      </c>
      <c r="Y989">
        <v>1254.5</v>
      </c>
      <c r="Z989">
        <v>1254.5</v>
      </c>
      <c r="AA989" t="str">
        <f t="shared" si="267"/>
        <v>06/08/2016</v>
      </c>
    </row>
    <row r="990" spans="1:27" x14ac:dyDescent="0.3">
      <c r="A990" t="str">
        <f t="shared" si="272"/>
        <v>048314</v>
      </c>
      <c r="B990" t="str">
        <f t="shared" si="264"/>
        <v>004796</v>
      </c>
      <c r="C990" t="s">
        <v>1748</v>
      </c>
      <c r="D990" t="s">
        <v>3839</v>
      </c>
      <c r="E990" t="s">
        <v>3840</v>
      </c>
      <c r="F990" t="s">
        <v>3841</v>
      </c>
      <c r="G990" t="s">
        <v>3842</v>
      </c>
      <c r="H990" t="str">
        <f t="shared" si="265"/>
        <v>048314</v>
      </c>
      <c r="I990" t="s">
        <v>833</v>
      </c>
      <c r="J990" t="str">
        <f t="shared" si="276"/>
        <v>2015-07-01 00:00:00.0</v>
      </c>
      <c r="K990" t="s">
        <v>834</v>
      </c>
      <c r="L990" t="s">
        <v>0</v>
      </c>
      <c r="M990" t="str">
        <f t="shared" si="270"/>
        <v>048314</v>
      </c>
      <c r="N990">
        <v>1</v>
      </c>
      <c r="O990">
        <v>1</v>
      </c>
      <c r="P990" t="str">
        <f>"11"</f>
        <v>11</v>
      </c>
      <c r="Q990" t="s">
        <v>835</v>
      </c>
      <c r="S990" t="s">
        <v>836</v>
      </c>
      <c r="T990" t="s">
        <v>836</v>
      </c>
      <c r="U990" t="str">
        <f t="shared" si="275"/>
        <v>2500-12-31 00:00:00.0</v>
      </c>
      <c r="V990" t="s">
        <v>837</v>
      </c>
      <c r="W990" t="str">
        <f>"048314-004796-**-**"</f>
        <v>048314-004796-**-**</v>
      </c>
      <c r="X990" t="s">
        <v>838</v>
      </c>
      <c r="Y990">
        <v>1254.5</v>
      </c>
      <c r="Z990">
        <v>1254.5</v>
      </c>
      <c r="AA990" t="str">
        <f t="shared" si="267"/>
        <v>06/08/2016</v>
      </c>
    </row>
    <row r="991" spans="1:27" x14ac:dyDescent="0.3">
      <c r="A991" t="str">
        <f t="shared" si="272"/>
        <v>048314</v>
      </c>
      <c r="B991" t="str">
        <f t="shared" si="264"/>
        <v>004796</v>
      </c>
      <c r="C991" t="s">
        <v>1188</v>
      </c>
      <c r="D991" t="s">
        <v>3839</v>
      </c>
      <c r="E991" t="s">
        <v>3840</v>
      </c>
      <c r="F991" t="s">
        <v>3841</v>
      </c>
      <c r="G991" t="s">
        <v>3842</v>
      </c>
      <c r="H991" t="str">
        <f t="shared" si="265"/>
        <v>048314</v>
      </c>
      <c r="I991" t="s">
        <v>833</v>
      </c>
      <c r="J991" t="str">
        <f t="shared" si="276"/>
        <v>2015-07-01 00:00:00.0</v>
      </c>
      <c r="K991" t="s">
        <v>834</v>
      </c>
      <c r="L991" t="s">
        <v>0</v>
      </c>
      <c r="M991" t="str">
        <f t="shared" si="270"/>
        <v>048314</v>
      </c>
      <c r="N991">
        <v>1</v>
      </c>
      <c r="O991">
        <v>1</v>
      </c>
      <c r="P991" t="str">
        <f>"12"</f>
        <v>12</v>
      </c>
      <c r="Q991" t="s">
        <v>835</v>
      </c>
      <c r="S991" t="s">
        <v>836</v>
      </c>
      <c r="T991" t="s">
        <v>836</v>
      </c>
      <c r="U991" t="str">
        <f t="shared" si="275"/>
        <v>2500-12-31 00:00:00.0</v>
      </c>
      <c r="V991" t="s">
        <v>837</v>
      </c>
      <c r="W991" t="str">
        <f>"048314-004796-12-SE"</f>
        <v>048314-004796-12-SE</v>
      </c>
      <c r="X991" t="s">
        <v>838</v>
      </c>
      <c r="Y991">
        <v>1254.5</v>
      </c>
      <c r="Z991">
        <v>1254.5</v>
      </c>
      <c r="AA991" t="str">
        <f t="shared" si="267"/>
        <v>06/08/2016</v>
      </c>
    </row>
    <row r="992" spans="1:27" x14ac:dyDescent="0.3">
      <c r="A992" t="str">
        <f t="shared" si="272"/>
        <v>048314</v>
      </c>
      <c r="B992" t="str">
        <f t="shared" si="264"/>
        <v>004796</v>
      </c>
      <c r="C992" t="s">
        <v>1423</v>
      </c>
      <c r="D992" t="s">
        <v>3839</v>
      </c>
      <c r="E992" t="s">
        <v>3840</v>
      </c>
      <c r="F992" t="s">
        <v>3841</v>
      </c>
      <c r="G992" t="s">
        <v>3842</v>
      </c>
      <c r="H992" t="str">
        <f t="shared" si="265"/>
        <v>048314</v>
      </c>
      <c r="I992" t="s">
        <v>833</v>
      </c>
      <c r="J992" t="str">
        <f t="shared" si="276"/>
        <v>2015-07-01 00:00:00.0</v>
      </c>
      <c r="K992" t="s">
        <v>834</v>
      </c>
      <c r="L992" t="s">
        <v>0</v>
      </c>
      <c r="M992" t="str">
        <f t="shared" si="270"/>
        <v>048314</v>
      </c>
      <c r="N992">
        <v>1</v>
      </c>
      <c r="O992">
        <v>1</v>
      </c>
      <c r="P992" t="str">
        <f>"12"</f>
        <v>12</v>
      </c>
      <c r="Q992" t="s">
        <v>835</v>
      </c>
      <c r="S992" t="s">
        <v>836</v>
      </c>
      <c r="T992" t="s">
        <v>836</v>
      </c>
      <c r="U992" t="str">
        <f t="shared" si="275"/>
        <v>2500-12-31 00:00:00.0</v>
      </c>
      <c r="V992" t="s">
        <v>837</v>
      </c>
      <c r="W992" t="str">
        <f>"048314-004796-12-SE"</f>
        <v>048314-004796-12-SE</v>
      </c>
      <c r="X992" t="s">
        <v>838</v>
      </c>
      <c r="Y992">
        <v>1254.5</v>
      </c>
      <c r="Z992">
        <v>1254.5</v>
      </c>
      <c r="AA992" t="str">
        <f t="shared" si="267"/>
        <v>06/08/2016</v>
      </c>
    </row>
    <row r="993" spans="1:27" x14ac:dyDescent="0.3">
      <c r="A993" t="str">
        <f t="shared" si="272"/>
        <v>048314</v>
      </c>
      <c r="B993" t="str">
        <f t="shared" si="264"/>
        <v>004796</v>
      </c>
      <c r="C993" t="s">
        <v>2281</v>
      </c>
      <c r="D993" t="s">
        <v>3839</v>
      </c>
      <c r="E993" t="s">
        <v>3840</v>
      </c>
      <c r="F993" t="s">
        <v>3841</v>
      </c>
      <c r="G993" t="s">
        <v>3842</v>
      </c>
      <c r="H993" t="str">
        <f t="shared" si="265"/>
        <v>048314</v>
      </c>
      <c r="I993" t="s">
        <v>833</v>
      </c>
      <c r="J993" t="str">
        <f>"2015-08-31 00:00:00.0"</f>
        <v>2015-08-31 00:00:00.0</v>
      </c>
      <c r="K993" t="s">
        <v>834</v>
      </c>
      <c r="L993" t="s">
        <v>0</v>
      </c>
      <c r="M993" t="str">
        <f t="shared" si="270"/>
        <v>048314</v>
      </c>
      <c r="N993">
        <v>1</v>
      </c>
      <c r="O993">
        <v>1</v>
      </c>
      <c r="P993" t="str">
        <f>"12"</f>
        <v>12</v>
      </c>
      <c r="Q993" t="s">
        <v>835</v>
      </c>
      <c r="S993" t="s">
        <v>860</v>
      </c>
      <c r="T993" t="s">
        <v>836</v>
      </c>
      <c r="U993" t="str">
        <f t="shared" si="275"/>
        <v>2500-12-31 00:00:00.0</v>
      </c>
      <c r="V993" t="s">
        <v>837</v>
      </c>
      <c r="W993" t="str">
        <f>"048314-004796-12-SE"</f>
        <v>048314-004796-12-SE</v>
      </c>
      <c r="X993" t="s">
        <v>838</v>
      </c>
      <c r="Y993">
        <v>1254.5</v>
      </c>
      <c r="Z993">
        <v>1254.5</v>
      </c>
      <c r="AA993" t="str">
        <f t="shared" si="267"/>
        <v>06/08/2016</v>
      </c>
    </row>
    <row r="994" spans="1:27" x14ac:dyDescent="0.3">
      <c r="A994" t="str">
        <f t="shared" si="272"/>
        <v>048314</v>
      </c>
      <c r="B994" t="str">
        <f t="shared" si="264"/>
        <v>004796</v>
      </c>
      <c r="C994" t="s">
        <v>2671</v>
      </c>
      <c r="D994" t="s">
        <v>3839</v>
      </c>
      <c r="E994" t="s">
        <v>3840</v>
      </c>
      <c r="F994" t="s">
        <v>3841</v>
      </c>
      <c r="G994" t="s">
        <v>3842</v>
      </c>
      <c r="H994" t="str">
        <f t="shared" si="265"/>
        <v>048314</v>
      </c>
      <c r="I994" t="s">
        <v>833</v>
      </c>
      <c r="J994" t="str">
        <f>"2015-07-01 00:00:00.0"</f>
        <v>2015-07-01 00:00:00.0</v>
      </c>
      <c r="K994" t="s">
        <v>834</v>
      </c>
      <c r="L994" t="s">
        <v>0</v>
      </c>
      <c r="M994" t="str">
        <f t="shared" si="270"/>
        <v>048314</v>
      </c>
      <c r="N994">
        <v>1</v>
      </c>
      <c r="O994">
        <v>1</v>
      </c>
      <c r="P994" t="str">
        <f>"11"</f>
        <v>11</v>
      </c>
      <c r="Q994" t="s">
        <v>835</v>
      </c>
      <c r="S994" t="s">
        <v>860</v>
      </c>
      <c r="T994" t="s">
        <v>836</v>
      </c>
      <c r="U994" t="str">
        <f t="shared" si="275"/>
        <v>2500-12-31 00:00:00.0</v>
      </c>
      <c r="V994" t="s">
        <v>837</v>
      </c>
      <c r="W994" t="str">
        <f>"048314-004796-**-**"</f>
        <v>048314-004796-**-**</v>
      </c>
      <c r="X994" t="s">
        <v>838</v>
      </c>
      <c r="Y994">
        <v>1254.5</v>
      </c>
      <c r="Z994">
        <v>1254.5</v>
      </c>
      <c r="AA994" t="str">
        <f t="shared" si="267"/>
        <v>06/08/2016</v>
      </c>
    </row>
    <row r="995" spans="1:27" x14ac:dyDescent="0.3">
      <c r="A995" t="str">
        <f t="shared" si="272"/>
        <v>048314</v>
      </c>
      <c r="B995" t="str">
        <f t="shared" si="264"/>
        <v>004796</v>
      </c>
      <c r="C995" t="s">
        <v>2788</v>
      </c>
      <c r="D995" t="s">
        <v>3839</v>
      </c>
      <c r="E995" t="s">
        <v>3840</v>
      </c>
      <c r="F995" t="s">
        <v>3841</v>
      </c>
      <c r="G995" t="s">
        <v>3842</v>
      </c>
      <c r="H995" t="str">
        <f t="shared" si="265"/>
        <v>048314</v>
      </c>
      <c r="I995" t="s">
        <v>833</v>
      </c>
      <c r="J995" t="str">
        <f>"2015-07-01 00:00:00.0"</f>
        <v>2015-07-01 00:00:00.0</v>
      </c>
      <c r="K995" t="s">
        <v>834</v>
      </c>
      <c r="L995" t="s">
        <v>0</v>
      </c>
      <c r="M995" t="str">
        <f t="shared" si="270"/>
        <v>048314</v>
      </c>
      <c r="N995">
        <v>1</v>
      </c>
      <c r="O995">
        <v>1</v>
      </c>
      <c r="P995" t="str">
        <f>"10"</f>
        <v>10</v>
      </c>
      <c r="Q995" t="s">
        <v>835</v>
      </c>
      <c r="S995" t="s">
        <v>860</v>
      </c>
      <c r="T995" t="s">
        <v>836</v>
      </c>
      <c r="U995" t="str">
        <f t="shared" si="275"/>
        <v>2500-12-31 00:00:00.0</v>
      </c>
      <c r="V995" t="s">
        <v>837</v>
      </c>
      <c r="W995" t="str">
        <f>"048314-004796-**-**"</f>
        <v>048314-004796-**-**</v>
      </c>
      <c r="X995" t="s">
        <v>838</v>
      </c>
      <c r="Y995">
        <v>1254.5</v>
      </c>
      <c r="Z995">
        <v>1254.5</v>
      </c>
      <c r="AA995" t="str">
        <f t="shared" si="267"/>
        <v>06/08/2016</v>
      </c>
    </row>
    <row r="996" spans="1:27" x14ac:dyDescent="0.3">
      <c r="A996" t="str">
        <f t="shared" si="272"/>
        <v>048314</v>
      </c>
      <c r="B996" t="str">
        <f t="shared" si="264"/>
        <v>004796</v>
      </c>
      <c r="C996" t="s">
        <v>2754</v>
      </c>
      <c r="D996" t="s">
        <v>3839</v>
      </c>
      <c r="E996" t="s">
        <v>3840</v>
      </c>
      <c r="F996" t="s">
        <v>3841</v>
      </c>
      <c r="G996" t="s">
        <v>3842</v>
      </c>
      <c r="H996" t="str">
        <f t="shared" si="265"/>
        <v>048314</v>
      </c>
      <c r="I996" t="s">
        <v>833</v>
      </c>
      <c r="J996" t="str">
        <f>"2015-07-01 00:00:00.0"</f>
        <v>2015-07-01 00:00:00.0</v>
      </c>
      <c r="K996" t="s">
        <v>834</v>
      </c>
      <c r="L996" t="s">
        <v>0</v>
      </c>
      <c r="M996" t="str">
        <f t="shared" si="270"/>
        <v>048314</v>
      </c>
      <c r="N996">
        <v>1</v>
      </c>
      <c r="O996">
        <v>1</v>
      </c>
      <c r="P996" t="str">
        <f>"10"</f>
        <v>10</v>
      </c>
      <c r="Q996" t="s">
        <v>835</v>
      </c>
      <c r="S996" t="s">
        <v>860</v>
      </c>
      <c r="T996" t="s">
        <v>836</v>
      </c>
      <c r="U996" t="str">
        <f t="shared" si="275"/>
        <v>2500-12-31 00:00:00.0</v>
      </c>
      <c r="V996" t="s">
        <v>837</v>
      </c>
      <c r="W996" t="str">
        <f>"048314-004796-**-**"</f>
        <v>048314-004796-**-**</v>
      </c>
      <c r="X996" t="s">
        <v>838</v>
      </c>
      <c r="Y996">
        <v>1254.5</v>
      </c>
      <c r="Z996">
        <v>1254.5</v>
      </c>
      <c r="AA996" t="str">
        <f t="shared" si="267"/>
        <v>06/08/2016</v>
      </c>
    </row>
    <row r="997" spans="1:27" x14ac:dyDescent="0.3">
      <c r="A997" t="str">
        <f t="shared" si="272"/>
        <v>048314</v>
      </c>
      <c r="B997" t="str">
        <f t="shared" si="264"/>
        <v>004796</v>
      </c>
      <c r="C997" t="s">
        <v>3695</v>
      </c>
      <c r="D997" t="s">
        <v>3839</v>
      </c>
      <c r="E997" t="s">
        <v>3840</v>
      </c>
      <c r="F997" t="s">
        <v>3841</v>
      </c>
      <c r="G997" t="s">
        <v>3842</v>
      </c>
      <c r="H997" t="str">
        <f t="shared" si="265"/>
        <v>048314</v>
      </c>
      <c r="I997" t="s">
        <v>833</v>
      </c>
      <c r="J997" t="str">
        <f>"2015-08-31 00:00:00.0"</f>
        <v>2015-08-31 00:00:00.0</v>
      </c>
      <c r="K997" t="s">
        <v>834</v>
      </c>
      <c r="L997" t="s">
        <v>0</v>
      </c>
      <c r="M997" t="str">
        <f t="shared" si="270"/>
        <v>048314</v>
      </c>
      <c r="N997">
        <v>1</v>
      </c>
      <c r="O997">
        <v>1</v>
      </c>
      <c r="P997" t="str">
        <f>"12"</f>
        <v>12</v>
      </c>
      <c r="Q997" t="s">
        <v>835</v>
      </c>
      <c r="S997" t="s">
        <v>836</v>
      </c>
      <c r="T997" t="s">
        <v>836</v>
      </c>
      <c r="U997" t="str">
        <f t="shared" si="275"/>
        <v>2500-12-31 00:00:00.0</v>
      </c>
      <c r="V997" t="s">
        <v>837</v>
      </c>
      <c r="W997" t="str">
        <f>"048314-004796-12-SE"</f>
        <v>048314-004796-12-SE</v>
      </c>
      <c r="X997" t="s">
        <v>838</v>
      </c>
      <c r="Y997">
        <v>1254.5</v>
      </c>
      <c r="Z997">
        <v>1254.5</v>
      </c>
      <c r="AA997" t="str">
        <f t="shared" si="267"/>
        <v>06/08/2016</v>
      </c>
    </row>
    <row r="998" spans="1:27" x14ac:dyDescent="0.3">
      <c r="A998" t="str">
        <f t="shared" si="272"/>
        <v>048314</v>
      </c>
      <c r="B998" t="str">
        <f t="shared" si="264"/>
        <v>004796</v>
      </c>
      <c r="C998" t="s">
        <v>1638</v>
      </c>
      <c r="D998" t="s">
        <v>3839</v>
      </c>
      <c r="E998" t="s">
        <v>3840</v>
      </c>
      <c r="F998" t="s">
        <v>3841</v>
      </c>
      <c r="G998" t="s">
        <v>3842</v>
      </c>
      <c r="H998" t="str">
        <f t="shared" si="265"/>
        <v>048314</v>
      </c>
      <c r="I998" t="s">
        <v>833</v>
      </c>
      <c r="J998" t="str">
        <f>"2015-07-01 00:00:00.0"</f>
        <v>2015-07-01 00:00:00.0</v>
      </c>
      <c r="K998" t="s">
        <v>834</v>
      </c>
      <c r="L998" t="s">
        <v>0</v>
      </c>
      <c r="M998" t="str">
        <f t="shared" si="270"/>
        <v>048314</v>
      </c>
      <c r="N998">
        <v>1</v>
      </c>
      <c r="O998">
        <v>1</v>
      </c>
      <c r="P998" t="str">
        <f>"10"</f>
        <v>10</v>
      </c>
      <c r="Q998" t="s">
        <v>835</v>
      </c>
      <c r="S998" t="s">
        <v>836</v>
      </c>
      <c r="T998" t="s">
        <v>836</v>
      </c>
      <c r="U998" t="str">
        <f t="shared" si="275"/>
        <v>2500-12-31 00:00:00.0</v>
      </c>
      <c r="V998" t="s">
        <v>837</v>
      </c>
      <c r="W998" t="str">
        <f>"048314-004796-**-**"</f>
        <v>048314-004796-**-**</v>
      </c>
      <c r="X998" t="s">
        <v>838</v>
      </c>
      <c r="Y998">
        <v>1254.5</v>
      </c>
      <c r="Z998">
        <v>1254.5</v>
      </c>
      <c r="AA998" t="str">
        <f t="shared" si="267"/>
        <v>06/08/2016</v>
      </c>
    </row>
    <row r="999" spans="1:27" x14ac:dyDescent="0.3">
      <c r="A999" t="str">
        <f t="shared" si="272"/>
        <v>048314</v>
      </c>
      <c r="B999" t="str">
        <f t="shared" si="264"/>
        <v>004796</v>
      </c>
      <c r="C999" t="s">
        <v>900</v>
      </c>
      <c r="D999" t="s">
        <v>3839</v>
      </c>
      <c r="E999" t="s">
        <v>3840</v>
      </c>
      <c r="F999" t="s">
        <v>3841</v>
      </c>
      <c r="G999" t="s">
        <v>3842</v>
      </c>
      <c r="H999" t="str">
        <f t="shared" si="265"/>
        <v>048314</v>
      </c>
      <c r="I999" t="s">
        <v>833</v>
      </c>
      <c r="J999" t="str">
        <f>"2015-07-01 00:00:00.0"</f>
        <v>2015-07-01 00:00:00.0</v>
      </c>
      <c r="K999" t="s">
        <v>834</v>
      </c>
      <c r="L999" t="s">
        <v>0</v>
      </c>
      <c r="M999" t="str">
        <f t="shared" si="270"/>
        <v>048314</v>
      </c>
      <c r="N999">
        <v>1</v>
      </c>
      <c r="O999">
        <v>1</v>
      </c>
      <c r="P999" t="str">
        <f>"23"</f>
        <v>23</v>
      </c>
      <c r="Q999" t="str">
        <f>"12"</f>
        <v>12</v>
      </c>
      <c r="R999" t="str">
        <f>"6"</f>
        <v>6</v>
      </c>
      <c r="S999" t="s">
        <v>836</v>
      </c>
      <c r="T999" t="s">
        <v>836</v>
      </c>
      <c r="U999" t="str">
        <f t="shared" si="275"/>
        <v>2500-12-31 00:00:00.0</v>
      </c>
      <c r="V999" t="s">
        <v>837</v>
      </c>
      <c r="W999" t="str">
        <f>"048314-004796-**-**"</f>
        <v>048314-004796-**-**</v>
      </c>
      <c r="X999" t="s">
        <v>838</v>
      </c>
      <c r="Y999">
        <v>1254.5</v>
      </c>
      <c r="Z999">
        <v>1254.5</v>
      </c>
      <c r="AA999" t="str">
        <f t="shared" si="267"/>
        <v>06/08/2016</v>
      </c>
    </row>
    <row r="1000" spans="1:27" x14ac:dyDescent="0.3">
      <c r="A1000" t="str">
        <f t="shared" si="272"/>
        <v>048314</v>
      </c>
      <c r="B1000" t="str">
        <f t="shared" si="264"/>
        <v>004796</v>
      </c>
      <c r="C1000" t="s">
        <v>1189</v>
      </c>
      <c r="D1000" t="s">
        <v>3839</v>
      </c>
      <c r="E1000" t="s">
        <v>3840</v>
      </c>
      <c r="F1000" t="s">
        <v>3841</v>
      </c>
      <c r="G1000" t="s">
        <v>3842</v>
      </c>
      <c r="H1000" t="str">
        <f t="shared" si="265"/>
        <v>048314</v>
      </c>
      <c r="I1000" t="s">
        <v>833</v>
      </c>
      <c r="J1000" t="str">
        <f>"2015-07-01 00:00:00.0"</f>
        <v>2015-07-01 00:00:00.0</v>
      </c>
      <c r="K1000" t="s">
        <v>834</v>
      </c>
      <c r="L1000" t="s">
        <v>0</v>
      </c>
      <c r="M1000" t="str">
        <f t="shared" si="270"/>
        <v>048314</v>
      </c>
      <c r="N1000">
        <v>1</v>
      </c>
      <c r="O1000">
        <v>1</v>
      </c>
      <c r="P1000" t="str">
        <f>"12"</f>
        <v>12</v>
      </c>
      <c r="Q1000" t="s">
        <v>835</v>
      </c>
      <c r="S1000" t="s">
        <v>836</v>
      </c>
      <c r="T1000" t="s">
        <v>836</v>
      </c>
      <c r="U1000" t="str">
        <f t="shared" si="275"/>
        <v>2500-12-31 00:00:00.0</v>
      </c>
      <c r="V1000" t="s">
        <v>837</v>
      </c>
      <c r="W1000" t="str">
        <f>"048314-004796-12-SE"</f>
        <v>048314-004796-12-SE</v>
      </c>
      <c r="X1000" t="s">
        <v>838</v>
      </c>
      <c r="Y1000">
        <v>1254.5</v>
      </c>
      <c r="Z1000">
        <v>1254.5</v>
      </c>
      <c r="AA1000" t="str">
        <f t="shared" si="267"/>
        <v>06/08/2016</v>
      </c>
    </row>
    <row r="1001" spans="1:27" x14ac:dyDescent="0.3">
      <c r="A1001" t="str">
        <f t="shared" si="272"/>
        <v>048314</v>
      </c>
      <c r="B1001" t="str">
        <f t="shared" si="264"/>
        <v>004796</v>
      </c>
      <c r="C1001" t="s">
        <v>1338</v>
      </c>
      <c r="D1001" t="s">
        <v>3839</v>
      </c>
      <c r="E1001" t="s">
        <v>3840</v>
      </c>
      <c r="F1001" t="s">
        <v>3841</v>
      </c>
      <c r="G1001" t="s">
        <v>3842</v>
      </c>
      <c r="H1001" t="str">
        <f t="shared" si="265"/>
        <v>048314</v>
      </c>
      <c r="I1001" t="s">
        <v>833</v>
      </c>
      <c r="J1001" t="str">
        <f>"2015-07-01 00:00:00.0"</f>
        <v>2015-07-01 00:00:00.0</v>
      </c>
      <c r="K1001" t="s">
        <v>834</v>
      </c>
      <c r="L1001" t="s">
        <v>0</v>
      </c>
      <c r="M1001" t="str">
        <f t="shared" si="270"/>
        <v>048314</v>
      </c>
      <c r="N1001">
        <v>1</v>
      </c>
      <c r="O1001">
        <v>1</v>
      </c>
      <c r="P1001" t="str">
        <f>"11"</f>
        <v>11</v>
      </c>
      <c r="Q1001" t="s">
        <v>835</v>
      </c>
      <c r="S1001" t="s">
        <v>836</v>
      </c>
      <c r="T1001" t="s">
        <v>836</v>
      </c>
      <c r="U1001" t="str">
        <f t="shared" si="275"/>
        <v>2500-12-31 00:00:00.0</v>
      </c>
      <c r="V1001" t="s">
        <v>837</v>
      </c>
      <c r="W1001" t="str">
        <f>"048314-004796-**-**"</f>
        <v>048314-004796-**-**</v>
      </c>
      <c r="X1001" t="s">
        <v>838</v>
      </c>
      <c r="Y1001">
        <v>1254.5</v>
      </c>
      <c r="Z1001">
        <v>1254.5</v>
      </c>
      <c r="AA1001" t="str">
        <f t="shared" si="267"/>
        <v>06/08/2016</v>
      </c>
    </row>
    <row r="1002" spans="1:27" x14ac:dyDescent="0.3">
      <c r="A1002" t="str">
        <f t="shared" si="272"/>
        <v>048314</v>
      </c>
      <c r="B1002" t="str">
        <f t="shared" si="264"/>
        <v>004796</v>
      </c>
      <c r="C1002" t="s">
        <v>1382</v>
      </c>
      <c r="D1002" t="s">
        <v>3839</v>
      </c>
      <c r="E1002" t="s">
        <v>3840</v>
      </c>
      <c r="F1002" t="s">
        <v>3841</v>
      </c>
      <c r="G1002" t="s">
        <v>3842</v>
      </c>
      <c r="H1002" t="str">
        <f t="shared" si="265"/>
        <v>048314</v>
      </c>
      <c r="I1002" t="s">
        <v>833</v>
      </c>
      <c r="J1002" t="str">
        <f>"2015-07-01 00:00:00.0"</f>
        <v>2015-07-01 00:00:00.0</v>
      </c>
      <c r="K1002" t="s">
        <v>834</v>
      </c>
      <c r="L1002" t="s">
        <v>0</v>
      </c>
      <c r="M1002" t="str">
        <f t="shared" si="270"/>
        <v>048314</v>
      </c>
      <c r="N1002">
        <v>1</v>
      </c>
      <c r="O1002">
        <v>1</v>
      </c>
      <c r="P1002" t="str">
        <f>"11"</f>
        <v>11</v>
      </c>
      <c r="Q1002" t="str">
        <f>"15"</f>
        <v>15</v>
      </c>
      <c r="R1002" t="str">
        <f>"2"</f>
        <v>2</v>
      </c>
      <c r="S1002" t="s">
        <v>836</v>
      </c>
      <c r="T1002" t="s">
        <v>836</v>
      </c>
      <c r="U1002" t="str">
        <f t="shared" si="275"/>
        <v>2500-12-31 00:00:00.0</v>
      </c>
      <c r="V1002" t="s">
        <v>837</v>
      </c>
      <c r="W1002" t="str">
        <f>"048314-004796-**-**"</f>
        <v>048314-004796-**-**</v>
      </c>
      <c r="X1002" t="s">
        <v>838</v>
      </c>
      <c r="Y1002">
        <v>1254.5</v>
      </c>
      <c r="Z1002">
        <v>1254.5</v>
      </c>
      <c r="AA1002" t="str">
        <f t="shared" si="267"/>
        <v>06/08/2016</v>
      </c>
    </row>
    <row r="1003" spans="1:27" x14ac:dyDescent="0.3">
      <c r="A1003" t="str">
        <f t="shared" si="272"/>
        <v>048314</v>
      </c>
      <c r="B1003" t="str">
        <f t="shared" si="264"/>
        <v>004796</v>
      </c>
      <c r="C1003" t="s">
        <v>1035</v>
      </c>
      <c r="D1003" t="s">
        <v>3839</v>
      </c>
      <c r="E1003" t="s">
        <v>3840</v>
      </c>
      <c r="F1003" t="s">
        <v>3841</v>
      </c>
      <c r="G1003" t="s">
        <v>3842</v>
      </c>
      <c r="H1003" t="str">
        <f t="shared" si="265"/>
        <v>048314</v>
      </c>
      <c r="I1003" t="s">
        <v>833</v>
      </c>
      <c r="J1003" t="str">
        <f>"2015-08-03 00:00:00.0"</f>
        <v>2015-08-03 00:00:00.0</v>
      </c>
      <c r="K1003" t="s">
        <v>834</v>
      </c>
      <c r="L1003" t="s">
        <v>0</v>
      </c>
      <c r="M1003" t="str">
        <f t="shared" si="270"/>
        <v>048314</v>
      </c>
      <c r="N1003">
        <v>0.73057000000000005</v>
      </c>
      <c r="O1003">
        <v>0.73057000000000005</v>
      </c>
      <c r="P1003" t="str">
        <f>"10"</f>
        <v>10</v>
      </c>
      <c r="Q1003" t="s">
        <v>835</v>
      </c>
      <c r="S1003" t="s">
        <v>836</v>
      </c>
      <c r="T1003" t="s">
        <v>836</v>
      </c>
      <c r="U1003" t="str">
        <f>"2016-03-24 00:00:00.0"</f>
        <v>2016-03-24 00:00:00.0</v>
      </c>
      <c r="V1003" t="s">
        <v>837</v>
      </c>
      <c r="W1003" t="str">
        <f>"048314-004796-**-**"</f>
        <v>048314-004796-**-**</v>
      </c>
      <c r="X1003" t="s">
        <v>838</v>
      </c>
      <c r="Y1003">
        <v>916.5</v>
      </c>
      <c r="Z1003">
        <v>1254.5</v>
      </c>
      <c r="AA1003" t="str">
        <f t="shared" si="267"/>
        <v>06/08/2016</v>
      </c>
    </row>
    <row r="1004" spans="1:27" x14ac:dyDescent="0.3">
      <c r="A1004" t="str">
        <f t="shared" si="272"/>
        <v>048314</v>
      </c>
      <c r="B1004" t="str">
        <f t="shared" si="264"/>
        <v>004796</v>
      </c>
      <c r="C1004" t="s">
        <v>1749</v>
      </c>
      <c r="D1004" t="s">
        <v>3839</v>
      </c>
      <c r="E1004" t="s">
        <v>3840</v>
      </c>
      <c r="F1004" t="s">
        <v>3841</v>
      </c>
      <c r="G1004" t="s">
        <v>3842</v>
      </c>
      <c r="H1004" t="str">
        <f t="shared" si="265"/>
        <v>048314</v>
      </c>
      <c r="I1004" t="s">
        <v>833</v>
      </c>
      <c r="J1004" t="str">
        <f>"2015-07-01 00:00:00.0"</f>
        <v>2015-07-01 00:00:00.0</v>
      </c>
      <c r="K1004" t="s">
        <v>834</v>
      </c>
      <c r="L1004" t="s">
        <v>0</v>
      </c>
      <c r="M1004" t="str">
        <f t="shared" si="270"/>
        <v>048314</v>
      </c>
      <c r="N1004">
        <v>1</v>
      </c>
      <c r="O1004">
        <v>1</v>
      </c>
      <c r="P1004" t="str">
        <f>"11"</f>
        <v>11</v>
      </c>
      <c r="Q1004" t="s">
        <v>835</v>
      </c>
      <c r="S1004" t="s">
        <v>836</v>
      </c>
      <c r="T1004" t="s">
        <v>836</v>
      </c>
      <c r="U1004" t="str">
        <f t="shared" ref="U1004:U1026" si="277">"2500-12-31 00:00:00.0"</f>
        <v>2500-12-31 00:00:00.0</v>
      </c>
      <c r="V1004" t="s">
        <v>837</v>
      </c>
      <c r="W1004" t="str">
        <f>"048314-004796-**-**"</f>
        <v>048314-004796-**-**</v>
      </c>
      <c r="X1004" t="s">
        <v>838</v>
      </c>
      <c r="Y1004">
        <v>1254.5</v>
      </c>
      <c r="Z1004">
        <v>1254.5</v>
      </c>
      <c r="AA1004" t="str">
        <f t="shared" si="267"/>
        <v>06/08/2016</v>
      </c>
    </row>
    <row r="1005" spans="1:27" x14ac:dyDescent="0.3">
      <c r="A1005" t="str">
        <f t="shared" si="272"/>
        <v>048314</v>
      </c>
      <c r="B1005" t="str">
        <f t="shared" ref="B1005:B1068" si="278">"004796"</f>
        <v>004796</v>
      </c>
      <c r="C1005" t="s">
        <v>1141</v>
      </c>
      <c r="D1005" t="s">
        <v>3839</v>
      </c>
      <c r="E1005" t="s">
        <v>3840</v>
      </c>
      <c r="F1005" t="s">
        <v>3841</v>
      </c>
      <c r="G1005" t="s">
        <v>3842</v>
      </c>
      <c r="H1005" t="str">
        <f t="shared" ref="H1005:H1039" si="279">"048314"</f>
        <v>048314</v>
      </c>
      <c r="I1005" t="s">
        <v>833</v>
      </c>
      <c r="J1005" t="str">
        <f>"2015-07-01 00:00:00.0"</f>
        <v>2015-07-01 00:00:00.0</v>
      </c>
      <c r="K1005" t="s">
        <v>834</v>
      </c>
      <c r="L1005" t="s">
        <v>0</v>
      </c>
      <c r="M1005" t="str">
        <f t="shared" si="270"/>
        <v>048314</v>
      </c>
      <c r="N1005">
        <v>1</v>
      </c>
      <c r="O1005">
        <v>1</v>
      </c>
      <c r="P1005" t="str">
        <f>"12"</f>
        <v>12</v>
      </c>
      <c r="Q1005" t="s">
        <v>835</v>
      </c>
      <c r="S1005" t="s">
        <v>836</v>
      </c>
      <c r="T1005" t="s">
        <v>836</v>
      </c>
      <c r="U1005" t="str">
        <f t="shared" si="277"/>
        <v>2500-12-31 00:00:00.0</v>
      </c>
      <c r="V1005" t="s">
        <v>837</v>
      </c>
      <c r="W1005" t="str">
        <f>"048314-004796-12-SE"</f>
        <v>048314-004796-12-SE</v>
      </c>
      <c r="X1005" t="s">
        <v>838</v>
      </c>
      <c r="Y1005">
        <v>1254.5</v>
      </c>
      <c r="Z1005">
        <v>1254.5</v>
      </c>
      <c r="AA1005" t="str">
        <f t="shared" ref="AA1005:AA1024" si="280">"06/08/2016"</f>
        <v>06/08/2016</v>
      </c>
    </row>
    <row r="1006" spans="1:27" x14ac:dyDescent="0.3">
      <c r="A1006" t="str">
        <f t="shared" si="272"/>
        <v>048314</v>
      </c>
      <c r="B1006" t="str">
        <f t="shared" si="278"/>
        <v>004796</v>
      </c>
      <c r="C1006" t="s">
        <v>1750</v>
      </c>
      <c r="D1006" t="s">
        <v>3839</v>
      </c>
      <c r="E1006" t="s">
        <v>3840</v>
      </c>
      <c r="F1006" t="s">
        <v>3841</v>
      </c>
      <c r="G1006" t="s">
        <v>3842</v>
      </c>
      <c r="H1006" t="str">
        <f t="shared" si="279"/>
        <v>048314</v>
      </c>
      <c r="I1006" t="s">
        <v>833</v>
      </c>
      <c r="J1006" t="str">
        <f>"2015-07-01 00:00:00.0"</f>
        <v>2015-07-01 00:00:00.0</v>
      </c>
      <c r="K1006" t="s">
        <v>834</v>
      </c>
      <c r="L1006" t="s">
        <v>0</v>
      </c>
      <c r="M1006" t="str">
        <f t="shared" si="270"/>
        <v>048314</v>
      </c>
      <c r="N1006">
        <v>1</v>
      </c>
      <c r="O1006">
        <v>1</v>
      </c>
      <c r="P1006" t="str">
        <f>"11"</f>
        <v>11</v>
      </c>
      <c r="Q1006" t="s">
        <v>835</v>
      </c>
      <c r="S1006" t="s">
        <v>836</v>
      </c>
      <c r="T1006" t="s">
        <v>836</v>
      </c>
      <c r="U1006" t="str">
        <f t="shared" si="277"/>
        <v>2500-12-31 00:00:00.0</v>
      </c>
      <c r="V1006" t="s">
        <v>837</v>
      </c>
      <c r="W1006" t="str">
        <f>"048314-004796-**-**"</f>
        <v>048314-004796-**-**</v>
      </c>
      <c r="X1006" t="s">
        <v>838</v>
      </c>
      <c r="Y1006">
        <v>1254.5</v>
      </c>
      <c r="Z1006">
        <v>1254.5</v>
      </c>
      <c r="AA1006" t="str">
        <f t="shared" si="280"/>
        <v>06/08/2016</v>
      </c>
    </row>
    <row r="1007" spans="1:27" x14ac:dyDescent="0.3">
      <c r="A1007" t="str">
        <f t="shared" si="272"/>
        <v>048314</v>
      </c>
      <c r="B1007" t="str">
        <f t="shared" si="278"/>
        <v>004796</v>
      </c>
      <c r="C1007" t="s">
        <v>1443</v>
      </c>
      <c r="D1007" t="s">
        <v>3839</v>
      </c>
      <c r="E1007" t="s">
        <v>3840</v>
      </c>
      <c r="F1007" t="s">
        <v>3841</v>
      </c>
      <c r="G1007" t="s">
        <v>3842</v>
      </c>
      <c r="H1007" t="str">
        <f t="shared" si="279"/>
        <v>048314</v>
      </c>
      <c r="I1007" t="s">
        <v>833</v>
      </c>
      <c r="J1007" t="str">
        <f>"2015-07-01 00:00:00.0"</f>
        <v>2015-07-01 00:00:00.0</v>
      </c>
      <c r="K1007" t="s">
        <v>834</v>
      </c>
      <c r="L1007" t="s">
        <v>0</v>
      </c>
      <c r="M1007" t="str">
        <f t="shared" si="270"/>
        <v>048314</v>
      </c>
      <c r="N1007">
        <v>1</v>
      </c>
      <c r="O1007">
        <v>1</v>
      </c>
      <c r="P1007" t="str">
        <f>"12"</f>
        <v>12</v>
      </c>
      <c r="Q1007" t="s">
        <v>835</v>
      </c>
      <c r="S1007" t="s">
        <v>836</v>
      </c>
      <c r="T1007" t="s">
        <v>836</v>
      </c>
      <c r="U1007" t="str">
        <f t="shared" si="277"/>
        <v>2500-12-31 00:00:00.0</v>
      </c>
      <c r="V1007" t="s">
        <v>837</v>
      </c>
      <c r="W1007" t="str">
        <f>"048314-004796-12-SE"</f>
        <v>048314-004796-12-SE</v>
      </c>
      <c r="X1007" t="s">
        <v>838</v>
      </c>
      <c r="Y1007">
        <v>1254.5</v>
      </c>
      <c r="Z1007">
        <v>1254.5</v>
      </c>
      <c r="AA1007" t="str">
        <f t="shared" si="280"/>
        <v>06/08/2016</v>
      </c>
    </row>
    <row r="1008" spans="1:27" x14ac:dyDescent="0.3">
      <c r="A1008" t="str">
        <f t="shared" si="272"/>
        <v>048314</v>
      </c>
      <c r="B1008" t="str">
        <f t="shared" si="278"/>
        <v>004796</v>
      </c>
      <c r="C1008" t="s">
        <v>1142</v>
      </c>
      <c r="D1008" t="s">
        <v>3839</v>
      </c>
      <c r="E1008" t="s">
        <v>3840</v>
      </c>
      <c r="F1008" t="s">
        <v>3841</v>
      </c>
      <c r="G1008" t="s">
        <v>3842</v>
      </c>
      <c r="H1008" t="str">
        <f>"045161"</f>
        <v>045161</v>
      </c>
      <c r="I1008" t="s">
        <v>833</v>
      </c>
      <c r="J1008" t="str">
        <f>"2015-08-24 00:00:00.0"</f>
        <v>2015-08-24 00:00:00.0</v>
      </c>
      <c r="K1008" t="s">
        <v>834</v>
      </c>
      <c r="L1008" t="s">
        <v>1</v>
      </c>
      <c r="M1008" t="str">
        <f t="shared" si="270"/>
        <v>048314</v>
      </c>
      <c r="N1008">
        <v>1</v>
      </c>
      <c r="O1008">
        <v>1</v>
      </c>
      <c r="P1008" t="str">
        <f>"12"</f>
        <v>12</v>
      </c>
      <c r="Q1008" t="str">
        <f>"10"</f>
        <v>10</v>
      </c>
      <c r="R1008" t="str">
        <f>"2"</f>
        <v>2</v>
      </c>
      <c r="S1008" t="s">
        <v>860</v>
      </c>
      <c r="T1008" t="s">
        <v>836</v>
      </c>
      <c r="U1008" t="str">
        <f t="shared" si="277"/>
        <v>2500-12-31 00:00:00.0</v>
      </c>
      <c r="V1008" t="s">
        <v>837</v>
      </c>
      <c r="W1008" t="str">
        <f>"045161-000342-12-SR"</f>
        <v>045161-000342-12-SR</v>
      </c>
      <c r="X1008" t="s">
        <v>838</v>
      </c>
      <c r="Y1008">
        <v>1042.75</v>
      </c>
      <c r="Z1008">
        <v>1042.75</v>
      </c>
      <c r="AA1008" t="str">
        <f t="shared" si="280"/>
        <v>06/08/2016</v>
      </c>
    </row>
    <row r="1009" spans="1:27" x14ac:dyDescent="0.3">
      <c r="A1009" t="str">
        <f t="shared" si="272"/>
        <v>048314</v>
      </c>
      <c r="B1009" t="str">
        <f t="shared" si="278"/>
        <v>004796</v>
      </c>
      <c r="C1009" t="s">
        <v>1143</v>
      </c>
      <c r="D1009" t="s">
        <v>3839</v>
      </c>
      <c r="E1009" t="s">
        <v>3840</v>
      </c>
      <c r="F1009" t="s">
        <v>3841</v>
      </c>
      <c r="G1009" t="s">
        <v>3842</v>
      </c>
      <c r="H1009" t="str">
        <f t="shared" ref="H1009:H1024" si="281">"048314"</f>
        <v>048314</v>
      </c>
      <c r="I1009" t="s">
        <v>833</v>
      </c>
      <c r="J1009" t="str">
        <f t="shared" ref="J1009:J1024" si="282">"2015-07-01 00:00:00.0"</f>
        <v>2015-07-01 00:00:00.0</v>
      </c>
      <c r="K1009" t="s">
        <v>834</v>
      </c>
      <c r="L1009" t="s">
        <v>0</v>
      </c>
      <c r="M1009" t="str">
        <f t="shared" si="270"/>
        <v>048314</v>
      </c>
      <c r="N1009">
        <v>1</v>
      </c>
      <c r="O1009">
        <v>1</v>
      </c>
      <c r="P1009" t="str">
        <f>"12"</f>
        <v>12</v>
      </c>
      <c r="Q1009" t="str">
        <f>"10"</f>
        <v>10</v>
      </c>
      <c r="R1009" t="str">
        <f>"2"</f>
        <v>2</v>
      </c>
      <c r="S1009" t="s">
        <v>836</v>
      </c>
      <c r="T1009" t="s">
        <v>836</v>
      </c>
      <c r="U1009" t="str">
        <f t="shared" si="277"/>
        <v>2500-12-31 00:00:00.0</v>
      </c>
      <c r="V1009" t="s">
        <v>837</v>
      </c>
      <c r="W1009" t="str">
        <f>"048314-004796-12-SE"</f>
        <v>048314-004796-12-SE</v>
      </c>
      <c r="X1009" t="s">
        <v>838</v>
      </c>
      <c r="Y1009">
        <v>1254.5</v>
      </c>
      <c r="Z1009">
        <v>1254.5</v>
      </c>
      <c r="AA1009" t="str">
        <f t="shared" si="280"/>
        <v>06/08/2016</v>
      </c>
    </row>
    <row r="1010" spans="1:27" x14ac:dyDescent="0.3">
      <c r="A1010" t="str">
        <f t="shared" si="272"/>
        <v>048314</v>
      </c>
      <c r="B1010" t="str">
        <f t="shared" si="278"/>
        <v>004796</v>
      </c>
      <c r="C1010" t="s">
        <v>1591</v>
      </c>
      <c r="D1010" t="s">
        <v>3839</v>
      </c>
      <c r="E1010" t="s">
        <v>3840</v>
      </c>
      <c r="F1010" t="s">
        <v>3841</v>
      </c>
      <c r="G1010" t="s">
        <v>3842</v>
      </c>
      <c r="H1010" t="str">
        <f t="shared" si="281"/>
        <v>048314</v>
      </c>
      <c r="I1010" t="s">
        <v>833</v>
      </c>
      <c r="J1010" t="str">
        <f t="shared" si="282"/>
        <v>2015-07-01 00:00:00.0</v>
      </c>
      <c r="K1010" t="s">
        <v>834</v>
      </c>
      <c r="L1010" t="s">
        <v>0</v>
      </c>
      <c r="M1010" t="str">
        <f t="shared" si="270"/>
        <v>048314</v>
      </c>
      <c r="N1010">
        <v>1</v>
      </c>
      <c r="O1010">
        <v>1</v>
      </c>
      <c r="P1010" t="str">
        <f>"10"</f>
        <v>10</v>
      </c>
      <c r="Q1010" t="s">
        <v>835</v>
      </c>
      <c r="S1010" t="s">
        <v>836</v>
      </c>
      <c r="T1010" t="s">
        <v>836</v>
      </c>
      <c r="U1010" t="str">
        <f t="shared" si="277"/>
        <v>2500-12-31 00:00:00.0</v>
      </c>
      <c r="V1010" t="s">
        <v>837</v>
      </c>
      <c r="W1010" t="str">
        <f>"048314-004796-**-**"</f>
        <v>048314-004796-**-**</v>
      </c>
      <c r="X1010" t="s">
        <v>838</v>
      </c>
      <c r="Y1010">
        <v>1254.5</v>
      </c>
      <c r="Z1010">
        <v>1254.5</v>
      </c>
      <c r="AA1010" t="str">
        <f t="shared" si="280"/>
        <v>06/08/2016</v>
      </c>
    </row>
    <row r="1011" spans="1:27" x14ac:dyDescent="0.3">
      <c r="A1011" t="str">
        <f t="shared" si="272"/>
        <v>048314</v>
      </c>
      <c r="B1011" t="str">
        <f t="shared" si="278"/>
        <v>004796</v>
      </c>
      <c r="C1011" t="s">
        <v>1339</v>
      </c>
      <c r="D1011" t="s">
        <v>3839</v>
      </c>
      <c r="E1011" t="s">
        <v>3840</v>
      </c>
      <c r="F1011" t="s">
        <v>3841</v>
      </c>
      <c r="G1011" t="s">
        <v>3842</v>
      </c>
      <c r="H1011" t="str">
        <f t="shared" si="281"/>
        <v>048314</v>
      </c>
      <c r="I1011" t="s">
        <v>833</v>
      </c>
      <c r="J1011" t="str">
        <f t="shared" si="282"/>
        <v>2015-07-01 00:00:00.0</v>
      </c>
      <c r="K1011" t="s">
        <v>834</v>
      </c>
      <c r="L1011" t="s">
        <v>0</v>
      </c>
      <c r="M1011" t="str">
        <f t="shared" si="270"/>
        <v>048314</v>
      </c>
      <c r="N1011">
        <v>1</v>
      </c>
      <c r="O1011">
        <v>1</v>
      </c>
      <c r="P1011" t="str">
        <f>"11"</f>
        <v>11</v>
      </c>
      <c r="Q1011" t="s">
        <v>835</v>
      </c>
      <c r="S1011" t="s">
        <v>836</v>
      </c>
      <c r="T1011" t="s">
        <v>836</v>
      </c>
      <c r="U1011" t="str">
        <f t="shared" si="277"/>
        <v>2500-12-31 00:00:00.0</v>
      </c>
      <c r="V1011" t="s">
        <v>837</v>
      </c>
      <c r="W1011" t="str">
        <f>"048314-004796-**-**"</f>
        <v>048314-004796-**-**</v>
      </c>
      <c r="X1011" t="s">
        <v>838</v>
      </c>
      <c r="Y1011">
        <v>1254.5</v>
      </c>
      <c r="Z1011">
        <v>1254.5</v>
      </c>
      <c r="AA1011" t="str">
        <f t="shared" si="280"/>
        <v>06/08/2016</v>
      </c>
    </row>
    <row r="1012" spans="1:27" x14ac:dyDescent="0.3">
      <c r="A1012" t="str">
        <f t="shared" si="272"/>
        <v>048314</v>
      </c>
      <c r="B1012" t="str">
        <f t="shared" si="278"/>
        <v>004796</v>
      </c>
      <c r="C1012" t="s">
        <v>1592</v>
      </c>
      <c r="D1012" t="s">
        <v>3839</v>
      </c>
      <c r="E1012" t="s">
        <v>3840</v>
      </c>
      <c r="F1012" t="s">
        <v>3841</v>
      </c>
      <c r="G1012" t="s">
        <v>3842</v>
      </c>
      <c r="H1012" t="str">
        <f t="shared" si="281"/>
        <v>048314</v>
      </c>
      <c r="I1012" t="s">
        <v>833</v>
      </c>
      <c r="J1012" t="str">
        <f t="shared" si="282"/>
        <v>2015-07-01 00:00:00.0</v>
      </c>
      <c r="K1012" t="s">
        <v>834</v>
      </c>
      <c r="L1012" t="s">
        <v>0</v>
      </c>
      <c r="M1012" t="str">
        <f t="shared" si="270"/>
        <v>048314</v>
      </c>
      <c r="N1012">
        <v>1</v>
      </c>
      <c r="O1012">
        <v>1</v>
      </c>
      <c r="P1012" t="str">
        <f>"10"</f>
        <v>10</v>
      </c>
      <c r="Q1012" t="s">
        <v>835</v>
      </c>
      <c r="S1012" t="s">
        <v>836</v>
      </c>
      <c r="T1012" t="s">
        <v>836</v>
      </c>
      <c r="U1012" t="str">
        <f t="shared" si="277"/>
        <v>2500-12-31 00:00:00.0</v>
      </c>
      <c r="V1012" t="s">
        <v>837</v>
      </c>
      <c r="W1012" t="str">
        <f>"048314-004796-**-**"</f>
        <v>048314-004796-**-**</v>
      </c>
      <c r="X1012" t="s">
        <v>838</v>
      </c>
      <c r="Y1012">
        <v>1254.5</v>
      </c>
      <c r="Z1012">
        <v>1254.5</v>
      </c>
      <c r="AA1012" t="str">
        <f t="shared" si="280"/>
        <v>06/08/2016</v>
      </c>
    </row>
    <row r="1013" spans="1:27" x14ac:dyDescent="0.3">
      <c r="A1013" t="str">
        <f t="shared" si="272"/>
        <v>048314</v>
      </c>
      <c r="B1013" t="str">
        <f t="shared" si="278"/>
        <v>004796</v>
      </c>
      <c r="C1013" t="s">
        <v>1190</v>
      </c>
      <c r="D1013" t="s">
        <v>3839</v>
      </c>
      <c r="E1013" t="s">
        <v>3840</v>
      </c>
      <c r="F1013" t="s">
        <v>3841</v>
      </c>
      <c r="G1013" t="s">
        <v>3842</v>
      </c>
      <c r="H1013" t="str">
        <f t="shared" si="281"/>
        <v>048314</v>
      </c>
      <c r="I1013" t="s">
        <v>833</v>
      </c>
      <c r="J1013" t="str">
        <f t="shared" si="282"/>
        <v>2015-07-01 00:00:00.0</v>
      </c>
      <c r="K1013" t="s">
        <v>834</v>
      </c>
      <c r="L1013" t="s">
        <v>0</v>
      </c>
      <c r="M1013" t="str">
        <f t="shared" si="270"/>
        <v>048314</v>
      </c>
      <c r="N1013">
        <v>1</v>
      </c>
      <c r="O1013">
        <v>1</v>
      </c>
      <c r="P1013" t="str">
        <f>"12"</f>
        <v>12</v>
      </c>
      <c r="Q1013" t="s">
        <v>835</v>
      </c>
      <c r="S1013" t="s">
        <v>836</v>
      </c>
      <c r="T1013" t="s">
        <v>836</v>
      </c>
      <c r="U1013" t="str">
        <f t="shared" si="277"/>
        <v>2500-12-31 00:00:00.0</v>
      </c>
      <c r="V1013" t="s">
        <v>837</v>
      </c>
      <c r="W1013" t="str">
        <f>"048314-004796-12-SE"</f>
        <v>048314-004796-12-SE</v>
      </c>
      <c r="X1013" t="s">
        <v>838</v>
      </c>
      <c r="Y1013">
        <v>1254.5</v>
      </c>
      <c r="Z1013">
        <v>1254.5</v>
      </c>
      <c r="AA1013" t="str">
        <f t="shared" si="280"/>
        <v>06/08/2016</v>
      </c>
    </row>
    <row r="1014" spans="1:27" x14ac:dyDescent="0.3">
      <c r="A1014" t="str">
        <f t="shared" si="272"/>
        <v>048314</v>
      </c>
      <c r="B1014" t="str">
        <f t="shared" si="278"/>
        <v>004796</v>
      </c>
      <c r="C1014" t="s">
        <v>1593</v>
      </c>
      <c r="D1014" t="s">
        <v>3839</v>
      </c>
      <c r="E1014" t="s">
        <v>3840</v>
      </c>
      <c r="F1014" t="s">
        <v>3841</v>
      </c>
      <c r="G1014" t="s">
        <v>3842</v>
      </c>
      <c r="H1014" t="str">
        <f t="shared" si="281"/>
        <v>048314</v>
      </c>
      <c r="I1014" t="s">
        <v>833</v>
      </c>
      <c r="J1014" t="str">
        <f t="shared" si="282"/>
        <v>2015-07-01 00:00:00.0</v>
      </c>
      <c r="K1014" t="s">
        <v>834</v>
      </c>
      <c r="L1014" t="s">
        <v>0</v>
      </c>
      <c r="M1014" t="str">
        <f t="shared" si="270"/>
        <v>048314</v>
      </c>
      <c r="N1014">
        <v>1</v>
      </c>
      <c r="O1014">
        <v>1</v>
      </c>
      <c r="P1014" t="str">
        <f>"10"</f>
        <v>10</v>
      </c>
      <c r="Q1014" t="s">
        <v>835</v>
      </c>
      <c r="S1014" t="s">
        <v>836</v>
      </c>
      <c r="T1014" t="s">
        <v>836</v>
      </c>
      <c r="U1014" t="str">
        <f t="shared" si="277"/>
        <v>2500-12-31 00:00:00.0</v>
      </c>
      <c r="V1014" t="s">
        <v>837</v>
      </c>
      <c r="W1014" t="str">
        <f>"048314-004796-**-**"</f>
        <v>048314-004796-**-**</v>
      </c>
      <c r="X1014" t="s">
        <v>838</v>
      </c>
      <c r="Y1014">
        <v>1254.5</v>
      </c>
      <c r="Z1014">
        <v>1254.5</v>
      </c>
      <c r="AA1014" t="str">
        <f t="shared" si="280"/>
        <v>06/08/2016</v>
      </c>
    </row>
    <row r="1015" spans="1:27" x14ac:dyDescent="0.3">
      <c r="A1015" t="str">
        <f t="shared" si="272"/>
        <v>048314</v>
      </c>
      <c r="B1015" t="str">
        <f t="shared" si="278"/>
        <v>004796</v>
      </c>
      <c r="C1015" t="s">
        <v>2486</v>
      </c>
      <c r="D1015" t="s">
        <v>3839</v>
      </c>
      <c r="E1015" t="s">
        <v>3840</v>
      </c>
      <c r="F1015" t="s">
        <v>3841</v>
      </c>
      <c r="G1015" t="s">
        <v>3842</v>
      </c>
      <c r="H1015" t="str">
        <f t="shared" si="281"/>
        <v>048314</v>
      </c>
      <c r="I1015" t="s">
        <v>833</v>
      </c>
      <c r="J1015" t="str">
        <f t="shared" si="282"/>
        <v>2015-07-01 00:00:00.0</v>
      </c>
      <c r="K1015" t="s">
        <v>834</v>
      </c>
      <c r="L1015" t="s">
        <v>0</v>
      </c>
      <c r="M1015" t="str">
        <f t="shared" si="270"/>
        <v>048314</v>
      </c>
      <c r="N1015">
        <v>1</v>
      </c>
      <c r="O1015">
        <v>1</v>
      </c>
      <c r="P1015" t="str">
        <f>"12"</f>
        <v>12</v>
      </c>
      <c r="Q1015" t="s">
        <v>835</v>
      </c>
      <c r="S1015" t="s">
        <v>836</v>
      </c>
      <c r="T1015" t="s">
        <v>836</v>
      </c>
      <c r="U1015" t="str">
        <f t="shared" si="277"/>
        <v>2500-12-31 00:00:00.0</v>
      </c>
      <c r="V1015" t="s">
        <v>837</v>
      </c>
      <c r="W1015" t="str">
        <f>"048314-004796-12-SE"</f>
        <v>048314-004796-12-SE</v>
      </c>
      <c r="X1015" t="s">
        <v>838</v>
      </c>
      <c r="Y1015">
        <v>1254.5</v>
      </c>
      <c r="Z1015">
        <v>1254.5</v>
      </c>
      <c r="AA1015" t="str">
        <f t="shared" si="280"/>
        <v>06/08/2016</v>
      </c>
    </row>
    <row r="1016" spans="1:27" x14ac:dyDescent="0.3">
      <c r="A1016" t="str">
        <f t="shared" si="272"/>
        <v>048314</v>
      </c>
      <c r="B1016" t="str">
        <f t="shared" si="278"/>
        <v>004796</v>
      </c>
      <c r="C1016" t="s">
        <v>1658</v>
      </c>
      <c r="D1016" t="s">
        <v>3839</v>
      </c>
      <c r="E1016" t="s">
        <v>3840</v>
      </c>
      <c r="F1016" t="s">
        <v>3841</v>
      </c>
      <c r="G1016" t="s">
        <v>3842</v>
      </c>
      <c r="H1016" t="str">
        <f t="shared" si="281"/>
        <v>048314</v>
      </c>
      <c r="I1016" t="s">
        <v>833</v>
      </c>
      <c r="J1016" t="str">
        <f t="shared" si="282"/>
        <v>2015-07-01 00:00:00.0</v>
      </c>
      <c r="K1016" t="s">
        <v>834</v>
      </c>
      <c r="L1016" t="s">
        <v>0</v>
      </c>
      <c r="M1016" t="str">
        <f t="shared" si="270"/>
        <v>048314</v>
      </c>
      <c r="N1016">
        <v>1</v>
      </c>
      <c r="O1016">
        <v>1</v>
      </c>
      <c r="P1016" t="str">
        <f>"10"</f>
        <v>10</v>
      </c>
      <c r="Q1016" t="s">
        <v>835</v>
      </c>
      <c r="S1016" t="s">
        <v>836</v>
      </c>
      <c r="T1016" t="s">
        <v>836</v>
      </c>
      <c r="U1016" t="str">
        <f t="shared" si="277"/>
        <v>2500-12-31 00:00:00.0</v>
      </c>
      <c r="V1016" t="s">
        <v>837</v>
      </c>
      <c r="W1016" t="str">
        <f>"048314-004796-**-**"</f>
        <v>048314-004796-**-**</v>
      </c>
      <c r="X1016" t="s">
        <v>838</v>
      </c>
      <c r="Y1016">
        <v>1254.5</v>
      </c>
      <c r="Z1016">
        <v>1254.5</v>
      </c>
      <c r="AA1016" t="str">
        <f t="shared" si="280"/>
        <v>06/08/2016</v>
      </c>
    </row>
    <row r="1017" spans="1:27" x14ac:dyDescent="0.3">
      <c r="A1017" t="str">
        <f t="shared" si="272"/>
        <v>048314</v>
      </c>
      <c r="B1017" t="str">
        <f t="shared" si="278"/>
        <v>004796</v>
      </c>
      <c r="C1017" t="s">
        <v>1659</v>
      </c>
      <c r="D1017" t="s">
        <v>3839</v>
      </c>
      <c r="E1017" t="s">
        <v>3840</v>
      </c>
      <c r="F1017" t="s">
        <v>3841</v>
      </c>
      <c r="G1017" t="s">
        <v>3842</v>
      </c>
      <c r="H1017" t="str">
        <f t="shared" si="281"/>
        <v>048314</v>
      </c>
      <c r="I1017" t="s">
        <v>833</v>
      </c>
      <c r="J1017" t="str">
        <f t="shared" si="282"/>
        <v>2015-07-01 00:00:00.0</v>
      </c>
      <c r="K1017" t="s">
        <v>834</v>
      </c>
      <c r="L1017" t="s">
        <v>0</v>
      </c>
      <c r="M1017" t="str">
        <f t="shared" si="270"/>
        <v>048314</v>
      </c>
      <c r="N1017">
        <v>1</v>
      </c>
      <c r="O1017">
        <v>1</v>
      </c>
      <c r="P1017" t="str">
        <f>"10"</f>
        <v>10</v>
      </c>
      <c r="Q1017" t="s">
        <v>835</v>
      </c>
      <c r="S1017" t="s">
        <v>836</v>
      </c>
      <c r="T1017" t="s">
        <v>836</v>
      </c>
      <c r="U1017" t="str">
        <f t="shared" si="277"/>
        <v>2500-12-31 00:00:00.0</v>
      </c>
      <c r="V1017" t="s">
        <v>837</v>
      </c>
      <c r="W1017" t="str">
        <f>"048314-004796-**-**"</f>
        <v>048314-004796-**-**</v>
      </c>
      <c r="X1017" t="s">
        <v>838</v>
      </c>
      <c r="Y1017">
        <v>1254.5</v>
      </c>
      <c r="Z1017">
        <v>1254.5</v>
      </c>
      <c r="AA1017" t="str">
        <f t="shared" si="280"/>
        <v>06/08/2016</v>
      </c>
    </row>
    <row r="1018" spans="1:27" x14ac:dyDescent="0.3">
      <c r="A1018" t="str">
        <f t="shared" si="272"/>
        <v>048314</v>
      </c>
      <c r="B1018" t="str">
        <f t="shared" si="278"/>
        <v>004796</v>
      </c>
      <c r="C1018" t="s">
        <v>1444</v>
      </c>
      <c r="D1018" t="s">
        <v>3839</v>
      </c>
      <c r="E1018" t="s">
        <v>3840</v>
      </c>
      <c r="F1018" t="s">
        <v>3841</v>
      </c>
      <c r="G1018" t="s">
        <v>3842</v>
      </c>
      <c r="H1018" t="str">
        <f t="shared" si="281"/>
        <v>048314</v>
      </c>
      <c r="I1018" t="s">
        <v>833</v>
      </c>
      <c r="J1018" t="str">
        <f t="shared" si="282"/>
        <v>2015-07-01 00:00:00.0</v>
      </c>
      <c r="K1018" t="s">
        <v>834</v>
      </c>
      <c r="L1018" t="s">
        <v>0</v>
      </c>
      <c r="M1018" t="str">
        <f t="shared" si="270"/>
        <v>048314</v>
      </c>
      <c r="N1018">
        <v>1</v>
      </c>
      <c r="O1018">
        <v>1</v>
      </c>
      <c r="P1018" t="str">
        <f>"11"</f>
        <v>11</v>
      </c>
      <c r="Q1018" t="s">
        <v>835</v>
      </c>
      <c r="S1018" t="s">
        <v>836</v>
      </c>
      <c r="T1018" t="s">
        <v>836</v>
      </c>
      <c r="U1018" t="str">
        <f t="shared" si="277"/>
        <v>2500-12-31 00:00:00.0</v>
      </c>
      <c r="V1018" t="s">
        <v>837</v>
      </c>
      <c r="W1018" t="str">
        <f>"048314-004796-**-**"</f>
        <v>048314-004796-**-**</v>
      </c>
      <c r="X1018" t="s">
        <v>838</v>
      </c>
      <c r="Y1018">
        <v>1254.5</v>
      </c>
      <c r="Z1018">
        <v>1254.5</v>
      </c>
      <c r="AA1018" t="str">
        <f t="shared" si="280"/>
        <v>06/08/2016</v>
      </c>
    </row>
    <row r="1019" spans="1:27" x14ac:dyDescent="0.3">
      <c r="A1019" t="str">
        <f t="shared" si="272"/>
        <v>048314</v>
      </c>
      <c r="B1019" t="str">
        <f t="shared" si="278"/>
        <v>004796</v>
      </c>
      <c r="C1019" t="s">
        <v>1639</v>
      </c>
      <c r="D1019" t="s">
        <v>3839</v>
      </c>
      <c r="E1019" t="s">
        <v>3840</v>
      </c>
      <c r="F1019" t="s">
        <v>3841</v>
      </c>
      <c r="G1019" t="s">
        <v>3842</v>
      </c>
      <c r="H1019" t="str">
        <f t="shared" si="281"/>
        <v>048314</v>
      </c>
      <c r="I1019" t="s">
        <v>833</v>
      </c>
      <c r="J1019" t="str">
        <f t="shared" si="282"/>
        <v>2015-07-01 00:00:00.0</v>
      </c>
      <c r="K1019" t="s">
        <v>834</v>
      </c>
      <c r="L1019" t="s">
        <v>0</v>
      </c>
      <c r="M1019" t="str">
        <f t="shared" si="270"/>
        <v>048314</v>
      </c>
      <c r="N1019">
        <v>1</v>
      </c>
      <c r="O1019">
        <v>1</v>
      </c>
      <c r="P1019" t="str">
        <f>"10"</f>
        <v>10</v>
      </c>
      <c r="Q1019" t="s">
        <v>835</v>
      </c>
      <c r="S1019" t="s">
        <v>836</v>
      </c>
      <c r="T1019" t="s">
        <v>836</v>
      </c>
      <c r="U1019" t="str">
        <f t="shared" si="277"/>
        <v>2500-12-31 00:00:00.0</v>
      </c>
      <c r="V1019" t="s">
        <v>837</v>
      </c>
      <c r="W1019" t="str">
        <f>"048314-004796-**-**"</f>
        <v>048314-004796-**-**</v>
      </c>
      <c r="X1019" t="s">
        <v>838</v>
      </c>
      <c r="Y1019">
        <v>1254.5</v>
      </c>
      <c r="Z1019">
        <v>1254.5</v>
      </c>
      <c r="AA1019" t="str">
        <f t="shared" si="280"/>
        <v>06/08/2016</v>
      </c>
    </row>
    <row r="1020" spans="1:27" x14ac:dyDescent="0.3">
      <c r="A1020" t="str">
        <f t="shared" si="272"/>
        <v>048314</v>
      </c>
      <c r="B1020" t="str">
        <f t="shared" si="278"/>
        <v>004796</v>
      </c>
      <c r="C1020" t="s">
        <v>1221</v>
      </c>
      <c r="D1020" t="s">
        <v>3839</v>
      </c>
      <c r="E1020" t="s">
        <v>3840</v>
      </c>
      <c r="F1020" t="s">
        <v>3841</v>
      </c>
      <c r="G1020" t="s">
        <v>3842</v>
      </c>
      <c r="H1020" t="str">
        <f t="shared" si="281"/>
        <v>048314</v>
      </c>
      <c r="I1020" t="s">
        <v>833</v>
      </c>
      <c r="J1020" t="str">
        <f t="shared" si="282"/>
        <v>2015-07-01 00:00:00.0</v>
      </c>
      <c r="K1020" t="s">
        <v>834</v>
      </c>
      <c r="L1020" t="s">
        <v>0</v>
      </c>
      <c r="M1020" t="str">
        <f t="shared" si="270"/>
        <v>048314</v>
      </c>
      <c r="N1020">
        <v>1</v>
      </c>
      <c r="O1020">
        <v>1</v>
      </c>
      <c r="P1020" t="str">
        <f>"12"</f>
        <v>12</v>
      </c>
      <c r="Q1020" t="str">
        <f>"10"</f>
        <v>10</v>
      </c>
      <c r="R1020" t="str">
        <f>"2"</f>
        <v>2</v>
      </c>
      <c r="S1020" t="s">
        <v>836</v>
      </c>
      <c r="T1020" t="s">
        <v>836</v>
      </c>
      <c r="U1020" t="str">
        <f t="shared" si="277"/>
        <v>2500-12-31 00:00:00.0</v>
      </c>
      <c r="V1020" t="s">
        <v>837</v>
      </c>
      <c r="W1020" t="str">
        <f>"048314-004796-12-SE"</f>
        <v>048314-004796-12-SE</v>
      </c>
      <c r="X1020" t="s">
        <v>838</v>
      </c>
      <c r="Y1020">
        <v>1254.5</v>
      </c>
      <c r="Z1020">
        <v>1254.5</v>
      </c>
      <c r="AA1020" t="str">
        <f t="shared" si="280"/>
        <v>06/08/2016</v>
      </c>
    </row>
    <row r="1021" spans="1:27" x14ac:dyDescent="0.3">
      <c r="A1021" t="str">
        <f t="shared" si="272"/>
        <v>048314</v>
      </c>
      <c r="B1021" t="str">
        <f t="shared" si="278"/>
        <v>004796</v>
      </c>
      <c r="C1021" t="s">
        <v>1660</v>
      </c>
      <c r="D1021" t="s">
        <v>3839</v>
      </c>
      <c r="E1021" t="s">
        <v>3840</v>
      </c>
      <c r="F1021" t="s">
        <v>3841</v>
      </c>
      <c r="G1021" t="s">
        <v>3842</v>
      </c>
      <c r="H1021" t="str">
        <f t="shared" si="281"/>
        <v>048314</v>
      </c>
      <c r="I1021" t="s">
        <v>833</v>
      </c>
      <c r="J1021" t="str">
        <f t="shared" si="282"/>
        <v>2015-07-01 00:00:00.0</v>
      </c>
      <c r="K1021" t="s">
        <v>834</v>
      </c>
      <c r="L1021" t="s">
        <v>0</v>
      </c>
      <c r="M1021" t="str">
        <f t="shared" si="270"/>
        <v>048314</v>
      </c>
      <c r="N1021">
        <v>1</v>
      </c>
      <c r="O1021">
        <v>1</v>
      </c>
      <c r="P1021" t="str">
        <f>"10"</f>
        <v>10</v>
      </c>
      <c r="Q1021" t="s">
        <v>835</v>
      </c>
      <c r="S1021" t="s">
        <v>836</v>
      </c>
      <c r="T1021" t="s">
        <v>836</v>
      </c>
      <c r="U1021" t="str">
        <f t="shared" si="277"/>
        <v>2500-12-31 00:00:00.0</v>
      </c>
      <c r="V1021" t="s">
        <v>837</v>
      </c>
      <c r="W1021" t="str">
        <f>"048314-004796-**-**"</f>
        <v>048314-004796-**-**</v>
      </c>
      <c r="X1021" t="s">
        <v>838</v>
      </c>
      <c r="Y1021">
        <v>1254.5</v>
      </c>
      <c r="Z1021">
        <v>1254.5</v>
      </c>
      <c r="AA1021" t="str">
        <f t="shared" si="280"/>
        <v>06/08/2016</v>
      </c>
    </row>
    <row r="1022" spans="1:27" x14ac:dyDescent="0.3">
      <c r="A1022" t="str">
        <f t="shared" si="272"/>
        <v>048314</v>
      </c>
      <c r="B1022" t="str">
        <f t="shared" si="278"/>
        <v>004796</v>
      </c>
      <c r="C1022" t="s">
        <v>1383</v>
      </c>
      <c r="D1022" t="s">
        <v>3839</v>
      </c>
      <c r="E1022" t="s">
        <v>3840</v>
      </c>
      <c r="F1022" t="s">
        <v>3841</v>
      </c>
      <c r="G1022" t="s">
        <v>3842</v>
      </c>
      <c r="H1022" t="str">
        <f t="shared" si="281"/>
        <v>048314</v>
      </c>
      <c r="I1022" t="s">
        <v>833</v>
      </c>
      <c r="J1022" t="str">
        <f t="shared" si="282"/>
        <v>2015-07-01 00:00:00.0</v>
      </c>
      <c r="K1022" t="s">
        <v>834</v>
      </c>
      <c r="L1022" t="s">
        <v>0</v>
      </c>
      <c r="M1022" t="str">
        <f t="shared" ref="M1022:M1049" si="283">"048314"</f>
        <v>048314</v>
      </c>
      <c r="N1022">
        <v>1</v>
      </c>
      <c r="O1022">
        <v>1</v>
      </c>
      <c r="P1022" t="str">
        <f>"11"</f>
        <v>11</v>
      </c>
      <c r="Q1022" t="s">
        <v>835</v>
      </c>
      <c r="S1022" t="s">
        <v>836</v>
      </c>
      <c r="T1022" t="s">
        <v>836</v>
      </c>
      <c r="U1022" t="str">
        <f t="shared" si="277"/>
        <v>2500-12-31 00:00:00.0</v>
      </c>
      <c r="V1022" t="s">
        <v>837</v>
      </c>
      <c r="W1022" t="str">
        <f>"048314-004796-**-**"</f>
        <v>048314-004796-**-**</v>
      </c>
      <c r="X1022" t="s">
        <v>838</v>
      </c>
      <c r="Y1022">
        <v>1254.5</v>
      </c>
      <c r="Z1022">
        <v>1254.5</v>
      </c>
      <c r="AA1022" t="str">
        <f t="shared" si="280"/>
        <v>06/08/2016</v>
      </c>
    </row>
    <row r="1023" spans="1:27" x14ac:dyDescent="0.3">
      <c r="A1023" t="str">
        <f t="shared" si="272"/>
        <v>048314</v>
      </c>
      <c r="B1023" t="str">
        <f t="shared" si="278"/>
        <v>004796</v>
      </c>
      <c r="C1023" t="s">
        <v>1661</v>
      </c>
      <c r="D1023" t="s">
        <v>3839</v>
      </c>
      <c r="E1023" t="s">
        <v>3840</v>
      </c>
      <c r="F1023" t="s">
        <v>3841</v>
      </c>
      <c r="G1023" t="s">
        <v>3842</v>
      </c>
      <c r="H1023" t="str">
        <f t="shared" si="281"/>
        <v>048314</v>
      </c>
      <c r="I1023" t="s">
        <v>833</v>
      </c>
      <c r="J1023" t="str">
        <f t="shared" si="282"/>
        <v>2015-07-01 00:00:00.0</v>
      </c>
      <c r="K1023" t="s">
        <v>834</v>
      </c>
      <c r="L1023" t="s">
        <v>0</v>
      </c>
      <c r="M1023" t="str">
        <f t="shared" si="283"/>
        <v>048314</v>
      </c>
      <c r="N1023">
        <v>1</v>
      </c>
      <c r="O1023">
        <v>1</v>
      </c>
      <c r="P1023" t="str">
        <f>"10"</f>
        <v>10</v>
      </c>
      <c r="Q1023" t="s">
        <v>835</v>
      </c>
      <c r="S1023" t="s">
        <v>836</v>
      </c>
      <c r="T1023" t="s">
        <v>836</v>
      </c>
      <c r="U1023" t="str">
        <f t="shared" si="277"/>
        <v>2500-12-31 00:00:00.0</v>
      </c>
      <c r="V1023" t="s">
        <v>837</v>
      </c>
      <c r="W1023" t="str">
        <f>"048314-004796-**-**"</f>
        <v>048314-004796-**-**</v>
      </c>
      <c r="X1023" t="s">
        <v>838</v>
      </c>
      <c r="Y1023">
        <v>1254.5</v>
      </c>
      <c r="Z1023">
        <v>1254.5</v>
      </c>
      <c r="AA1023" t="str">
        <f t="shared" si="280"/>
        <v>06/08/2016</v>
      </c>
    </row>
    <row r="1024" spans="1:27" x14ac:dyDescent="0.3">
      <c r="A1024" t="str">
        <f t="shared" si="272"/>
        <v>048314</v>
      </c>
      <c r="B1024" t="str">
        <f t="shared" si="278"/>
        <v>004796</v>
      </c>
      <c r="C1024" t="s">
        <v>1914</v>
      </c>
      <c r="D1024" t="s">
        <v>3839</v>
      </c>
      <c r="E1024" t="s">
        <v>3840</v>
      </c>
      <c r="F1024" t="s">
        <v>3841</v>
      </c>
      <c r="G1024" t="s">
        <v>3842</v>
      </c>
      <c r="H1024" t="str">
        <f t="shared" si="281"/>
        <v>048314</v>
      </c>
      <c r="I1024" t="s">
        <v>833</v>
      </c>
      <c r="J1024" t="str">
        <f t="shared" si="282"/>
        <v>2015-07-01 00:00:00.0</v>
      </c>
      <c r="K1024" t="s">
        <v>834</v>
      </c>
      <c r="L1024" t="s">
        <v>0</v>
      </c>
      <c r="M1024" t="str">
        <f t="shared" si="283"/>
        <v>048314</v>
      </c>
      <c r="N1024">
        <v>1</v>
      </c>
      <c r="O1024">
        <v>1</v>
      </c>
      <c r="P1024" t="str">
        <f>"12"</f>
        <v>12</v>
      </c>
      <c r="Q1024" t="s">
        <v>835</v>
      </c>
      <c r="S1024" t="s">
        <v>836</v>
      </c>
      <c r="T1024" t="s">
        <v>836</v>
      </c>
      <c r="U1024" t="str">
        <f t="shared" si="277"/>
        <v>2500-12-31 00:00:00.0</v>
      </c>
      <c r="V1024" t="s">
        <v>837</v>
      </c>
      <c r="W1024" t="str">
        <f>"048314-004796-12-SE"</f>
        <v>048314-004796-12-SE</v>
      </c>
      <c r="X1024" t="s">
        <v>838</v>
      </c>
      <c r="Y1024">
        <v>1254.5</v>
      </c>
      <c r="Z1024">
        <v>1254.5</v>
      </c>
      <c r="AA1024" t="str">
        <f t="shared" si="280"/>
        <v>06/08/2016</v>
      </c>
    </row>
    <row r="1025" spans="1:27" x14ac:dyDescent="0.3">
      <c r="A1025" t="str">
        <f t="shared" si="272"/>
        <v>048314</v>
      </c>
      <c r="B1025" t="str">
        <f t="shared" si="278"/>
        <v>004796</v>
      </c>
      <c r="C1025" t="s">
        <v>1282</v>
      </c>
      <c r="D1025" t="s">
        <v>3839</v>
      </c>
      <c r="E1025" t="s">
        <v>3840</v>
      </c>
      <c r="F1025" t="s">
        <v>3841</v>
      </c>
      <c r="G1025" t="s">
        <v>3842</v>
      </c>
      <c r="H1025" t="str">
        <f>"066118"</f>
        <v>066118</v>
      </c>
      <c r="I1025" t="s">
        <v>833</v>
      </c>
      <c r="J1025" t="str">
        <f>"2015-08-25 00:00:00.0"</f>
        <v>2015-08-25 00:00:00.0</v>
      </c>
      <c r="K1025" t="s">
        <v>834</v>
      </c>
      <c r="L1025" t="s">
        <v>1283</v>
      </c>
      <c r="M1025" t="str">
        <f t="shared" si="283"/>
        <v>048314</v>
      </c>
      <c r="N1025">
        <v>1</v>
      </c>
      <c r="O1025">
        <v>1</v>
      </c>
      <c r="P1025" t="str">
        <f>"10"</f>
        <v>10</v>
      </c>
      <c r="Q1025" t="str">
        <f>"01"</f>
        <v>01</v>
      </c>
      <c r="R1025" t="str">
        <f>"5"</f>
        <v>5</v>
      </c>
      <c r="S1025" t="s">
        <v>836</v>
      </c>
      <c r="T1025" t="s">
        <v>836</v>
      </c>
      <c r="U1025" t="str">
        <f t="shared" si="277"/>
        <v>2500-12-31 00:00:00.0</v>
      </c>
      <c r="V1025" t="s">
        <v>1284</v>
      </c>
      <c r="W1025" t="str">
        <f>"066118-066118-**-**"</f>
        <v>066118-066118-**-**</v>
      </c>
      <c r="X1025" t="s">
        <v>1285</v>
      </c>
      <c r="Y1025">
        <v>182</v>
      </c>
      <c r="Z1025">
        <v>182</v>
      </c>
      <c r="AA1025" t="str">
        <f>"06/11/2016"</f>
        <v>06/11/2016</v>
      </c>
    </row>
    <row r="1026" spans="1:27" x14ac:dyDescent="0.3">
      <c r="A1026" t="str">
        <f t="shared" ref="A1026:A1089" si="284">"048314"</f>
        <v>048314</v>
      </c>
      <c r="B1026" t="str">
        <f t="shared" si="278"/>
        <v>004796</v>
      </c>
      <c r="C1026" t="s">
        <v>1384</v>
      </c>
      <c r="D1026" t="s">
        <v>3839</v>
      </c>
      <c r="E1026" t="s">
        <v>3840</v>
      </c>
      <c r="F1026" t="s">
        <v>3841</v>
      </c>
      <c r="G1026" t="s">
        <v>3842</v>
      </c>
      <c r="H1026" t="str">
        <f t="shared" ref="H1026:H1036" si="285">"048314"</f>
        <v>048314</v>
      </c>
      <c r="I1026" t="s">
        <v>833</v>
      </c>
      <c r="J1026" t="str">
        <f>"2015-07-01 00:00:00.0"</f>
        <v>2015-07-01 00:00:00.0</v>
      </c>
      <c r="K1026" t="s">
        <v>834</v>
      </c>
      <c r="L1026" t="s">
        <v>0</v>
      </c>
      <c r="M1026" t="str">
        <f t="shared" si="283"/>
        <v>048314</v>
      </c>
      <c r="N1026">
        <v>1</v>
      </c>
      <c r="O1026">
        <v>1</v>
      </c>
      <c r="P1026" t="str">
        <f>"11"</f>
        <v>11</v>
      </c>
      <c r="Q1026" t="s">
        <v>835</v>
      </c>
      <c r="S1026" t="s">
        <v>836</v>
      </c>
      <c r="T1026" t="s">
        <v>836</v>
      </c>
      <c r="U1026" t="str">
        <f t="shared" si="277"/>
        <v>2500-12-31 00:00:00.0</v>
      </c>
      <c r="V1026" t="s">
        <v>837</v>
      </c>
      <c r="W1026" t="str">
        <f>"048314-004796-**-**"</f>
        <v>048314-004796-**-**</v>
      </c>
      <c r="X1026" t="s">
        <v>838</v>
      </c>
      <c r="Y1026">
        <v>1254.5</v>
      </c>
      <c r="Z1026">
        <v>1254.5</v>
      </c>
      <c r="AA1026" t="str">
        <f t="shared" ref="AA1026:AA1036" si="286">"06/08/2016"</f>
        <v>06/08/2016</v>
      </c>
    </row>
    <row r="1027" spans="1:27" x14ac:dyDescent="0.3">
      <c r="A1027" t="str">
        <f t="shared" si="284"/>
        <v>048314</v>
      </c>
      <c r="B1027" t="str">
        <f t="shared" si="278"/>
        <v>004796</v>
      </c>
      <c r="C1027" t="s">
        <v>3112</v>
      </c>
      <c r="D1027" t="s">
        <v>3839</v>
      </c>
      <c r="E1027" t="s">
        <v>3840</v>
      </c>
      <c r="F1027" t="s">
        <v>3841</v>
      </c>
      <c r="G1027" t="s">
        <v>3842</v>
      </c>
      <c r="H1027" t="str">
        <f t="shared" si="285"/>
        <v>048314</v>
      </c>
      <c r="I1027" t="s">
        <v>833</v>
      </c>
      <c r="J1027" t="str">
        <f>"2015-07-01 00:00:00.0"</f>
        <v>2015-07-01 00:00:00.0</v>
      </c>
      <c r="K1027" t="s">
        <v>834</v>
      </c>
      <c r="L1027" t="s">
        <v>0</v>
      </c>
      <c r="M1027" t="str">
        <f t="shared" si="283"/>
        <v>048314</v>
      </c>
      <c r="N1027">
        <v>0.21243500000000001</v>
      </c>
      <c r="O1027">
        <v>0.21243500000000001</v>
      </c>
      <c r="P1027" t="str">
        <f>"12"</f>
        <v>12</v>
      </c>
      <c r="Q1027" t="s">
        <v>835</v>
      </c>
      <c r="S1027" t="s">
        <v>836</v>
      </c>
      <c r="T1027" t="s">
        <v>836</v>
      </c>
      <c r="U1027" t="str">
        <f>"2015-10-27 00:00:00.0"</f>
        <v>2015-10-27 00:00:00.0</v>
      </c>
      <c r="V1027" t="s">
        <v>837</v>
      </c>
      <c r="W1027" t="str">
        <f>"048314-004796-12-SE"</f>
        <v>048314-004796-12-SE</v>
      </c>
      <c r="X1027" t="s">
        <v>838</v>
      </c>
      <c r="Y1027">
        <v>266.5</v>
      </c>
      <c r="Z1027">
        <v>1254.5</v>
      </c>
      <c r="AA1027" t="str">
        <f t="shared" si="286"/>
        <v>06/08/2016</v>
      </c>
    </row>
    <row r="1028" spans="1:27" x14ac:dyDescent="0.3">
      <c r="A1028" t="str">
        <f t="shared" si="284"/>
        <v>048314</v>
      </c>
      <c r="B1028" t="str">
        <f t="shared" si="278"/>
        <v>004796</v>
      </c>
      <c r="C1028" t="s">
        <v>3112</v>
      </c>
      <c r="D1028" t="s">
        <v>3839</v>
      </c>
      <c r="E1028" t="s">
        <v>3840</v>
      </c>
      <c r="F1028" t="s">
        <v>3841</v>
      </c>
      <c r="G1028" t="s">
        <v>3842</v>
      </c>
      <c r="H1028" t="str">
        <f t="shared" si="285"/>
        <v>048314</v>
      </c>
      <c r="I1028" t="s">
        <v>833</v>
      </c>
      <c r="J1028" t="str">
        <f>"2015-10-28 00:00:00.0"</f>
        <v>2015-10-28 00:00:00.0</v>
      </c>
      <c r="K1028" t="s">
        <v>834</v>
      </c>
      <c r="L1028" t="s">
        <v>0</v>
      </c>
      <c r="M1028" t="str">
        <f t="shared" si="283"/>
        <v>048314</v>
      </c>
      <c r="N1028">
        <v>0.78756499999999996</v>
      </c>
      <c r="O1028">
        <v>0.78756499999999996</v>
      </c>
      <c r="P1028" t="str">
        <f>"12"</f>
        <v>12</v>
      </c>
      <c r="Q1028" t="s">
        <v>835</v>
      </c>
      <c r="S1028" t="s">
        <v>860</v>
      </c>
      <c r="T1028" t="s">
        <v>836</v>
      </c>
      <c r="U1028" t="str">
        <f t="shared" ref="U1028:U1048" si="287">"2500-12-31 00:00:00.0"</f>
        <v>2500-12-31 00:00:00.0</v>
      </c>
      <c r="V1028" t="s">
        <v>837</v>
      </c>
      <c r="W1028" t="str">
        <f>"048314-004796-12-SE"</f>
        <v>048314-004796-12-SE</v>
      </c>
      <c r="X1028" t="s">
        <v>838</v>
      </c>
      <c r="Y1028">
        <v>988</v>
      </c>
      <c r="Z1028">
        <v>1254.5</v>
      </c>
      <c r="AA1028" t="str">
        <f t="shared" si="286"/>
        <v>06/08/2016</v>
      </c>
    </row>
    <row r="1029" spans="1:27" x14ac:dyDescent="0.3">
      <c r="A1029" t="str">
        <f t="shared" si="284"/>
        <v>048314</v>
      </c>
      <c r="B1029" t="str">
        <f t="shared" si="278"/>
        <v>004796</v>
      </c>
      <c r="C1029" t="s">
        <v>1495</v>
      </c>
      <c r="D1029" t="s">
        <v>3839</v>
      </c>
      <c r="E1029" t="s">
        <v>3840</v>
      </c>
      <c r="F1029" t="s">
        <v>3841</v>
      </c>
      <c r="G1029" t="s">
        <v>3842</v>
      </c>
      <c r="H1029" t="str">
        <f t="shared" si="285"/>
        <v>048314</v>
      </c>
      <c r="I1029" t="s">
        <v>833</v>
      </c>
      <c r="J1029" t="str">
        <f t="shared" ref="J1029:J1038" si="288">"2015-07-01 00:00:00.0"</f>
        <v>2015-07-01 00:00:00.0</v>
      </c>
      <c r="K1029" t="s">
        <v>834</v>
      </c>
      <c r="L1029" t="s">
        <v>0</v>
      </c>
      <c r="M1029" t="str">
        <f t="shared" si="283"/>
        <v>048314</v>
      </c>
      <c r="N1029">
        <v>1</v>
      </c>
      <c r="O1029">
        <v>1</v>
      </c>
      <c r="P1029" t="str">
        <f>"11"</f>
        <v>11</v>
      </c>
      <c r="Q1029" t="s">
        <v>835</v>
      </c>
      <c r="S1029" t="s">
        <v>836</v>
      </c>
      <c r="T1029" t="s">
        <v>836</v>
      </c>
      <c r="U1029" t="str">
        <f t="shared" si="287"/>
        <v>2500-12-31 00:00:00.0</v>
      </c>
      <c r="V1029" t="s">
        <v>837</v>
      </c>
      <c r="W1029" t="str">
        <f>"048314-004796-**-**"</f>
        <v>048314-004796-**-**</v>
      </c>
      <c r="X1029" t="s">
        <v>838</v>
      </c>
      <c r="Y1029">
        <v>1254.5</v>
      </c>
      <c r="Z1029">
        <v>1254.5</v>
      </c>
      <c r="AA1029" t="str">
        <f t="shared" si="286"/>
        <v>06/08/2016</v>
      </c>
    </row>
    <row r="1030" spans="1:27" x14ac:dyDescent="0.3">
      <c r="A1030" t="str">
        <f t="shared" si="284"/>
        <v>048314</v>
      </c>
      <c r="B1030" t="str">
        <f t="shared" si="278"/>
        <v>004796</v>
      </c>
      <c r="C1030" t="s">
        <v>1236</v>
      </c>
      <c r="D1030" t="s">
        <v>3839</v>
      </c>
      <c r="E1030" t="s">
        <v>3840</v>
      </c>
      <c r="F1030" t="s">
        <v>3841</v>
      </c>
      <c r="G1030" t="s">
        <v>3842</v>
      </c>
      <c r="H1030" t="str">
        <f t="shared" si="285"/>
        <v>048314</v>
      </c>
      <c r="I1030" t="s">
        <v>833</v>
      </c>
      <c r="J1030" t="str">
        <f t="shared" si="288"/>
        <v>2015-07-01 00:00:00.0</v>
      </c>
      <c r="K1030" t="s">
        <v>834</v>
      </c>
      <c r="L1030" t="s">
        <v>0</v>
      </c>
      <c r="M1030" t="str">
        <f t="shared" si="283"/>
        <v>048314</v>
      </c>
      <c r="N1030">
        <v>1</v>
      </c>
      <c r="O1030">
        <v>1</v>
      </c>
      <c r="P1030" t="str">
        <f>"12"</f>
        <v>12</v>
      </c>
      <c r="Q1030" t="s">
        <v>835</v>
      </c>
      <c r="S1030" t="s">
        <v>836</v>
      </c>
      <c r="T1030" t="s">
        <v>836</v>
      </c>
      <c r="U1030" t="str">
        <f t="shared" si="287"/>
        <v>2500-12-31 00:00:00.0</v>
      </c>
      <c r="V1030" t="s">
        <v>837</v>
      </c>
      <c r="W1030" t="str">
        <f>"048314-004796-12-SE"</f>
        <v>048314-004796-12-SE</v>
      </c>
      <c r="X1030" t="s">
        <v>838</v>
      </c>
      <c r="Y1030">
        <v>1254.5</v>
      </c>
      <c r="Z1030">
        <v>1254.5</v>
      </c>
      <c r="AA1030" t="str">
        <f t="shared" si="286"/>
        <v>06/08/2016</v>
      </c>
    </row>
    <row r="1031" spans="1:27" x14ac:dyDescent="0.3">
      <c r="A1031" t="str">
        <f t="shared" si="284"/>
        <v>048314</v>
      </c>
      <c r="B1031" t="str">
        <f t="shared" si="278"/>
        <v>004796</v>
      </c>
      <c r="C1031" t="s">
        <v>1405</v>
      </c>
      <c r="D1031" t="s">
        <v>3839</v>
      </c>
      <c r="E1031" t="s">
        <v>3840</v>
      </c>
      <c r="F1031" t="s">
        <v>3841</v>
      </c>
      <c r="G1031" t="s">
        <v>3842</v>
      </c>
      <c r="H1031" t="str">
        <f t="shared" si="285"/>
        <v>048314</v>
      </c>
      <c r="I1031" t="s">
        <v>833</v>
      </c>
      <c r="J1031" t="str">
        <f t="shared" si="288"/>
        <v>2015-07-01 00:00:00.0</v>
      </c>
      <c r="K1031" t="s">
        <v>834</v>
      </c>
      <c r="L1031" t="s">
        <v>0</v>
      </c>
      <c r="M1031" t="str">
        <f t="shared" si="283"/>
        <v>048314</v>
      </c>
      <c r="N1031">
        <v>1</v>
      </c>
      <c r="O1031">
        <v>1</v>
      </c>
      <c r="P1031" t="str">
        <f>"11"</f>
        <v>11</v>
      </c>
      <c r="Q1031" t="s">
        <v>835</v>
      </c>
      <c r="S1031" t="s">
        <v>836</v>
      </c>
      <c r="T1031" t="s">
        <v>836</v>
      </c>
      <c r="U1031" t="str">
        <f t="shared" si="287"/>
        <v>2500-12-31 00:00:00.0</v>
      </c>
      <c r="V1031" t="s">
        <v>837</v>
      </c>
      <c r="W1031" t="str">
        <f>"048314-004796-**-**"</f>
        <v>048314-004796-**-**</v>
      </c>
      <c r="X1031" t="s">
        <v>838</v>
      </c>
      <c r="Y1031">
        <v>1254.5</v>
      </c>
      <c r="Z1031">
        <v>1254.5</v>
      </c>
      <c r="AA1031" t="str">
        <f t="shared" si="286"/>
        <v>06/08/2016</v>
      </c>
    </row>
    <row r="1032" spans="1:27" x14ac:dyDescent="0.3">
      <c r="A1032" t="str">
        <f t="shared" si="284"/>
        <v>048314</v>
      </c>
      <c r="B1032" t="str">
        <f t="shared" si="278"/>
        <v>004796</v>
      </c>
      <c r="C1032" t="s">
        <v>1594</v>
      </c>
      <c r="D1032" t="s">
        <v>3839</v>
      </c>
      <c r="E1032" t="s">
        <v>3840</v>
      </c>
      <c r="F1032" t="s">
        <v>3841</v>
      </c>
      <c r="G1032" t="s">
        <v>3842</v>
      </c>
      <c r="H1032" t="str">
        <f t="shared" si="285"/>
        <v>048314</v>
      </c>
      <c r="I1032" t="s">
        <v>833</v>
      </c>
      <c r="J1032" t="str">
        <f t="shared" si="288"/>
        <v>2015-07-01 00:00:00.0</v>
      </c>
      <c r="K1032" t="s">
        <v>834</v>
      </c>
      <c r="L1032" t="s">
        <v>0</v>
      </c>
      <c r="M1032" t="str">
        <f t="shared" si="283"/>
        <v>048314</v>
      </c>
      <c r="N1032">
        <v>1</v>
      </c>
      <c r="O1032">
        <v>1</v>
      </c>
      <c r="P1032" t="str">
        <f>"10"</f>
        <v>10</v>
      </c>
      <c r="Q1032" t="s">
        <v>835</v>
      </c>
      <c r="S1032" t="s">
        <v>836</v>
      </c>
      <c r="T1032" t="s">
        <v>836</v>
      </c>
      <c r="U1032" t="str">
        <f t="shared" si="287"/>
        <v>2500-12-31 00:00:00.0</v>
      </c>
      <c r="V1032" t="s">
        <v>837</v>
      </c>
      <c r="W1032" t="str">
        <f>"048314-004796-**-**"</f>
        <v>048314-004796-**-**</v>
      </c>
      <c r="X1032" t="s">
        <v>838</v>
      </c>
      <c r="Y1032">
        <v>1254.5</v>
      </c>
      <c r="Z1032">
        <v>1254.5</v>
      </c>
      <c r="AA1032" t="str">
        <f t="shared" si="286"/>
        <v>06/08/2016</v>
      </c>
    </row>
    <row r="1033" spans="1:27" x14ac:dyDescent="0.3">
      <c r="A1033" t="str">
        <f t="shared" si="284"/>
        <v>048314</v>
      </c>
      <c r="B1033" t="str">
        <f t="shared" si="278"/>
        <v>004796</v>
      </c>
      <c r="C1033" t="s">
        <v>1191</v>
      </c>
      <c r="D1033" t="s">
        <v>3839</v>
      </c>
      <c r="E1033" t="s">
        <v>3840</v>
      </c>
      <c r="F1033" t="s">
        <v>3841</v>
      </c>
      <c r="G1033" t="s">
        <v>3842</v>
      </c>
      <c r="H1033" t="str">
        <f t="shared" si="285"/>
        <v>048314</v>
      </c>
      <c r="I1033" t="s">
        <v>833</v>
      </c>
      <c r="J1033" t="str">
        <f t="shared" si="288"/>
        <v>2015-07-01 00:00:00.0</v>
      </c>
      <c r="K1033" t="s">
        <v>834</v>
      </c>
      <c r="L1033" t="s">
        <v>0</v>
      </c>
      <c r="M1033" t="str">
        <f t="shared" si="283"/>
        <v>048314</v>
      </c>
      <c r="N1033">
        <v>1</v>
      </c>
      <c r="O1033">
        <v>1</v>
      </c>
      <c r="P1033" t="str">
        <f>"12"</f>
        <v>12</v>
      </c>
      <c r="Q1033" t="s">
        <v>835</v>
      </c>
      <c r="S1033" t="s">
        <v>836</v>
      </c>
      <c r="T1033" t="s">
        <v>836</v>
      </c>
      <c r="U1033" t="str">
        <f t="shared" si="287"/>
        <v>2500-12-31 00:00:00.0</v>
      </c>
      <c r="V1033" t="s">
        <v>837</v>
      </c>
      <c r="W1033" t="str">
        <f>"048314-004796-12-SE"</f>
        <v>048314-004796-12-SE</v>
      </c>
      <c r="X1033" t="s">
        <v>838</v>
      </c>
      <c r="Y1033">
        <v>1254.5</v>
      </c>
      <c r="Z1033">
        <v>1254.5</v>
      </c>
      <c r="AA1033" t="str">
        <f t="shared" si="286"/>
        <v>06/08/2016</v>
      </c>
    </row>
    <row r="1034" spans="1:27" x14ac:dyDescent="0.3">
      <c r="A1034" t="str">
        <f t="shared" si="284"/>
        <v>048314</v>
      </c>
      <c r="B1034" t="str">
        <f t="shared" si="278"/>
        <v>004796</v>
      </c>
      <c r="C1034" t="s">
        <v>1833</v>
      </c>
      <c r="D1034" t="s">
        <v>3839</v>
      </c>
      <c r="E1034" t="s">
        <v>3840</v>
      </c>
      <c r="F1034" t="s">
        <v>3841</v>
      </c>
      <c r="G1034" t="s">
        <v>3842</v>
      </c>
      <c r="H1034" t="str">
        <f t="shared" si="285"/>
        <v>048314</v>
      </c>
      <c r="I1034" t="s">
        <v>833</v>
      </c>
      <c r="J1034" t="str">
        <f t="shared" si="288"/>
        <v>2015-07-01 00:00:00.0</v>
      </c>
      <c r="K1034" t="s">
        <v>834</v>
      </c>
      <c r="L1034" t="s">
        <v>0</v>
      </c>
      <c r="M1034" t="str">
        <f t="shared" si="283"/>
        <v>048314</v>
      </c>
      <c r="N1034">
        <v>1</v>
      </c>
      <c r="O1034">
        <v>1</v>
      </c>
      <c r="P1034" t="str">
        <f>"10"</f>
        <v>10</v>
      </c>
      <c r="Q1034" t="s">
        <v>835</v>
      </c>
      <c r="S1034" t="s">
        <v>836</v>
      </c>
      <c r="T1034" t="s">
        <v>836</v>
      </c>
      <c r="U1034" t="str">
        <f t="shared" si="287"/>
        <v>2500-12-31 00:00:00.0</v>
      </c>
      <c r="V1034" t="s">
        <v>837</v>
      </c>
      <c r="W1034" t="str">
        <f>"048314-004796-**-**"</f>
        <v>048314-004796-**-**</v>
      </c>
      <c r="X1034" t="s">
        <v>838</v>
      </c>
      <c r="Y1034">
        <v>1254.5</v>
      </c>
      <c r="Z1034">
        <v>1254.5</v>
      </c>
      <c r="AA1034" t="str">
        <f t="shared" si="286"/>
        <v>06/08/2016</v>
      </c>
    </row>
    <row r="1035" spans="1:27" x14ac:dyDescent="0.3">
      <c r="A1035" t="str">
        <f t="shared" si="284"/>
        <v>048314</v>
      </c>
      <c r="B1035" t="str">
        <f t="shared" si="278"/>
        <v>004796</v>
      </c>
      <c r="C1035" t="s">
        <v>1306</v>
      </c>
      <c r="D1035" t="s">
        <v>3839</v>
      </c>
      <c r="E1035" t="s">
        <v>3840</v>
      </c>
      <c r="F1035" t="s">
        <v>3841</v>
      </c>
      <c r="G1035" t="s">
        <v>3842</v>
      </c>
      <c r="H1035" t="str">
        <f t="shared" si="285"/>
        <v>048314</v>
      </c>
      <c r="I1035" t="s">
        <v>833</v>
      </c>
      <c r="J1035" t="str">
        <f t="shared" si="288"/>
        <v>2015-07-01 00:00:00.0</v>
      </c>
      <c r="K1035" t="s">
        <v>834</v>
      </c>
      <c r="L1035" t="s">
        <v>0</v>
      </c>
      <c r="M1035" t="str">
        <f t="shared" si="283"/>
        <v>048314</v>
      </c>
      <c r="N1035">
        <v>1</v>
      </c>
      <c r="O1035">
        <v>1</v>
      </c>
      <c r="P1035" t="str">
        <f>"11"</f>
        <v>11</v>
      </c>
      <c r="Q1035" t="s">
        <v>835</v>
      </c>
      <c r="S1035" t="s">
        <v>836</v>
      </c>
      <c r="T1035" t="s">
        <v>836</v>
      </c>
      <c r="U1035" t="str">
        <f t="shared" si="287"/>
        <v>2500-12-31 00:00:00.0</v>
      </c>
      <c r="V1035" t="s">
        <v>837</v>
      </c>
      <c r="W1035" t="str">
        <f>"048314-004796-**-**"</f>
        <v>048314-004796-**-**</v>
      </c>
      <c r="X1035" t="s">
        <v>838</v>
      </c>
      <c r="Y1035">
        <v>1254.5</v>
      </c>
      <c r="Z1035">
        <v>1254.5</v>
      </c>
      <c r="AA1035" t="str">
        <f t="shared" si="286"/>
        <v>06/08/2016</v>
      </c>
    </row>
    <row r="1036" spans="1:27" x14ac:dyDescent="0.3">
      <c r="A1036" t="str">
        <f t="shared" si="284"/>
        <v>048314</v>
      </c>
      <c r="B1036" t="str">
        <f t="shared" si="278"/>
        <v>004796</v>
      </c>
      <c r="C1036" t="s">
        <v>2534</v>
      </c>
      <c r="D1036" t="s">
        <v>3839</v>
      </c>
      <c r="E1036" t="s">
        <v>3840</v>
      </c>
      <c r="F1036" t="s">
        <v>3841</v>
      </c>
      <c r="G1036" t="s">
        <v>3842</v>
      </c>
      <c r="H1036" t="str">
        <f t="shared" si="285"/>
        <v>048314</v>
      </c>
      <c r="I1036" t="s">
        <v>833</v>
      </c>
      <c r="J1036" t="str">
        <f t="shared" si="288"/>
        <v>2015-07-01 00:00:00.0</v>
      </c>
      <c r="K1036" t="s">
        <v>834</v>
      </c>
      <c r="L1036" t="s">
        <v>0</v>
      </c>
      <c r="M1036" t="str">
        <f t="shared" si="283"/>
        <v>048314</v>
      </c>
      <c r="N1036">
        <v>1</v>
      </c>
      <c r="O1036">
        <v>1</v>
      </c>
      <c r="P1036" t="str">
        <f>"11"</f>
        <v>11</v>
      </c>
      <c r="Q1036" t="s">
        <v>835</v>
      </c>
      <c r="S1036" t="s">
        <v>836</v>
      </c>
      <c r="T1036" t="s">
        <v>836</v>
      </c>
      <c r="U1036" t="str">
        <f t="shared" si="287"/>
        <v>2500-12-31 00:00:00.0</v>
      </c>
      <c r="V1036" t="s">
        <v>837</v>
      </c>
      <c r="W1036" t="str">
        <f>"048314-004796-**-**"</f>
        <v>048314-004796-**-**</v>
      </c>
      <c r="X1036" t="s">
        <v>838</v>
      </c>
      <c r="Y1036">
        <v>1254.5</v>
      </c>
      <c r="Z1036">
        <v>1254.5</v>
      </c>
      <c r="AA1036" t="str">
        <f t="shared" si="286"/>
        <v>06/08/2016</v>
      </c>
    </row>
    <row r="1037" spans="1:27" x14ac:dyDescent="0.3">
      <c r="A1037" t="str">
        <f t="shared" si="284"/>
        <v>048314</v>
      </c>
      <c r="B1037" t="str">
        <f t="shared" si="278"/>
        <v>004796</v>
      </c>
      <c r="C1037" t="s">
        <v>1255</v>
      </c>
      <c r="D1037" t="s">
        <v>3839</v>
      </c>
      <c r="E1037" t="s">
        <v>3840</v>
      </c>
      <c r="F1037" t="s">
        <v>3841</v>
      </c>
      <c r="G1037" t="s">
        <v>3842</v>
      </c>
      <c r="H1037" t="str">
        <f>"051243"</f>
        <v>051243</v>
      </c>
      <c r="I1037" t="s">
        <v>833</v>
      </c>
      <c r="J1037" t="str">
        <f t="shared" si="288"/>
        <v>2015-07-01 00:00:00.0</v>
      </c>
      <c r="K1037" t="s">
        <v>834</v>
      </c>
      <c r="L1037" t="s">
        <v>0</v>
      </c>
      <c r="M1037" t="str">
        <f t="shared" si="283"/>
        <v>048314</v>
      </c>
      <c r="N1037">
        <v>1</v>
      </c>
      <c r="O1037">
        <v>1</v>
      </c>
      <c r="P1037" t="str">
        <f>"12"</f>
        <v>12</v>
      </c>
      <c r="Q1037" t="s">
        <v>835</v>
      </c>
      <c r="S1037" t="s">
        <v>836</v>
      </c>
      <c r="T1037" t="s">
        <v>836</v>
      </c>
      <c r="U1037" t="str">
        <f t="shared" si="287"/>
        <v>2500-12-31 00:00:00.0</v>
      </c>
      <c r="V1037" t="s">
        <v>886</v>
      </c>
      <c r="W1037" t="str">
        <f>"051243-051250-12-SE"</f>
        <v>051243-051250-12-SE</v>
      </c>
      <c r="X1037" t="s">
        <v>838</v>
      </c>
      <c r="Y1037">
        <v>1105</v>
      </c>
      <c r="Z1037">
        <v>1105</v>
      </c>
      <c r="AA1037" t="str">
        <f>"05/21/2016"</f>
        <v>05/21/2016</v>
      </c>
    </row>
    <row r="1038" spans="1:27" x14ac:dyDescent="0.3">
      <c r="A1038" t="str">
        <f t="shared" si="284"/>
        <v>048314</v>
      </c>
      <c r="B1038" t="str">
        <f t="shared" si="278"/>
        <v>004796</v>
      </c>
      <c r="C1038" t="s">
        <v>1340</v>
      </c>
      <c r="D1038" t="s">
        <v>3839</v>
      </c>
      <c r="E1038" t="s">
        <v>3840</v>
      </c>
      <c r="F1038" t="s">
        <v>3841</v>
      </c>
      <c r="G1038" t="s">
        <v>3842</v>
      </c>
      <c r="H1038" t="str">
        <f>"048314"</f>
        <v>048314</v>
      </c>
      <c r="I1038" t="s">
        <v>833</v>
      </c>
      <c r="J1038" t="str">
        <f t="shared" si="288"/>
        <v>2015-07-01 00:00:00.0</v>
      </c>
      <c r="K1038" t="s">
        <v>834</v>
      </c>
      <c r="L1038" t="s">
        <v>0</v>
      </c>
      <c r="M1038" t="str">
        <f t="shared" si="283"/>
        <v>048314</v>
      </c>
      <c r="N1038">
        <v>1</v>
      </c>
      <c r="O1038">
        <v>1</v>
      </c>
      <c r="P1038" t="str">
        <f>"11"</f>
        <v>11</v>
      </c>
      <c r="Q1038" t="s">
        <v>835</v>
      </c>
      <c r="S1038" t="s">
        <v>836</v>
      </c>
      <c r="T1038" t="s">
        <v>836</v>
      </c>
      <c r="U1038" t="str">
        <f t="shared" si="287"/>
        <v>2500-12-31 00:00:00.0</v>
      </c>
      <c r="V1038" t="s">
        <v>837</v>
      </c>
      <c r="W1038" t="str">
        <f>"048314-004796-**-**"</f>
        <v>048314-004796-**-**</v>
      </c>
      <c r="X1038" t="s">
        <v>838</v>
      </c>
      <c r="Y1038">
        <v>1254.5</v>
      </c>
      <c r="Z1038">
        <v>1254.5</v>
      </c>
      <c r="AA1038" t="str">
        <f>"06/08/2016"</f>
        <v>06/08/2016</v>
      </c>
    </row>
    <row r="1039" spans="1:27" x14ac:dyDescent="0.3">
      <c r="A1039" t="str">
        <f t="shared" si="284"/>
        <v>048314</v>
      </c>
      <c r="B1039" t="str">
        <f t="shared" si="278"/>
        <v>004796</v>
      </c>
      <c r="C1039" t="s">
        <v>1460</v>
      </c>
      <c r="D1039" t="s">
        <v>3839</v>
      </c>
      <c r="E1039" t="s">
        <v>3840</v>
      </c>
      <c r="F1039" t="s">
        <v>3841</v>
      </c>
      <c r="G1039" t="s">
        <v>3842</v>
      </c>
      <c r="H1039" t="str">
        <f>"051243"</f>
        <v>051243</v>
      </c>
      <c r="I1039" t="s">
        <v>833</v>
      </c>
      <c r="J1039" t="str">
        <f>"2015-08-03 00:00:00.0"</f>
        <v>2015-08-03 00:00:00.0</v>
      </c>
      <c r="K1039" t="s">
        <v>834</v>
      </c>
      <c r="L1039" t="s">
        <v>0</v>
      </c>
      <c r="M1039" t="str">
        <f t="shared" si="283"/>
        <v>048314</v>
      </c>
      <c r="N1039">
        <v>1</v>
      </c>
      <c r="O1039">
        <v>1</v>
      </c>
      <c r="P1039" t="str">
        <f>"11"</f>
        <v>11</v>
      </c>
      <c r="Q1039" t="s">
        <v>835</v>
      </c>
      <c r="S1039" t="s">
        <v>836</v>
      </c>
      <c r="T1039" t="s">
        <v>836</v>
      </c>
      <c r="U1039" t="str">
        <f t="shared" si="287"/>
        <v>2500-12-31 00:00:00.0</v>
      </c>
      <c r="V1039" t="s">
        <v>886</v>
      </c>
      <c r="W1039" t="str">
        <f>"051243-051250-11-**"</f>
        <v>051243-051250-11-**</v>
      </c>
      <c r="X1039" t="s">
        <v>838</v>
      </c>
      <c r="Y1039">
        <v>1144</v>
      </c>
      <c r="Z1039">
        <v>1144</v>
      </c>
      <c r="AA1039" t="str">
        <f>"05/21/2016"</f>
        <v>05/21/2016</v>
      </c>
    </row>
    <row r="1040" spans="1:27" x14ac:dyDescent="0.3">
      <c r="A1040" t="str">
        <f t="shared" si="284"/>
        <v>048314</v>
      </c>
      <c r="B1040" t="str">
        <f t="shared" si="278"/>
        <v>004796</v>
      </c>
      <c r="C1040" t="s">
        <v>1071</v>
      </c>
      <c r="D1040" t="s">
        <v>3839</v>
      </c>
      <c r="E1040" t="s">
        <v>3840</v>
      </c>
      <c r="F1040" t="s">
        <v>3841</v>
      </c>
      <c r="G1040" t="s">
        <v>3842</v>
      </c>
      <c r="H1040" t="str">
        <f t="shared" ref="H1040:H1055" si="289">"048314"</f>
        <v>048314</v>
      </c>
      <c r="I1040" t="s">
        <v>833</v>
      </c>
      <c r="J1040" t="str">
        <f t="shared" ref="J1040:J1045" si="290">"2015-07-01 00:00:00.0"</f>
        <v>2015-07-01 00:00:00.0</v>
      </c>
      <c r="K1040" t="s">
        <v>834</v>
      </c>
      <c r="L1040" t="s">
        <v>0</v>
      </c>
      <c r="M1040" t="str">
        <f t="shared" si="283"/>
        <v>048314</v>
      </c>
      <c r="N1040">
        <v>1</v>
      </c>
      <c r="O1040">
        <v>1</v>
      </c>
      <c r="P1040" t="str">
        <f>"12"</f>
        <v>12</v>
      </c>
      <c r="Q1040" t="s">
        <v>835</v>
      </c>
      <c r="S1040" t="s">
        <v>836</v>
      </c>
      <c r="T1040" t="s">
        <v>836</v>
      </c>
      <c r="U1040" t="str">
        <f t="shared" si="287"/>
        <v>2500-12-31 00:00:00.0</v>
      </c>
      <c r="V1040" t="s">
        <v>837</v>
      </c>
      <c r="W1040" t="str">
        <f>"048314-004796-12-SE"</f>
        <v>048314-004796-12-SE</v>
      </c>
      <c r="X1040" t="s">
        <v>838</v>
      </c>
      <c r="Y1040">
        <v>1254.5</v>
      </c>
      <c r="Z1040">
        <v>1254.5</v>
      </c>
      <c r="AA1040" t="str">
        <f t="shared" ref="AA1040:AA1055" si="291">"06/08/2016"</f>
        <v>06/08/2016</v>
      </c>
    </row>
    <row r="1041" spans="1:27" x14ac:dyDescent="0.3">
      <c r="A1041" t="str">
        <f t="shared" si="284"/>
        <v>048314</v>
      </c>
      <c r="B1041" t="str">
        <f t="shared" si="278"/>
        <v>004796</v>
      </c>
      <c r="C1041" t="s">
        <v>1144</v>
      </c>
      <c r="D1041" t="s">
        <v>3839</v>
      </c>
      <c r="E1041" t="s">
        <v>3840</v>
      </c>
      <c r="F1041" t="s">
        <v>3841</v>
      </c>
      <c r="G1041" t="s">
        <v>3842</v>
      </c>
      <c r="H1041" t="str">
        <f t="shared" si="289"/>
        <v>048314</v>
      </c>
      <c r="I1041" t="s">
        <v>833</v>
      </c>
      <c r="J1041" t="str">
        <f t="shared" si="290"/>
        <v>2015-07-01 00:00:00.0</v>
      </c>
      <c r="K1041" t="s">
        <v>834</v>
      </c>
      <c r="L1041" t="s">
        <v>0</v>
      </c>
      <c r="M1041" t="str">
        <f t="shared" si="283"/>
        <v>048314</v>
      </c>
      <c r="N1041">
        <v>1</v>
      </c>
      <c r="O1041">
        <v>1</v>
      </c>
      <c r="P1041" t="str">
        <f>"12"</f>
        <v>12</v>
      </c>
      <c r="Q1041" t="s">
        <v>835</v>
      </c>
      <c r="S1041" t="s">
        <v>836</v>
      </c>
      <c r="T1041" t="s">
        <v>836</v>
      </c>
      <c r="U1041" t="str">
        <f t="shared" si="287"/>
        <v>2500-12-31 00:00:00.0</v>
      </c>
      <c r="V1041" t="s">
        <v>837</v>
      </c>
      <c r="W1041" t="str">
        <f>"048314-004796-12-SE"</f>
        <v>048314-004796-12-SE</v>
      </c>
      <c r="X1041" t="s">
        <v>838</v>
      </c>
      <c r="Y1041">
        <v>1254.5</v>
      </c>
      <c r="Z1041">
        <v>1254.5</v>
      </c>
      <c r="AA1041" t="str">
        <f t="shared" si="291"/>
        <v>06/08/2016</v>
      </c>
    </row>
    <row r="1042" spans="1:27" x14ac:dyDescent="0.3">
      <c r="A1042" t="str">
        <f t="shared" si="284"/>
        <v>048314</v>
      </c>
      <c r="B1042" t="str">
        <f t="shared" si="278"/>
        <v>004796</v>
      </c>
      <c r="C1042" t="s">
        <v>1192</v>
      </c>
      <c r="D1042" t="s">
        <v>3839</v>
      </c>
      <c r="E1042" t="s">
        <v>3840</v>
      </c>
      <c r="F1042" t="s">
        <v>3841</v>
      </c>
      <c r="G1042" t="s">
        <v>3842</v>
      </c>
      <c r="H1042" t="str">
        <f t="shared" si="289"/>
        <v>048314</v>
      </c>
      <c r="I1042" t="s">
        <v>833</v>
      </c>
      <c r="J1042" t="str">
        <f t="shared" si="290"/>
        <v>2015-07-01 00:00:00.0</v>
      </c>
      <c r="K1042" t="s">
        <v>834</v>
      </c>
      <c r="L1042" t="s">
        <v>0</v>
      </c>
      <c r="M1042" t="str">
        <f t="shared" si="283"/>
        <v>048314</v>
      </c>
      <c r="N1042">
        <v>1</v>
      </c>
      <c r="O1042">
        <v>1</v>
      </c>
      <c r="P1042" t="str">
        <f>"11"</f>
        <v>11</v>
      </c>
      <c r="Q1042" t="s">
        <v>835</v>
      </c>
      <c r="S1042" t="s">
        <v>836</v>
      </c>
      <c r="T1042" t="s">
        <v>836</v>
      </c>
      <c r="U1042" t="str">
        <f t="shared" si="287"/>
        <v>2500-12-31 00:00:00.0</v>
      </c>
      <c r="V1042" t="s">
        <v>837</v>
      </c>
      <c r="W1042" t="str">
        <f>"048314-004796-**-**"</f>
        <v>048314-004796-**-**</v>
      </c>
      <c r="X1042" t="s">
        <v>838</v>
      </c>
      <c r="Y1042">
        <v>1254.5</v>
      </c>
      <c r="Z1042">
        <v>1254.5</v>
      </c>
      <c r="AA1042" t="str">
        <f t="shared" si="291"/>
        <v>06/08/2016</v>
      </c>
    </row>
    <row r="1043" spans="1:27" x14ac:dyDescent="0.3">
      <c r="A1043" t="str">
        <f t="shared" si="284"/>
        <v>048314</v>
      </c>
      <c r="B1043" t="str">
        <f t="shared" si="278"/>
        <v>004796</v>
      </c>
      <c r="C1043" t="s">
        <v>2488</v>
      </c>
      <c r="D1043" t="s">
        <v>3839</v>
      </c>
      <c r="E1043" t="s">
        <v>3840</v>
      </c>
      <c r="F1043" t="s">
        <v>3841</v>
      </c>
      <c r="G1043" t="s">
        <v>3842</v>
      </c>
      <c r="H1043" t="str">
        <f t="shared" si="289"/>
        <v>048314</v>
      </c>
      <c r="I1043" t="s">
        <v>833</v>
      </c>
      <c r="J1043" t="str">
        <f t="shared" si="290"/>
        <v>2015-07-01 00:00:00.0</v>
      </c>
      <c r="K1043" t="s">
        <v>834</v>
      </c>
      <c r="L1043" t="s">
        <v>0</v>
      </c>
      <c r="M1043" t="str">
        <f t="shared" si="283"/>
        <v>048314</v>
      </c>
      <c r="N1043">
        <v>1</v>
      </c>
      <c r="O1043">
        <v>1</v>
      </c>
      <c r="P1043" t="str">
        <f>"12"</f>
        <v>12</v>
      </c>
      <c r="Q1043" t="s">
        <v>835</v>
      </c>
      <c r="S1043" t="s">
        <v>836</v>
      </c>
      <c r="T1043" t="s">
        <v>836</v>
      </c>
      <c r="U1043" t="str">
        <f t="shared" si="287"/>
        <v>2500-12-31 00:00:00.0</v>
      </c>
      <c r="V1043" t="s">
        <v>837</v>
      </c>
      <c r="W1043" t="str">
        <f>"048314-004796-12-SE"</f>
        <v>048314-004796-12-SE</v>
      </c>
      <c r="X1043" t="s">
        <v>838</v>
      </c>
      <c r="Y1043">
        <v>1254.5</v>
      </c>
      <c r="Z1043">
        <v>1254.5</v>
      </c>
      <c r="AA1043" t="str">
        <f t="shared" si="291"/>
        <v>06/08/2016</v>
      </c>
    </row>
    <row r="1044" spans="1:27" x14ac:dyDescent="0.3">
      <c r="A1044" t="str">
        <f t="shared" si="284"/>
        <v>048314</v>
      </c>
      <c r="B1044" t="str">
        <f t="shared" si="278"/>
        <v>004796</v>
      </c>
      <c r="C1044" t="s">
        <v>1662</v>
      </c>
      <c r="D1044" t="s">
        <v>3839</v>
      </c>
      <c r="E1044" t="s">
        <v>3840</v>
      </c>
      <c r="F1044" t="s">
        <v>3841</v>
      </c>
      <c r="G1044" t="s">
        <v>3842</v>
      </c>
      <c r="H1044" t="str">
        <f t="shared" si="289"/>
        <v>048314</v>
      </c>
      <c r="I1044" t="s">
        <v>833</v>
      </c>
      <c r="J1044" t="str">
        <f t="shared" si="290"/>
        <v>2015-07-01 00:00:00.0</v>
      </c>
      <c r="K1044" t="s">
        <v>834</v>
      </c>
      <c r="L1044" t="s">
        <v>0</v>
      </c>
      <c r="M1044" t="str">
        <f t="shared" si="283"/>
        <v>048314</v>
      </c>
      <c r="N1044">
        <v>1</v>
      </c>
      <c r="O1044">
        <v>1</v>
      </c>
      <c r="P1044" t="str">
        <f>"10"</f>
        <v>10</v>
      </c>
      <c r="Q1044" t="s">
        <v>835</v>
      </c>
      <c r="S1044" t="s">
        <v>836</v>
      </c>
      <c r="T1044" t="s">
        <v>836</v>
      </c>
      <c r="U1044" t="str">
        <f t="shared" si="287"/>
        <v>2500-12-31 00:00:00.0</v>
      </c>
      <c r="V1044" t="s">
        <v>837</v>
      </c>
      <c r="W1044" t="str">
        <f>"048314-004796-**-**"</f>
        <v>048314-004796-**-**</v>
      </c>
      <c r="X1044" t="s">
        <v>838</v>
      </c>
      <c r="Y1044">
        <v>1254.5</v>
      </c>
      <c r="Z1044">
        <v>1254.5</v>
      </c>
      <c r="AA1044" t="str">
        <f t="shared" si="291"/>
        <v>06/08/2016</v>
      </c>
    </row>
    <row r="1045" spans="1:27" x14ac:dyDescent="0.3">
      <c r="A1045" t="str">
        <f t="shared" si="284"/>
        <v>048314</v>
      </c>
      <c r="B1045" t="str">
        <f t="shared" si="278"/>
        <v>004796</v>
      </c>
      <c r="C1045" t="s">
        <v>1751</v>
      </c>
      <c r="D1045" t="s">
        <v>3839</v>
      </c>
      <c r="E1045" t="s">
        <v>3840</v>
      </c>
      <c r="F1045" t="s">
        <v>3841</v>
      </c>
      <c r="G1045" t="s">
        <v>3842</v>
      </c>
      <c r="H1045" t="str">
        <f t="shared" si="289"/>
        <v>048314</v>
      </c>
      <c r="I1045" t="s">
        <v>833</v>
      </c>
      <c r="J1045" t="str">
        <f t="shared" si="290"/>
        <v>2015-07-01 00:00:00.0</v>
      </c>
      <c r="K1045" t="s">
        <v>834</v>
      </c>
      <c r="L1045" t="s">
        <v>0</v>
      </c>
      <c r="M1045" t="str">
        <f t="shared" si="283"/>
        <v>048314</v>
      </c>
      <c r="N1045">
        <v>1</v>
      </c>
      <c r="O1045">
        <v>1</v>
      </c>
      <c r="P1045" t="str">
        <f>"12"</f>
        <v>12</v>
      </c>
      <c r="Q1045" t="s">
        <v>835</v>
      </c>
      <c r="S1045" t="s">
        <v>836</v>
      </c>
      <c r="T1045" t="s">
        <v>836</v>
      </c>
      <c r="U1045" t="str">
        <f t="shared" si="287"/>
        <v>2500-12-31 00:00:00.0</v>
      </c>
      <c r="V1045" t="s">
        <v>837</v>
      </c>
      <c r="W1045" t="str">
        <f>"048314-004796-12-SE"</f>
        <v>048314-004796-12-SE</v>
      </c>
      <c r="X1045" t="s">
        <v>838</v>
      </c>
      <c r="Y1045">
        <v>1254.5</v>
      </c>
      <c r="Z1045">
        <v>1254.5</v>
      </c>
      <c r="AA1045" t="str">
        <f t="shared" si="291"/>
        <v>06/08/2016</v>
      </c>
    </row>
    <row r="1046" spans="1:27" x14ac:dyDescent="0.3">
      <c r="A1046" t="str">
        <f t="shared" si="284"/>
        <v>048314</v>
      </c>
      <c r="B1046" t="str">
        <f t="shared" si="278"/>
        <v>004796</v>
      </c>
      <c r="C1046" t="s">
        <v>3399</v>
      </c>
      <c r="D1046" t="s">
        <v>3839</v>
      </c>
      <c r="E1046" t="s">
        <v>3840</v>
      </c>
      <c r="F1046" t="s">
        <v>3841</v>
      </c>
      <c r="G1046" t="s">
        <v>3842</v>
      </c>
      <c r="H1046" t="str">
        <f t="shared" si="289"/>
        <v>048314</v>
      </c>
      <c r="I1046" t="s">
        <v>833</v>
      </c>
      <c r="J1046" t="str">
        <f>"2015-08-03 00:00:00.0"</f>
        <v>2015-08-03 00:00:00.0</v>
      </c>
      <c r="K1046" t="s">
        <v>834</v>
      </c>
      <c r="L1046" t="s">
        <v>0</v>
      </c>
      <c r="M1046" t="str">
        <f t="shared" si="283"/>
        <v>048314</v>
      </c>
      <c r="N1046">
        <v>1</v>
      </c>
      <c r="O1046">
        <v>1</v>
      </c>
      <c r="P1046" t="str">
        <f>"09"</f>
        <v>09</v>
      </c>
      <c r="Q1046" t="s">
        <v>835</v>
      </c>
      <c r="S1046" t="s">
        <v>836</v>
      </c>
      <c r="T1046" t="s">
        <v>836</v>
      </c>
      <c r="U1046" t="str">
        <f t="shared" si="287"/>
        <v>2500-12-31 00:00:00.0</v>
      </c>
      <c r="V1046" t="s">
        <v>837</v>
      </c>
      <c r="W1046" t="str">
        <f>"048314-004796-**-**"</f>
        <v>048314-004796-**-**</v>
      </c>
      <c r="X1046" t="s">
        <v>838</v>
      </c>
      <c r="Y1046">
        <v>1254.5</v>
      </c>
      <c r="Z1046">
        <v>1254.5</v>
      </c>
      <c r="AA1046" t="str">
        <f t="shared" si="291"/>
        <v>06/08/2016</v>
      </c>
    </row>
    <row r="1047" spans="1:27" x14ac:dyDescent="0.3">
      <c r="A1047" t="str">
        <f t="shared" si="284"/>
        <v>048314</v>
      </c>
      <c r="B1047" t="str">
        <f t="shared" si="278"/>
        <v>004796</v>
      </c>
      <c r="C1047" t="s">
        <v>1145</v>
      </c>
      <c r="D1047" t="s">
        <v>3839</v>
      </c>
      <c r="E1047" t="s">
        <v>3840</v>
      </c>
      <c r="F1047" t="s">
        <v>3841</v>
      </c>
      <c r="G1047" t="s">
        <v>3842</v>
      </c>
      <c r="H1047" t="str">
        <f t="shared" si="289"/>
        <v>048314</v>
      </c>
      <c r="I1047" t="s">
        <v>833</v>
      </c>
      <c r="J1047" t="str">
        <f>"2015-07-01 00:00:00.0"</f>
        <v>2015-07-01 00:00:00.0</v>
      </c>
      <c r="K1047" t="s">
        <v>834</v>
      </c>
      <c r="L1047" t="s">
        <v>0</v>
      </c>
      <c r="M1047" t="str">
        <f t="shared" si="283"/>
        <v>048314</v>
      </c>
      <c r="N1047">
        <v>1</v>
      </c>
      <c r="O1047">
        <v>1</v>
      </c>
      <c r="P1047" t="str">
        <f>"12"</f>
        <v>12</v>
      </c>
      <c r="Q1047" t="s">
        <v>835</v>
      </c>
      <c r="S1047" t="s">
        <v>836</v>
      </c>
      <c r="T1047" t="s">
        <v>836</v>
      </c>
      <c r="U1047" t="str">
        <f t="shared" si="287"/>
        <v>2500-12-31 00:00:00.0</v>
      </c>
      <c r="V1047" t="s">
        <v>837</v>
      </c>
      <c r="W1047" t="str">
        <f>"048314-004796-12-SE"</f>
        <v>048314-004796-12-SE</v>
      </c>
      <c r="X1047" t="s">
        <v>838</v>
      </c>
      <c r="Y1047">
        <v>1254.5</v>
      </c>
      <c r="Z1047">
        <v>1254.5</v>
      </c>
      <c r="AA1047" t="str">
        <f t="shared" si="291"/>
        <v>06/08/2016</v>
      </c>
    </row>
    <row r="1048" spans="1:27" x14ac:dyDescent="0.3">
      <c r="A1048" t="str">
        <f t="shared" si="284"/>
        <v>048314</v>
      </c>
      <c r="B1048" t="str">
        <f t="shared" si="278"/>
        <v>004796</v>
      </c>
      <c r="C1048" t="s">
        <v>1596</v>
      </c>
      <c r="D1048" t="s">
        <v>3839</v>
      </c>
      <c r="E1048" t="s">
        <v>3840</v>
      </c>
      <c r="F1048" t="s">
        <v>3841</v>
      </c>
      <c r="G1048" t="s">
        <v>3842</v>
      </c>
      <c r="H1048" t="str">
        <f t="shared" si="289"/>
        <v>048314</v>
      </c>
      <c r="I1048" t="s">
        <v>833</v>
      </c>
      <c r="J1048" t="str">
        <f>"2015-07-01 00:00:00.0"</f>
        <v>2015-07-01 00:00:00.0</v>
      </c>
      <c r="K1048" t="s">
        <v>834</v>
      </c>
      <c r="L1048" t="s">
        <v>0</v>
      </c>
      <c r="M1048" t="str">
        <f t="shared" si="283"/>
        <v>048314</v>
      </c>
      <c r="N1048">
        <v>1</v>
      </c>
      <c r="O1048">
        <v>1</v>
      </c>
      <c r="P1048" t="str">
        <f>"10"</f>
        <v>10</v>
      </c>
      <c r="Q1048" t="s">
        <v>835</v>
      </c>
      <c r="S1048" t="s">
        <v>836</v>
      </c>
      <c r="T1048" t="s">
        <v>836</v>
      </c>
      <c r="U1048" t="str">
        <f t="shared" si="287"/>
        <v>2500-12-31 00:00:00.0</v>
      </c>
      <c r="V1048" t="s">
        <v>837</v>
      </c>
      <c r="W1048" t="str">
        <f>"048314-004796-**-**"</f>
        <v>048314-004796-**-**</v>
      </c>
      <c r="X1048" t="s">
        <v>838</v>
      </c>
      <c r="Y1048">
        <v>1254.5</v>
      </c>
      <c r="Z1048">
        <v>1254.5</v>
      </c>
      <c r="AA1048" t="str">
        <f t="shared" si="291"/>
        <v>06/08/2016</v>
      </c>
    </row>
    <row r="1049" spans="1:27" x14ac:dyDescent="0.3">
      <c r="A1049" t="str">
        <f t="shared" si="284"/>
        <v>048314</v>
      </c>
      <c r="B1049" t="str">
        <f t="shared" si="278"/>
        <v>004796</v>
      </c>
      <c r="C1049" t="s">
        <v>1110</v>
      </c>
      <c r="D1049" t="s">
        <v>3839</v>
      </c>
      <c r="E1049" t="s">
        <v>3840</v>
      </c>
      <c r="F1049" t="s">
        <v>3841</v>
      </c>
      <c r="G1049" t="s">
        <v>3842</v>
      </c>
      <c r="H1049" t="str">
        <f t="shared" si="289"/>
        <v>048314</v>
      </c>
      <c r="I1049" t="s">
        <v>833</v>
      </c>
      <c r="J1049" t="str">
        <f>"2015-07-01 00:00:00.0"</f>
        <v>2015-07-01 00:00:00.0</v>
      </c>
      <c r="K1049" t="s">
        <v>834</v>
      </c>
      <c r="L1049" t="s">
        <v>0</v>
      </c>
      <c r="M1049" t="str">
        <f t="shared" si="283"/>
        <v>048314</v>
      </c>
      <c r="N1049">
        <v>0.150259</v>
      </c>
      <c r="O1049">
        <v>0.150259</v>
      </c>
      <c r="P1049" t="str">
        <f>"12"</f>
        <v>12</v>
      </c>
      <c r="Q1049" t="s">
        <v>835</v>
      </c>
      <c r="S1049" t="s">
        <v>836</v>
      </c>
      <c r="T1049" t="s">
        <v>836</v>
      </c>
      <c r="U1049" t="str">
        <f>"2015-10-11 00:00:00.0"</f>
        <v>2015-10-11 00:00:00.0</v>
      </c>
      <c r="V1049" t="s">
        <v>837</v>
      </c>
      <c r="W1049" t="str">
        <f>"048314-004796-12-SE"</f>
        <v>048314-004796-12-SE</v>
      </c>
      <c r="X1049" t="s">
        <v>838</v>
      </c>
      <c r="Y1049">
        <v>188.5</v>
      </c>
      <c r="Z1049">
        <v>1254.5</v>
      </c>
      <c r="AA1049" t="str">
        <f t="shared" si="291"/>
        <v>06/08/2016</v>
      </c>
    </row>
    <row r="1050" spans="1:27" x14ac:dyDescent="0.3">
      <c r="A1050" t="str">
        <f t="shared" si="284"/>
        <v>048314</v>
      </c>
      <c r="B1050" t="str">
        <f t="shared" si="278"/>
        <v>004796</v>
      </c>
      <c r="C1050" t="s">
        <v>1110</v>
      </c>
      <c r="D1050" t="s">
        <v>3839</v>
      </c>
      <c r="E1050" t="s">
        <v>3840</v>
      </c>
      <c r="F1050" t="s">
        <v>3841</v>
      </c>
      <c r="G1050" t="s">
        <v>3842</v>
      </c>
      <c r="H1050" t="str">
        <f t="shared" si="289"/>
        <v>048314</v>
      </c>
      <c r="I1050" t="s">
        <v>833</v>
      </c>
      <c r="J1050" t="str">
        <f>"2015-10-12 00:00:00.0"</f>
        <v>2015-10-12 00:00:00.0</v>
      </c>
      <c r="K1050" t="s">
        <v>834</v>
      </c>
      <c r="L1050" t="s">
        <v>0</v>
      </c>
      <c r="M1050" t="str">
        <f>"048298"</f>
        <v>048298</v>
      </c>
      <c r="N1050">
        <v>0.84974099999999997</v>
      </c>
      <c r="O1050">
        <v>0.84974099999999997</v>
      </c>
      <c r="P1050" t="str">
        <f>"12"</f>
        <v>12</v>
      </c>
      <c r="Q1050" t="s">
        <v>835</v>
      </c>
      <c r="S1050" t="s">
        <v>836</v>
      </c>
      <c r="T1050" t="s">
        <v>836</v>
      </c>
      <c r="U1050" t="str">
        <f t="shared" ref="U1050:U1055" si="292">"2500-12-31 00:00:00.0"</f>
        <v>2500-12-31 00:00:00.0</v>
      </c>
      <c r="V1050" t="s">
        <v>837</v>
      </c>
      <c r="W1050" t="str">
        <f>"048314-004796-12-SE"</f>
        <v>048314-004796-12-SE</v>
      </c>
      <c r="X1050" t="s">
        <v>838</v>
      </c>
      <c r="Y1050">
        <v>1066</v>
      </c>
      <c r="Z1050">
        <v>1254.5</v>
      </c>
      <c r="AA1050" t="str">
        <f t="shared" si="291"/>
        <v>06/08/2016</v>
      </c>
    </row>
    <row r="1051" spans="1:27" x14ac:dyDescent="0.3">
      <c r="A1051" t="str">
        <f t="shared" si="284"/>
        <v>048314</v>
      </c>
      <c r="B1051" t="str">
        <f t="shared" si="278"/>
        <v>004796</v>
      </c>
      <c r="C1051" t="s">
        <v>1597</v>
      </c>
      <c r="D1051" t="s">
        <v>3839</v>
      </c>
      <c r="E1051" t="s">
        <v>3840</v>
      </c>
      <c r="F1051" t="s">
        <v>3841</v>
      </c>
      <c r="G1051" t="s">
        <v>3842</v>
      </c>
      <c r="H1051" t="str">
        <f t="shared" si="289"/>
        <v>048314</v>
      </c>
      <c r="I1051" t="s">
        <v>833</v>
      </c>
      <c r="J1051" t="str">
        <f>"2015-07-01 00:00:00.0"</f>
        <v>2015-07-01 00:00:00.0</v>
      </c>
      <c r="K1051" t="s">
        <v>834</v>
      </c>
      <c r="L1051" t="s">
        <v>0</v>
      </c>
      <c r="M1051" t="str">
        <f t="shared" ref="M1051:M1114" si="293">"048314"</f>
        <v>048314</v>
      </c>
      <c r="N1051">
        <v>1</v>
      </c>
      <c r="O1051">
        <v>1</v>
      </c>
      <c r="P1051" t="str">
        <f>"10"</f>
        <v>10</v>
      </c>
      <c r="Q1051" t="s">
        <v>835</v>
      </c>
      <c r="S1051" t="s">
        <v>836</v>
      </c>
      <c r="T1051" t="s">
        <v>836</v>
      </c>
      <c r="U1051" t="str">
        <f t="shared" si="292"/>
        <v>2500-12-31 00:00:00.0</v>
      </c>
      <c r="V1051" t="s">
        <v>837</v>
      </c>
      <c r="W1051" t="str">
        <f>"048314-004796-**-**"</f>
        <v>048314-004796-**-**</v>
      </c>
      <c r="X1051" t="s">
        <v>838</v>
      </c>
      <c r="Y1051">
        <v>1254.5</v>
      </c>
      <c r="Z1051">
        <v>1254.5</v>
      </c>
      <c r="AA1051" t="str">
        <f t="shared" si="291"/>
        <v>06/08/2016</v>
      </c>
    </row>
    <row r="1052" spans="1:27" x14ac:dyDescent="0.3">
      <c r="A1052" t="str">
        <f t="shared" si="284"/>
        <v>048314</v>
      </c>
      <c r="B1052" t="str">
        <f t="shared" si="278"/>
        <v>004796</v>
      </c>
      <c r="C1052" t="s">
        <v>1752</v>
      </c>
      <c r="D1052" t="s">
        <v>3839</v>
      </c>
      <c r="E1052" t="s">
        <v>3840</v>
      </c>
      <c r="F1052" t="s">
        <v>3841</v>
      </c>
      <c r="G1052" t="s">
        <v>3842</v>
      </c>
      <c r="H1052" t="str">
        <f t="shared" si="289"/>
        <v>048314</v>
      </c>
      <c r="I1052" t="s">
        <v>833</v>
      </c>
      <c r="J1052" t="str">
        <f>"2015-07-01 00:00:00.0"</f>
        <v>2015-07-01 00:00:00.0</v>
      </c>
      <c r="K1052" t="s">
        <v>834</v>
      </c>
      <c r="L1052" t="s">
        <v>0</v>
      </c>
      <c r="M1052" t="str">
        <f t="shared" si="293"/>
        <v>048314</v>
      </c>
      <c r="N1052">
        <v>1</v>
      </c>
      <c r="O1052">
        <v>1</v>
      </c>
      <c r="P1052" t="str">
        <f>"11"</f>
        <v>11</v>
      </c>
      <c r="Q1052" t="s">
        <v>835</v>
      </c>
      <c r="S1052" t="s">
        <v>836</v>
      </c>
      <c r="T1052" t="s">
        <v>836</v>
      </c>
      <c r="U1052" t="str">
        <f t="shared" si="292"/>
        <v>2500-12-31 00:00:00.0</v>
      </c>
      <c r="V1052" t="s">
        <v>837</v>
      </c>
      <c r="W1052" t="str">
        <f>"048314-004796-**-**"</f>
        <v>048314-004796-**-**</v>
      </c>
      <c r="X1052" t="s">
        <v>838</v>
      </c>
      <c r="Y1052">
        <v>1254.5</v>
      </c>
      <c r="Z1052">
        <v>1254.5</v>
      </c>
      <c r="AA1052" t="str">
        <f t="shared" si="291"/>
        <v>06/08/2016</v>
      </c>
    </row>
    <row r="1053" spans="1:27" x14ac:dyDescent="0.3">
      <c r="A1053" t="str">
        <f t="shared" si="284"/>
        <v>048314</v>
      </c>
      <c r="B1053" t="str">
        <f t="shared" si="278"/>
        <v>004796</v>
      </c>
      <c r="C1053" t="s">
        <v>1753</v>
      </c>
      <c r="D1053" t="s">
        <v>3839</v>
      </c>
      <c r="E1053" t="s">
        <v>3840</v>
      </c>
      <c r="F1053" t="s">
        <v>3841</v>
      </c>
      <c r="G1053" t="s">
        <v>3842</v>
      </c>
      <c r="H1053" t="str">
        <f t="shared" si="289"/>
        <v>048314</v>
      </c>
      <c r="I1053" t="s">
        <v>833</v>
      </c>
      <c r="J1053" t="str">
        <f>"2015-07-01 00:00:00.0"</f>
        <v>2015-07-01 00:00:00.0</v>
      </c>
      <c r="K1053" t="s">
        <v>834</v>
      </c>
      <c r="L1053" t="s">
        <v>0</v>
      </c>
      <c r="M1053" t="str">
        <f t="shared" si="293"/>
        <v>048314</v>
      </c>
      <c r="N1053">
        <v>1</v>
      </c>
      <c r="O1053">
        <v>1</v>
      </c>
      <c r="P1053" t="str">
        <f>"11"</f>
        <v>11</v>
      </c>
      <c r="Q1053" t="s">
        <v>835</v>
      </c>
      <c r="S1053" t="s">
        <v>836</v>
      </c>
      <c r="T1053" t="s">
        <v>836</v>
      </c>
      <c r="U1053" t="str">
        <f t="shared" si="292"/>
        <v>2500-12-31 00:00:00.0</v>
      </c>
      <c r="V1053" t="s">
        <v>837</v>
      </c>
      <c r="W1053" t="str">
        <f>"048314-004796-**-**"</f>
        <v>048314-004796-**-**</v>
      </c>
      <c r="X1053" t="s">
        <v>838</v>
      </c>
      <c r="Y1053">
        <v>1254.5</v>
      </c>
      <c r="Z1053">
        <v>1254.5</v>
      </c>
      <c r="AA1053" t="str">
        <f t="shared" si="291"/>
        <v>06/08/2016</v>
      </c>
    </row>
    <row r="1054" spans="1:27" x14ac:dyDescent="0.3">
      <c r="A1054" t="str">
        <f t="shared" si="284"/>
        <v>048314</v>
      </c>
      <c r="B1054" t="str">
        <f t="shared" si="278"/>
        <v>004796</v>
      </c>
      <c r="C1054" t="s">
        <v>1598</v>
      </c>
      <c r="D1054" t="s">
        <v>3839</v>
      </c>
      <c r="E1054" t="s">
        <v>3840</v>
      </c>
      <c r="F1054" t="s">
        <v>3841</v>
      </c>
      <c r="G1054" t="s">
        <v>3842</v>
      </c>
      <c r="H1054" t="str">
        <f t="shared" si="289"/>
        <v>048314</v>
      </c>
      <c r="I1054" t="s">
        <v>833</v>
      </c>
      <c r="J1054" t="str">
        <f>"2015-07-01 00:00:00.0"</f>
        <v>2015-07-01 00:00:00.0</v>
      </c>
      <c r="K1054" t="s">
        <v>834</v>
      </c>
      <c r="L1054" t="s">
        <v>0</v>
      </c>
      <c r="M1054" t="str">
        <f t="shared" si="293"/>
        <v>048314</v>
      </c>
      <c r="N1054">
        <v>1</v>
      </c>
      <c r="O1054">
        <v>1</v>
      </c>
      <c r="P1054" t="str">
        <f>"10"</f>
        <v>10</v>
      </c>
      <c r="Q1054" t="s">
        <v>835</v>
      </c>
      <c r="S1054" t="s">
        <v>836</v>
      </c>
      <c r="T1054" t="s">
        <v>836</v>
      </c>
      <c r="U1054" t="str">
        <f t="shared" si="292"/>
        <v>2500-12-31 00:00:00.0</v>
      </c>
      <c r="V1054" t="s">
        <v>837</v>
      </c>
      <c r="W1054" t="str">
        <f>"048314-004796-**-**"</f>
        <v>048314-004796-**-**</v>
      </c>
      <c r="X1054" t="s">
        <v>838</v>
      </c>
      <c r="Y1054">
        <v>1254.5</v>
      </c>
      <c r="Z1054">
        <v>1254.5</v>
      </c>
      <c r="AA1054" t="str">
        <f t="shared" si="291"/>
        <v>06/08/2016</v>
      </c>
    </row>
    <row r="1055" spans="1:27" x14ac:dyDescent="0.3">
      <c r="A1055" t="str">
        <f t="shared" si="284"/>
        <v>048314</v>
      </c>
      <c r="B1055" t="str">
        <f t="shared" si="278"/>
        <v>004796</v>
      </c>
      <c r="C1055" t="s">
        <v>3555</v>
      </c>
      <c r="D1055" t="s">
        <v>3839</v>
      </c>
      <c r="E1055" t="s">
        <v>3840</v>
      </c>
      <c r="F1055" t="s">
        <v>3841</v>
      </c>
      <c r="G1055" t="s">
        <v>3842</v>
      </c>
      <c r="H1055" t="str">
        <f t="shared" si="289"/>
        <v>048314</v>
      </c>
      <c r="I1055" t="s">
        <v>833</v>
      </c>
      <c r="J1055" t="str">
        <f>"2015-07-01 00:00:00.0"</f>
        <v>2015-07-01 00:00:00.0</v>
      </c>
      <c r="K1055" t="s">
        <v>834</v>
      </c>
      <c r="L1055" t="s">
        <v>0</v>
      </c>
      <c r="M1055" t="str">
        <f t="shared" si="293"/>
        <v>048314</v>
      </c>
      <c r="N1055">
        <v>1</v>
      </c>
      <c r="O1055">
        <v>1</v>
      </c>
      <c r="P1055" t="str">
        <f>"12"</f>
        <v>12</v>
      </c>
      <c r="Q1055" t="s">
        <v>835</v>
      </c>
      <c r="S1055" t="s">
        <v>836</v>
      </c>
      <c r="T1055" t="s">
        <v>836</v>
      </c>
      <c r="U1055" t="str">
        <f t="shared" si="292"/>
        <v>2500-12-31 00:00:00.0</v>
      </c>
      <c r="V1055" t="s">
        <v>837</v>
      </c>
      <c r="W1055" t="str">
        <f>"048314-004796-12-SE"</f>
        <v>048314-004796-12-SE</v>
      </c>
      <c r="X1055" t="s">
        <v>838</v>
      </c>
      <c r="Y1055">
        <v>1254.5</v>
      </c>
      <c r="Z1055">
        <v>1254.5</v>
      </c>
      <c r="AA1055" t="str">
        <f t="shared" si="291"/>
        <v>06/08/2016</v>
      </c>
    </row>
    <row r="1056" spans="1:27" x14ac:dyDescent="0.3">
      <c r="A1056" t="str">
        <f t="shared" si="284"/>
        <v>048314</v>
      </c>
      <c r="B1056" t="str">
        <f t="shared" si="278"/>
        <v>004796</v>
      </c>
      <c r="C1056" t="s">
        <v>1478</v>
      </c>
      <c r="D1056" t="s">
        <v>3839</v>
      </c>
      <c r="E1056" t="s">
        <v>3840</v>
      </c>
      <c r="F1056" t="s">
        <v>3841</v>
      </c>
      <c r="G1056" t="s">
        <v>3842</v>
      </c>
      <c r="H1056" t="str">
        <f>"051243"</f>
        <v>051243</v>
      </c>
      <c r="I1056" t="s">
        <v>833</v>
      </c>
      <c r="J1056" t="str">
        <f>"2015-08-03 00:00:00.0"</f>
        <v>2015-08-03 00:00:00.0</v>
      </c>
      <c r="K1056" t="s">
        <v>834</v>
      </c>
      <c r="L1056" t="s">
        <v>0</v>
      </c>
      <c r="M1056" t="str">
        <f t="shared" si="293"/>
        <v>048314</v>
      </c>
      <c r="N1056">
        <v>0.19318199999999999</v>
      </c>
      <c r="O1056">
        <v>0.19318199999999999</v>
      </c>
      <c r="P1056" t="str">
        <f>"23"</f>
        <v>23</v>
      </c>
      <c r="Q1056" t="str">
        <f>"10"</f>
        <v>10</v>
      </c>
      <c r="R1056" t="str">
        <f>"2"</f>
        <v>2</v>
      </c>
      <c r="S1056" t="s">
        <v>836</v>
      </c>
      <c r="T1056" t="s">
        <v>836</v>
      </c>
      <c r="U1056" t="str">
        <f>"2015-10-14 00:00:00.0"</f>
        <v>2015-10-14 00:00:00.0</v>
      </c>
      <c r="V1056" t="s">
        <v>886</v>
      </c>
      <c r="W1056" t="str">
        <f>"051243-051250-23-**"</f>
        <v>051243-051250-23-**</v>
      </c>
      <c r="X1056" t="s">
        <v>838</v>
      </c>
      <c r="Y1056">
        <v>221</v>
      </c>
      <c r="Z1056">
        <v>1144</v>
      </c>
      <c r="AA1056" t="str">
        <f>"05/21/2016"</f>
        <v>05/21/2016</v>
      </c>
    </row>
    <row r="1057" spans="1:27" x14ac:dyDescent="0.3">
      <c r="A1057" t="str">
        <f t="shared" si="284"/>
        <v>048314</v>
      </c>
      <c r="B1057" t="str">
        <f t="shared" si="278"/>
        <v>004796</v>
      </c>
      <c r="C1057" t="s">
        <v>1478</v>
      </c>
      <c r="D1057" t="s">
        <v>3839</v>
      </c>
      <c r="E1057" t="s">
        <v>3840</v>
      </c>
      <c r="F1057" t="s">
        <v>3841</v>
      </c>
      <c r="G1057" t="s">
        <v>3842</v>
      </c>
      <c r="H1057" t="str">
        <f>"051243"</f>
        <v>051243</v>
      </c>
      <c r="I1057" t="s">
        <v>833</v>
      </c>
      <c r="J1057" t="str">
        <f>"2015-10-15 00:00:00.0"</f>
        <v>2015-10-15 00:00:00.0</v>
      </c>
      <c r="K1057" t="s">
        <v>834</v>
      </c>
      <c r="L1057" t="s">
        <v>0</v>
      </c>
      <c r="M1057" t="str">
        <f t="shared" si="293"/>
        <v>048314</v>
      </c>
      <c r="N1057">
        <v>0.56477299999999997</v>
      </c>
      <c r="O1057">
        <v>0.56477299999999997</v>
      </c>
      <c r="P1057" t="str">
        <f>"23"</f>
        <v>23</v>
      </c>
      <c r="Q1057" t="str">
        <f>"10"</f>
        <v>10</v>
      </c>
      <c r="R1057" t="str">
        <f>"2"</f>
        <v>2</v>
      </c>
      <c r="S1057" t="s">
        <v>836</v>
      </c>
      <c r="T1057" t="s">
        <v>836</v>
      </c>
      <c r="U1057" t="str">
        <f t="shared" ref="U1057:U1078" si="294">"2500-12-31 00:00:00.0"</f>
        <v>2500-12-31 00:00:00.0</v>
      </c>
      <c r="V1057" t="s">
        <v>886</v>
      </c>
      <c r="W1057" t="str">
        <f>"051243-051250-23-PM"</f>
        <v>051243-051250-23-PM</v>
      </c>
      <c r="X1057" t="s">
        <v>838</v>
      </c>
      <c r="Y1057">
        <v>646.1</v>
      </c>
      <c r="Z1057">
        <v>1144</v>
      </c>
      <c r="AA1057" t="str">
        <f>"05/21/2016"</f>
        <v>05/21/2016</v>
      </c>
    </row>
    <row r="1058" spans="1:27" x14ac:dyDescent="0.3">
      <c r="A1058" t="str">
        <f t="shared" si="284"/>
        <v>048314</v>
      </c>
      <c r="B1058" t="str">
        <f t="shared" si="278"/>
        <v>004796</v>
      </c>
      <c r="C1058" t="s">
        <v>1754</v>
      </c>
      <c r="D1058" t="s">
        <v>3839</v>
      </c>
      <c r="E1058" t="s">
        <v>3840</v>
      </c>
      <c r="F1058" t="s">
        <v>3841</v>
      </c>
      <c r="G1058" t="s">
        <v>3842</v>
      </c>
      <c r="H1058" t="str">
        <f>"048314"</f>
        <v>048314</v>
      </c>
      <c r="I1058" t="s">
        <v>833</v>
      </c>
      <c r="J1058" t="str">
        <f>"2015-07-01 00:00:00.0"</f>
        <v>2015-07-01 00:00:00.0</v>
      </c>
      <c r="K1058" t="s">
        <v>834</v>
      </c>
      <c r="L1058" t="s">
        <v>0</v>
      </c>
      <c r="M1058" t="str">
        <f t="shared" si="293"/>
        <v>048314</v>
      </c>
      <c r="N1058">
        <v>1</v>
      </c>
      <c r="O1058">
        <v>1</v>
      </c>
      <c r="P1058" t="str">
        <f>"11"</f>
        <v>11</v>
      </c>
      <c r="Q1058" t="s">
        <v>835</v>
      </c>
      <c r="S1058" t="s">
        <v>836</v>
      </c>
      <c r="T1058" t="s">
        <v>836</v>
      </c>
      <c r="U1058" t="str">
        <f t="shared" si="294"/>
        <v>2500-12-31 00:00:00.0</v>
      </c>
      <c r="V1058" t="s">
        <v>837</v>
      </c>
      <c r="W1058" t="str">
        <f>"048314-004796-**-**"</f>
        <v>048314-004796-**-**</v>
      </c>
      <c r="X1058" t="s">
        <v>838</v>
      </c>
      <c r="Y1058">
        <v>1254.5</v>
      </c>
      <c r="Z1058">
        <v>1254.5</v>
      </c>
      <c r="AA1058" t="str">
        <f>"06/08/2016"</f>
        <v>06/08/2016</v>
      </c>
    </row>
    <row r="1059" spans="1:27" x14ac:dyDescent="0.3">
      <c r="A1059" t="str">
        <f t="shared" si="284"/>
        <v>048314</v>
      </c>
      <c r="B1059" t="str">
        <f t="shared" si="278"/>
        <v>004796</v>
      </c>
      <c r="C1059" t="s">
        <v>1599</v>
      </c>
      <c r="D1059" t="s">
        <v>3839</v>
      </c>
      <c r="E1059" t="s">
        <v>3840</v>
      </c>
      <c r="F1059" t="s">
        <v>3841</v>
      </c>
      <c r="G1059" t="s">
        <v>3842</v>
      </c>
      <c r="H1059" t="str">
        <f>"048314"</f>
        <v>048314</v>
      </c>
      <c r="I1059" t="s">
        <v>833</v>
      </c>
      <c r="J1059" t="str">
        <f>"2015-07-01 00:00:00.0"</f>
        <v>2015-07-01 00:00:00.0</v>
      </c>
      <c r="K1059" t="s">
        <v>834</v>
      </c>
      <c r="L1059" t="s">
        <v>0</v>
      </c>
      <c r="M1059" t="str">
        <f t="shared" si="293"/>
        <v>048314</v>
      </c>
      <c r="N1059">
        <v>1</v>
      </c>
      <c r="O1059">
        <v>1</v>
      </c>
      <c r="P1059" t="str">
        <f>"10"</f>
        <v>10</v>
      </c>
      <c r="Q1059" t="s">
        <v>835</v>
      </c>
      <c r="S1059" t="s">
        <v>836</v>
      </c>
      <c r="T1059" t="s">
        <v>836</v>
      </c>
      <c r="U1059" t="str">
        <f t="shared" si="294"/>
        <v>2500-12-31 00:00:00.0</v>
      </c>
      <c r="V1059" t="s">
        <v>837</v>
      </c>
      <c r="W1059" t="str">
        <f>"048314-004796-**-**"</f>
        <v>048314-004796-**-**</v>
      </c>
      <c r="X1059" t="s">
        <v>838</v>
      </c>
      <c r="Y1059">
        <v>1254.5</v>
      </c>
      <c r="Z1059">
        <v>1254.5</v>
      </c>
      <c r="AA1059" t="str">
        <f>"06/08/2016"</f>
        <v>06/08/2016</v>
      </c>
    </row>
    <row r="1060" spans="1:27" x14ac:dyDescent="0.3">
      <c r="A1060" t="str">
        <f t="shared" si="284"/>
        <v>048314</v>
      </c>
      <c r="B1060" t="str">
        <f t="shared" si="278"/>
        <v>004796</v>
      </c>
      <c r="C1060" t="s">
        <v>1424</v>
      </c>
      <c r="D1060" t="s">
        <v>3839</v>
      </c>
      <c r="E1060" t="s">
        <v>3840</v>
      </c>
      <c r="F1060" t="s">
        <v>3841</v>
      </c>
      <c r="G1060" t="s">
        <v>3842</v>
      </c>
      <c r="H1060" t="str">
        <f>"048314"</f>
        <v>048314</v>
      </c>
      <c r="I1060" t="s">
        <v>833</v>
      </c>
      <c r="J1060" t="str">
        <f>"2015-07-01 00:00:00.0"</f>
        <v>2015-07-01 00:00:00.0</v>
      </c>
      <c r="K1060" t="s">
        <v>834</v>
      </c>
      <c r="L1060" t="s">
        <v>0</v>
      </c>
      <c r="M1060" t="str">
        <f t="shared" si="293"/>
        <v>048314</v>
      </c>
      <c r="N1060">
        <v>1</v>
      </c>
      <c r="O1060">
        <v>1</v>
      </c>
      <c r="P1060" t="str">
        <f>"12"</f>
        <v>12</v>
      </c>
      <c r="Q1060" t="s">
        <v>835</v>
      </c>
      <c r="S1060" t="s">
        <v>836</v>
      </c>
      <c r="T1060" t="s">
        <v>836</v>
      </c>
      <c r="U1060" t="str">
        <f t="shared" si="294"/>
        <v>2500-12-31 00:00:00.0</v>
      </c>
      <c r="V1060" t="s">
        <v>837</v>
      </c>
      <c r="W1060" t="str">
        <f>"048314-004796-12-SE"</f>
        <v>048314-004796-12-SE</v>
      </c>
      <c r="X1060" t="s">
        <v>838</v>
      </c>
      <c r="Y1060">
        <v>1254.5</v>
      </c>
      <c r="Z1060">
        <v>1254.5</v>
      </c>
      <c r="AA1060" t="str">
        <f>"06/08/2016"</f>
        <v>06/08/2016</v>
      </c>
    </row>
    <row r="1061" spans="1:27" x14ac:dyDescent="0.3">
      <c r="A1061" t="str">
        <f t="shared" si="284"/>
        <v>048314</v>
      </c>
      <c r="B1061" t="str">
        <f t="shared" si="278"/>
        <v>004796</v>
      </c>
      <c r="C1061" t="s">
        <v>1755</v>
      </c>
      <c r="D1061" t="s">
        <v>3839</v>
      </c>
      <c r="E1061" t="s">
        <v>3840</v>
      </c>
      <c r="F1061" t="s">
        <v>3841</v>
      </c>
      <c r="G1061" t="s">
        <v>3842</v>
      </c>
      <c r="H1061" t="str">
        <f>"048314"</f>
        <v>048314</v>
      </c>
      <c r="I1061" t="s">
        <v>833</v>
      </c>
      <c r="J1061" t="str">
        <f>"2015-07-01 00:00:00.0"</f>
        <v>2015-07-01 00:00:00.0</v>
      </c>
      <c r="K1061" t="s">
        <v>834</v>
      </c>
      <c r="L1061" t="s">
        <v>0</v>
      </c>
      <c r="M1061" t="str">
        <f t="shared" si="293"/>
        <v>048314</v>
      </c>
      <c r="N1061">
        <v>1</v>
      </c>
      <c r="O1061">
        <v>1</v>
      </c>
      <c r="P1061" t="str">
        <f>"11"</f>
        <v>11</v>
      </c>
      <c r="Q1061" t="s">
        <v>835</v>
      </c>
      <c r="S1061" t="s">
        <v>836</v>
      </c>
      <c r="T1061" t="s">
        <v>836</v>
      </c>
      <c r="U1061" t="str">
        <f t="shared" si="294"/>
        <v>2500-12-31 00:00:00.0</v>
      </c>
      <c r="V1061" t="s">
        <v>837</v>
      </c>
      <c r="W1061" t="str">
        <f>"048314-004796-**-**"</f>
        <v>048314-004796-**-**</v>
      </c>
      <c r="X1061" t="s">
        <v>838</v>
      </c>
      <c r="Y1061">
        <v>1254.5</v>
      </c>
      <c r="Z1061">
        <v>1254.5</v>
      </c>
      <c r="AA1061" t="str">
        <f>"06/08/2016"</f>
        <v>06/08/2016</v>
      </c>
    </row>
    <row r="1062" spans="1:27" x14ac:dyDescent="0.3">
      <c r="A1062" t="str">
        <f t="shared" si="284"/>
        <v>048314</v>
      </c>
      <c r="B1062" t="str">
        <f t="shared" si="278"/>
        <v>004796</v>
      </c>
      <c r="C1062" t="s">
        <v>2003</v>
      </c>
      <c r="D1062" t="s">
        <v>3839</v>
      </c>
      <c r="E1062" t="s">
        <v>3840</v>
      </c>
      <c r="F1062" t="s">
        <v>3841</v>
      </c>
      <c r="G1062" t="s">
        <v>3842</v>
      </c>
      <c r="H1062" t="str">
        <f>"051243"</f>
        <v>051243</v>
      </c>
      <c r="I1062" t="s">
        <v>833</v>
      </c>
      <c r="J1062" t="str">
        <f>"2015-08-03 00:00:00.0"</f>
        <v>2015-08-03 00:00:00.0</v>
      </c>
      <c r="K1062" t="s">
        <v>834</v>
      </c>
      <c r="L1062" t="s">
        <v>0</v>
      </c>
      <c r="M1062" t="str">
        <f t="shared" si="293"/>
        <v>048314</v>
      </c>
      <c r="N1062">
        <v>1</v>
      </c>
      <c r="O1062">
        <v>1</v>
      </c>
      <c r="P1062" t="str">
        <f>"12"</f>
        <v>12</v>
      </c>
      <c r="Q1062" t="str">
        <f>"10"</f>
        <v>10</v>
      </c>
      <c r="R1062" t="str">
        <f>"2"</f>
        <v>2</v>
      </c>
      <c r="S1062" t="s">
        <v>836</v>
      </c>
      <c r="T1062" t="s">
        <v>836</v>
      </c>
      <c r="U1062" t="str">
        <f t="shared" si="294"/>
        <v>2500-12-31 00:00:00.0</v>
      </c>
      <c r="V1062" t="s">
        <v>886</v>
      </c>
      <c r="W1062" t="str">
        <f>"051243-051250-12-SE"</f>
        <v>051243-051250-12-SE</v>
      </c>
      <c r="X1062" t="s">
        <v>838</v>
      </c>
      <c r="Y1062">
        <v>1105</v>
      </c>
      <c r="Z1062">
        <v>1105</v>
      </c>
      <c r="AA1062" t="str">
        <f>"05/21/2016"</f>
        <v>05/21/2016</v>
      </c>
    </row>
    <row r="1063" spans="1:27" x14ac:dyDescent="0.3">
      <c r="A1063" t="str">
        <f t="shared" si="284"/>
        <v>048314</v>
      </c>
      <c r="B1063" t="str">
        <f t="shared" si="278"/>
        <v>004796</v>
      </c>
      <c r="C1063" t="s">
        <v>1451</v>
      </c>
      <c r="D1063" t="s">
        <v>3839</v>
      </c>
      <c r="E1063" t="s">
        <v>3840</v>
      </c>
      <c r="F1063" t="s">
        <v>3841</v>
      </c>
      <c r="G1063" t="s">
        <v>3842</v>
      </c>
      <c r="H1063" t="str">
        <f t="shared" ref="H1063:H1072" si="295">"048314"</f>
        <v>048314</v>
      </c>
      <c r="I1063" t="s">
        <v>833</v>
      </c>
      <c r="J1063" t="str">
        <f>"2015-07-01 00:00:00.0"</f>
        <v>2015-07-01 00:00:00.0</v>
      </c>
      <c r="K1063" t="s">
        <v>834</v>
      </c>
      <c r="L1063" t="s">
        <v>0</v>
      </c>
      <c r="M1063" t="str">
        <f t="shared" si="293"/>
        <v>048314</v>
      </c>
      <c r="N1063">
        <v>1</v>
      </c>
      <c r="O1063">
        <v>1</v>
      </c>
      <c r="P1063" t="str">
        <f>"11"</f>
        <v>11</v>
      </c>
      <c r="Q1063" t="s">
        <v>835</v>
      </c>
      <c r="S1063" t="s">
        <v>860</v>
      </c>
      <c r="T1063" t="s">
        <v>836</v>
      </c>
      <c r="U1063" t="str">
        <f t="shared" si="294"/>
        <v>2500-12-31 00:00:00.0</v>
      </c>
      <c r="V1063" t="s">
        <v>837</v>
      </c>
      <c r="W1063" t="str">
        <f>"048314-004796-**-**"</f>
        <v>048314-004796-**-**</v>
      </c>
      <c r="X1063" t="s">
        <v>838</v>
      </c>
      <c r="Y1063">
        <v>1254.5</v>
      </c>
      <c r="Z1063">
        <v>1254.5</v>
      </c>
      <c r="AA1063" t="str">
        <f t="shared" ref="AA1063:AA1072" si="296">"06/08/2016"</f>
        <v>06/08/2016</v>
      </c>
    </row>
    <row r="1064" spans="1:27" x14ac:dyDescent="0.3">
      <c r="A1064" t="str">
        <f t="shared" si="284"/>
        <v>048314</v>
      </c>
      <c r="B1064" t="str">
        <f t="shared" si="278"/>
        <v>004796</v>
      </c>
      <c r="C1064" t="s">
        <v>1237</v>
      </c>
      <c r="D1064" t="s">
        <v>3839</v>
      </c>
      <c r="E1064" t="s">
        <v>3840</v>
      </c>
      <c r="F1064" t="s">
        <v>3841</v>
      </c>
      <c r="G1064" t="s">
        <v>3842</v>
      </c>
      <c r="H1064" t="str">
        <f t="shared" si="295"/>
        <v>048314</v>
      </c>
      <c r="I1064" t="s">
        <v>833</v>
      </c>
      <c r="J1064" t="str">
        <f>"2015-07-01 00:00:00.0"</f>
        <v>2015-07-01 00:00:00.0</v>
      </c>
      <c r="K1064" t="s">
        <v>834</v>
      </c>
      <c r="L1064" t="s">
        <v>0</v>
      </c>
      <c r="M1064" t="str">
        <f t="shared" si="293"/>
        <v>048314</v>
      </c>
      <c r="N1064">
        <v>1</v>
      </c>
      <c r="O1064">
        <v>1</v>
      </c>
      <c r="P1064" t="str">
        <f>"12"</f>
        <v>12</v>
      </c>
      <c r="Q1064" t="s">
        <v>835</v>
      </c>
      <c r="S1064" t="s">
        <v>860</v>
      </c>
      <c r="T1064" t="s">
        <v>836</v>
      </c>
      <c r="U1064" t="str">
        <f t="shared" si="294"/>
        <v>2500-12-31 00:00:00.0</v>
      </c>
      <c r="V1064" t="s">
        <v>837</v>
      </c>
      <c r="W1064" t="str">
        <f>"048314-004796-12-SE"</f>
        <v>048314-004796-12-SE</v>
      </c>
      <c r="X1064" t="s">
        <v>838</v>
      </c>
      <c r="Y1064">
        <v>1254.5</v>
      </c>
      <c r="Z1064">
        <v>1254.5</v>
      </c>
      <c r="AA1064" t="str">
        <f t="shared" si="296"/>
        <v>06/08/2016</v>
      </c>
    </row>
    <row r="1065" spans="1:27" x14ac:dyDescent="0.3">
      <c r="A1065" t="str">
        <f t="shared" si="284"/>
        <v>048314</v>
      </c>
      <c r="B1065" t="str">
        <f t="shared" si="278"/>
        <v>004796</v>
      </c>
      <c r="C1065" t="s">
        <v>1065</v>
      </c>
      <c r="D1065" t="s">
        <v>3839</v>
      </c>
      <c r="E1065" t="s">
        <v>3840</v>
      </c>
      <c r="F1065" t="s">
        <v>3841</v>
      </c>
      <c r="G1065" t="s">
        <v>3842</v>
      </c>
      <c r="H1065" t="str">
        <f t="shared" si="295"/>
        <v>048314</v>
      </c>
      <c r="I1065" t="s">
        <v>833</v>
      </c>
      <c r="J1065" t="str">
        <f>"2015-07-01 00:00:00.0"</f>
        <v>2015-07-01 00:00:00.0</v>
      </c>
      <c r="K1065" t="s">
        <v>834</v>
      </c>
      <c r="L1065" t="s">
        <v>0</v>
      </c>
      <c r="M1065" t="str">
        <f t="shared" si="293"/>
        <v>048314</v>
      </c>
      <c r="N1065">
        <v>1</v>
      </c>
      <c r="O1065">
        <v>1</v>
      </c>
      <c r="P1065" t="str">
        <f>"12"</f>
        <v>12</v>
      </c>
      <c r="Q1065" t="str">
        <f>"12"</f>
        <v>12</v>
      </c>
      <c r="R1065" t="str">
        <f>"6"</f>
        <v>6</v>
      </c>
      <c r="S1065" t="s">
        <v>836</v>
      </c>
      <c r="T1065" t="s">
        <v>836</v>
      </c>
      <c r="U1065" t="str">
        <f t="shared" si="294"/>
        <v>2500-12-31 00:00:00.0</v>
      </c>
      <c r="V1065" t="s">
        <v>837</v>
      </c>
      <c r="W1065" t="str">
        <f>"048314-004796-12-SE"</f>
        <v>048314-004796-12-SE</v>
      </c>
      <c r="X1065" t="s">
        <v>838</v>
      </c>
      <c r="Y1065">
        <v>1254.5</v>
      </c>
      <c r="Z1065">
        <v>1254.5</v>
      </c>
      <c r="AA1065" t="str">
        <f t="shared" si="296"/>
        <v>06/08/2016</v>
      </c>
    </row>
    <row r="1066" spans="1:27" x14ac:dyDescent="0.3">
      <c r="A1066" t="str">
        <f t="shared" si="284"/>
        <v>048314</v>
      </c>
      <c r="B1066" t="str">
        <f t="shared" si="278"/>
        <v>004796</v>
      </c>
      <c r="C1066" t="s">
        <v>1193</v>
      </c>
      <c r="D1066" t="s">
        <v>3839</v>
      </c>
      <c r="E1066" t="s">
        <v>3840</v>
      </c>
      <c r="F1066" t="s">
        <v>3841</v>
      </c>
      <c r="G1066" t="s">
        <v>3842</v>
      </c>
      <c r="H1066" t="str">
        <f t="shared" si="295"/>
        <v>048314</v>
      </c>
      <c r="I1066" t="s">
        <v>833</v>
      </c>
      <c r="J1066" t="str">
        <f>"2015-07-01 00:00:00.0"</f>
        <v>2015-07-01 00:00:00.0</v>
      </c>
      <c r="K1066" t="s">
        <v>834</v>
      </c>
      <c r="L1066" t="s">
        <v>0</v>
      </c>
      <c r="M1066" t="str">
        <f t="shared" si="293"/>
        <v>048314</v>
      </c>
      <c r="N1066">
        <v>1</v>
      </c>
      <c r="O1066">
        <v>1</v>
      </c>
      <c r="P1066" t="str">
        <f>"12"</f>
        <v>12</v>
      </c>
      <c r="Q1066" t="s">
        <v>835</v>
      </c>
      <c r="S1066" t="s">
        <v>836</v>
      </c>
      <c r="T1066" t="s">
        <v>836</v>
      </c>
      <c r="U1066" t="str">
        <f t="shared" si="294"/>
        <v>2500-12-31 00:00:00.0</v>
      </c>
      <c r="V1066" t="s">
        <v>837</v>
      </c>
      <c r="W1066" t="str">
        <f>"048314-004796-12-SE"</f>
        <v>048314-004796-12-SE</v>
      </c>
      <c r="X1066" t="s">
        <v>838</v>
      </c>
      <c r="Y1066">
        <v>1254.5</v>
      </c>
      <c r="Z1066">
        <v>1254.5</v>
      </c>
      <c r="AA1066" t="str">
        <f t="shared" si="296"/>
        <v>06/08/2016</v>
      </c>
    </row>
    <row r="1067" spans="1:27" x14ac:dyDescent="0.3">
      <c r="A1067" t="str">
        <f t="shared" si="284"/>
        <v>048314</v>
      </c>
      <c r="B1067" t="str">
        <f t="shared" si="278"/>
        <v>004796</v>
      </c>
      <c r="C1067" t="s">
        <v>1010</v>
      </c>
      <c r="D1067" t="s">
        <v>3839</v>
      </c>
      <c r="E1067" t="s">
        <v>3840</v>
      </c>
      <c r="F1067" t="s">
        <v>3841</v>
      </c>
      <c r="G1067" t="s">
        <v>3842</v>
      </c>
      <c r="H1067" t="str">
        <f t="shared" si="295"/>
        <v>048314</v>
      </c>
      <c r="I1067" t="s">
        <v>833</v>
      </c>
      <c r="J1067" t="str">
        <f>"2015-07-01 00:00:00.0"</f>
        <v>2015-07-01 00:00:00.0</v>
      </c>
      <c r="K1067" t="s">
        <v>834</v>
      </c>
      <c r="L1067" t="s">
        <v>0</v>
      </c>
      <c r="M1067" t="str">
        <f t="shared" si="293"/>
        <v>048314</v>
      </c>
      <c r="N1067">
        <v>1</v>
      </c>
      <c r="O1067">
        <v>1</v>
      </c>
      <c r="P1067" t="str">
        <f>"10"</f>
        <v>10</v>
      </c>
      <c r="Q1067" t="s">
        <v>835</v>
      </c>
      <c r="S1067" t="s">
        <v>836</v>
      </c>
      <c r="T1067" t="s">
        <v>836</v>
      </c>
      <c r="U1067" t="str">
        <f t="shared" si="294"/>
        <v>2500-12-31 00:00:00.0</v>
      </c>
      <c r="V1067" t="s">
        <v>837</v>
      </c>
      <c r="W1067" t="str">
        <f>"048314-004796-**-**"</f>
        <v>048314-004796-**-**</v>
      </c>
      <c r="X1067" t="s">
        <v>838</v>
      </c>
      <c r="Y1067">
        <v>1254.5</v>
      </c>
      <c r="Z1067">
        <v>1254.5</v>
      </c>
      <c r="AA1067" t="str">
        <f t="shared" si="296"/>
        <v>06/08/2016</v>
      </c>
    </row>
    <row r="1068" spans="1:27" x14ac:dyDescent="0.3">
      <c r="A1068" t="str">
        <f t="shared" si="284"/>
        <v>048314</v>
      </c>
      <c r="B1068" t="str">
        <f t="shared" si="278"/>
        <v>004796</v>
      </c>
      <c r="C1068" t="s">
        <v>1315</v>
      </c>
      <c r="D1068" t="s">
        <v>3839</v>
      </c>
      <c r="E1068" t="s">
        <v>3840</v>
      </c>
      <c r="F1068" t="s">
        <v>3841</v>
      </c>
      <c r="G1068" t="s">
        <v>3842</v>
      </c>
      <c r="H1068" t="str">
        <f t="shared" si="295"/>
        <v>048314</v>
      </c>
      <c r="I1068" t="s">
        <v>833</v>
      </c>
      <c r="J1068" t="str">
        <f>"2015-08-31 00:00:00.0"</f>
        <v>2015-08-31 00:00:00.0</v>
      </c>
      <c r="K1068" t="s">
        <v>834</v>
      </c>
      <c r="L1068" t="s">
        <v>0</v>
      </c>
      <c r="M1068" t="str">
        <f t="shared" si="293"/>
        <v>048314</v>
      </c>
      <c r="N1068">
        <v>1</v>
      </c>
      <c r="O1068">
        <v>1</v>
      </c>
      <c r="P1068" t="str">
        <f>"11"</f>
        <v>11</v>
      </c>
      <c r="Q1068" t="s">
        <v>835</v>
      </c>
      <c r="S1068" t="s">
        <v>836</v>
      </c>
      <c r="T1068" t="s">
        <v>836</v>
      </c>
      <c r="U1068" t="str">
        <f t="shared" si="294"/>
        <v>2500-12-31 00:00:00.0</v>
      </c>
      <c r="V1068" t="s">
        <v>837</v>
      </c>
      <c r="W1068" t="str">
        <f>"048314-004796-**-**"</f>
        <v>048314-004796-**-**</v>
      </c>
      <c r="X1068" t="s">
        <v>838</v>
      </c>
      <c r="Y1068">
        <v>1254.5</v>
      </c>
      <c r="Z1068">
        <v>1254.5</v>
      </c>
      <c r="AA1068" t="str">
        <f t="shared" si="296"/>
        <v>06/08/2016</v>
      </c>
    </row>
    <row r="1069" spans="1:27" x14ac:dyDescent="0.3">
      <c r="A1069" t="str">
        <f t="shared" si="284"/>
        <v>048314</v>
      </c>
      <c r="B1069" t="str">
        <f t="shared" ref="B1069:B1132" si="297">"004796"</f>
        <v>004796</v>
      </c>
      <c r="C1069" t="s">
        <v>1082</v>
      </c>
      <c r="D1069" t="s">
        <v>3839</v>
      </c>
      <c r="E1069" t="s">
        <v>3840</v>
      </c>
      <c r="F1069" t="s">
        <v>3841</v>
      </c>
      <c r="G1069" t="s">
        <v>3842</v>
      </c>
      <c r="H1069" t="str">
        <f t="shared" si="295"/>
        <v>048314</v>
      </c>
      <c r="I1069" t="s">
        <v>833</v>
      </c>
      <c r="J1069" t="str">
        <f t="shared" ref="J1069:J1079" si="298">"2015-07-01 00:00:00.0"</f>
        <v>2015-07-01 00:00:00.0</v>
      </c>
      <c r="K1069" t="s">
        <v>834</v>
      </c>
      <c r="L1069" t="s">
        <v>0</v>
      </c>
      <c r="M1069" t="str">
        <f t="shared" si="293"/>
        <v>048314</v>
      </c>
      <c r="N1069">
        <v>1</v>
      </c>
      <c r="O1069">
        <v>1</v>
      </c>
      <c r="P1069" t="str">
        <f>"12"</f>
        <v>12</v>
      </c>
      <c r="Q1069" t="s">
        <v>835</v>
      </c>
      <c r="S1069" t="s">
        <v>836</v>
      </c>
      <c r="T1069" t="s">
        <v>836</v>
      </c>
      <c r="U1069" t="str">
        <f t="shared" si="294"/>
        <v>2500-12-31 00:00:00.0</v>
      </c>
      <c r="V1069" t="s">
        <v>837</v>
      </c>
      <c r="W1069" t="str">
        <f>"048314-004796-12-SE"</f>
        <v>048314-004796-12-SE</v>
      </c>
      <c r="X1069" t="s">
        <v>838</v>
      </c>
      <c r="Y1069">
        <v>1254.5</v>
      </c>
      <c r="Z1069">
        <v>1254.5</v>
      </c>
      <c r="AA1069" t="str">
        <f t="shared" si="296"/>
        <v>06/08/2016</v>
      </c>
    </row>
    <row r="1070" spans="1:27" x14ac:dyDescent="0.3">
      <c r="A1070" t="str">
        <f t="shared" si="284"/>
        <v>048314</v>
      </c>
      <c r="B1070" t="str">
        <f t="shared" si="297"/>
        <v>004796</v>
      </c>
      <c r="C1070" t="s">
        <v>1600</v>
      </c>
      <c r="D1070" t="s">
        <v>3839</v>
      </c>
      <c r="E1070" t="s">
        <v>3840</v>
      </c>
      <c r="F1070" t="s">
        <v>3841</v>
      </c>
      <c r="G1070" t="s">
        <v>3842</v>
      </c>
      <c r="H1070" t="str">
        <f t="shared" si="295"/>
        <v>048314</v>
      </c>
      <c r="I1070" t="s">
        <v>833</v>
      </c>
      <c r="J1070" t="str">
        <f t="shared" si="298"/>
        <v>2015-07-01 00:00:00.0</v>
      </c>
      <c r="K1070" t="s">
        <v>834</v>
      </c>
      <c r="L1070" t="s">
        <v>0</v>
      </c>
      <c r="M1070" t="str">
        <f t="shared" si="293"/>
        <v>048314</v>
      </c>
      <c r="N1070">
        <v>1</v>
      </c>
      <c r="O1070">
        <v>1</v>
      </c>
      <c r="P1070" t="str">
        <f>"10"</f>
        <v>10</v>
      </c>
      <c r="Q1070" t="s">
        <v>835</v>
      </c>
      <c r="S1070" t="s">
        <v>836</v>
      </c>
      <c r="T1070" t="s">
        <v>836</v>
      </c>
      <c r="U1070" t="str">
        <f t="shared" si="294"/>
        <v>2500-12-31 00:00:00.0</v>
      </c>
      <c r="V1070" t="s">
        <v>837</v>
      </c>
      <c r="W1070" t="str">
        <f>"048314-004796-**-**"</f>
        <v>048314-004796-**-**</v>
      </c>
      <c r="X1070" t="s">
        <v>838</v>
      </c>
      <c r="Y1070">
        <v>1254.5</v>
      </c>
      <c r="Z1070">
        <v>1254.5</v>
      </c>
      <c r="AA1070" t="str">
        <f t="shared" si="296"/>
        <v>06/08/2016</v>
      </c>
    </row>
    <row r="1071" spans="1:27" x14ac:dyDescent="0.3">
      <c r="A1071" t="str">
        <f t="shared" si="284"/>
        <v>048314</v>
      </c>
      <c r="B1071" t="str">
        <f t="shared" si="297"/>
        <v>004796</v>
      </c>
      <c r="C1071" t="s">
        <v>1247</v>
      </c>
      <c r="D1071" t="s">
        <v>3839</v>
      </c>
      <c r="E1071" t="s">
        <v>3840</v>
      </c>
      <c r="F1071" t="s">
        <v>3841</v>
      </c>
      <c r="G1071" t="s">
        <v>3842</v>
      </c>
      <c r="H1071" t="str">
        <f t="shared" si="295"/>
        <v>048314</v>
      </c>
      <c r="I1071" t="s">
        <v>833</v>
      </c>
      <c r="J1071" t="str">
        <f t="shared" si="298"/>
        <v>2015-07-01 00:00:00.0</v>
      </c>
      <c r="K1071" t="s">
        <v>834</v>
      </c>
      <c r="L1071" t="s">
        <v>0</v>
      </c>
      <c r="M1071" t="str">
        <f t="shared" si="293"/>
        <v>048314</v>
      </c>
      <c r="N1071">
        <v>1</v>
      </c>
      <c r="O1071">
        <v>1</v>
      </c>
      <c r="P1071" t="str">
        <f>"12"</f>
        <v>12</v>
      </c>
      <c r="Q1071" t="s">
        <v>835</v>
      </c>
      <c r="S1071" t="s">
        <v>836</v>
      </c>
      <c r="T1071" t="s">
        <v>836</v>
      </c>
      <c r="U1071" t="str">
        <f t="shared" si="294"/>
        <v>2500-12-31 00:00:00.0</v>
      </c>
      <c r="V1071" t="s">
        <v>837</v>
      </c>
      <c r="W1071" t="str">
        <f>"048314-004796-12-SE"</f>
        <v>048314-004796-12-SE</v>
      </c>
      <c r="X1071" t="s">
        <v>838</v>
      </c>
      <c r="Y1071">
        <v>1254.5</v>
      </c>
      <c r="Z1071">
        <v>1254.5</v>
      </c>
      <c r="AA1071" t="str">
        <f t="shared" si="296"/>
        <v>06/08/2016</v>
      </c>
    </row>
    <row r="1072" spans="1:27" x14ac:dyDescent="0.3">
      <c r="A1072" t="str">
        <f t="shared" si="284"/>
        <v>048314</v>
      </c>
      <c r="B1072" t="str">
        <f t="shared" si="297"/>
        <v>004796</v>
      </c>
      <c r="C1072" t="s">
        <v>1601</v>
      </c>
      <c r="D1072" t="s">
        <v>3839</v>
      </c>
      <c r="E1072" t="s">
        <v>3840</v>
      </c>
      <c r="F1072" t="s">
        <v>3841</v>
      </c>
      <c r="G1072" t="s">
        <v>3842</v>
      </c>
      <c r="H1072" t="str">
        <f t="shared" si="295"/>
        <v>048314</v>
      </c>
      <c r="I1072" t="s">
        <v>833</v>
      </c>
      <c r="J1072" t="str">
        <f t="shared" si="298"/>
        <v>2015-07-01 00:00:00.0</v>
      </c>
      <c r="K1072" t="s">
        <v>834</v>
      </c>
      <c r="L1072" t="s">
        <v>0</v>
      </c>
      <c r="M1072" t="str">
        <f t="shared" si="293"/>
        <v>048314</v>
      </c>
      <c r="N1072">
        <v>1</v>
      </c>
      <c r="O1072">
        <v>1</v>
      </c>
      <c r="P1072" t="str">
        <f>"10"</f>
        <v>10</v>
      </c>
      <c r="Q1072" t="s">
        <v>835</v>
      </c>
      <c r="S1072" t="s">
        <v>836</v>
      </c>
      <c r="T1072" t="s">
        <v>836</v>
      </c>
      <c r="U1072" t="str">
        <f t="shared" si="294"/>
        <v>2500-12-31 00:00:00.0</v>
      </c>
      <c r="V1072" t="s">
        <v>837</v>
      </c>
      <c r="W1072" t="str">
        <f>"048314-004796-**-**"</f>
        <v>048314-004796-**-**</v>
      </c>
      <c r="X1072" t="s">
        <v>838</v>
      </c>
      <c r="Y1072">
        <v>1254.5</v>
      </c>
      <c r="Z1072">
        <v>1254.5</v>
      </c>
      <c r="AA1072" t="str">
        <f t="shared" si="296"/>
        <v>06/08/2016</v>
      </c>
    </row>
    <row r="1073" spans="1:27" x14ac:dyDescent="0.3">
      <c r="A1073" t="str">
        <f t="shared" si="284"/>
        <v>048314</v>
      </c>
      <c r="B1073" t="str">
        <f t="shared" si="297"/>
        <v>004796</v>
      </c>
      <c r="C1073" t="s">
        <v>1040</v>
      </c>
      <c r="D1073" t="s">
        <v>3839</v>
      </c>
      <c r="E1073" t="s">
        <v>3840</v>
      </c>
      <c r="F1073" t="s">
        <v>3841</v>
      </c>
      <c r="G1073" t="s">
        <v>3842</v>
      </c>
      <c r="H1073" t="str">
        <f>"048363"</f>
        <v>048363</v>
      </c>
      <c r="I1073" t="s">
        <v>833</v>
      </c>
      <c r="J1073" t="str">
        <f t="shared" si="298"/>
        <v>2015-07-01 00:00:00.0</v>
      </c>
      <c r="K1073" t="s">
        <v>834</v>
      </c>
      <c r="L1073" t="s">
        <v>1</v>
      </c>
      <c r="M1073" t="str">
        <f t="shared" si="293"/>
        <v>048314</v>
      </c>
      <c r="N1073">
        <v>1</v>
      </c>
      <c r="O1073">
        <v>1</v>
      </c>
      <c r="P1073" t="str">
        <f>"11"</f>
        <v>11</v>
      </c>
      <c r="Q1073" t="s">
        <v>835</v>
      </c>
      <c r="S1073" t="s">
        <v>836</v>
      </c>
      <c r="T1073" t="s">
        <v>836</v>
      </c>
      <c r="U1073" t="str">
        <f t="shared" si="294"/>
        <v>2500-12-31 00:00:00.0</v>
      </c>
      <c r="V1073" t="s">
        <v>837</v>
      </c>
      <c r="W1073" t="str">
        <f>"048363-026229-**-**"</f>
        <v>048363-026229-**-**</v>
      </c>
      <c r="X1073" t="s">
        <v>838</v>
      </c>
      <c r="Y1073">
        <v>1127</v>
      </c>
      <c r="Z1073">
        <v>1127</v>
      </c>
      <c r="AA1073" t="str">
        <f>"06/15/2016"</f>
        <v>06/15/2016</v>
      </c>
    </row>
    <row r="1074" spans="1:27" x14ac:dyDescent="0.3">
      <c r="A1074" t="str">
        <f t="shared" si="284"/>
        <v>048314</v>
      </c>
      <c r="B1074" t="str">
        <f t="shared" si="297"/>
        <v>004796</v>
      </c>
      <c r="C1074" t="s">
        <v>1602</v>
      </c>
      <c r="D1074" t="s">
        <v>3839</v>
      </c>
      <c r="E1074" t="s">
        <v>3840</v>
      </c>
      <c r="F1074" t="s">
        <v>3841</v>
      </c>
      <c r="G1074" t="s">
        <v>3842</v>
      </c>
      <c r="H1074" t="str">
        <f t="shared" ref="H1074:H1102" si="299">"048314"</f>
        <v>048314</v>
      </c>
      <c r="I1074" t="s">
        <v>833</v>
      </c>
      <c r="J1074" t="str">
        <f t="shared" si="298"/>
        <v>2015-07-01 00:00:00.0</v>
      </c>
      <c r="K1074" t="s">
        <v>834</v>
      </c>
      <c r="L1074" t="s">
        <v>0</v>
      </c>
      <c r="M1074" t="str">
        <f t="shared" si="293"/>
        <v>048314</v>
      </c>
      <c r="N1074">
        <v>1</v>
      </c>
      <c r="O1074">
        <v>1</v>
      </c>
      <c r="P1074" t="str">
        <f>"10"</f>
        <v>10</v>
      </c>
      <c r="Q1074" t="s">
        <v>835</v>
      </c>
      <c r="S1074" t="s">
        <v>836</v>
      </c>
      <c r="T1074" t="s">
        <v>836</v>
      </c>
      <c r="U1074" t="str">
        <f t="shared" si="294"/>
        <v>2500-12-31 00:00:00.0</v>
      </c>
      <c r="V1074" t="s">
        <v>837</v>
      </c>
      <c r="W1074" t="str">
        <f>"048314-004796-**-**"</f>
        <v>048314-004796-**-**</v>
      </c>
      <c r="X1074" t="s">
        <v>838</v>
      </c>
      <c r="Y1074">
        <v>1254.5</v>
      </c>
      <c r="Z1074">
        <v>1254.5</v>
      </c>
      <c r="AA1074" t="str">
        <f t="shared" ref="AA1074:AA1102" si="300">"06/08/2016"</f>
        <v>06/08/2016</v>
      </c>
    </row>
    <row r="1075" spans="1:27" x14ac:dyDescent="0.3">
      <c r="A1075" t="str">
        <f t="shared" si="284"/>
        <v>048314</v>
      </c>
      <c r="B1075" t="str">
        <f t="shared" si="297"/>
        <v>004796</v>
      </c>
      <c r="C1075" t="s">
        <v>901</v>
      </c>
      <c r="D1075" t="s">
        <v>3839</v>
      </c>
      <c r="E1075" t="s">
        <v>3840</v>
      </c>
      <c r="F1075" t="s">
        <v>3841</v>
      </c>
      <c r="G1075" t="s">
        <v>3842</v>
      </c>
      <c r="H1075" t="str">
        <f t="shared" si="299"/>
        <v>048314</v>
      </c>
      <c r="I1075" t="s">
        <v>833</v>
      </c>
      <c r="J1075" t="str">
        <f t="shared" si="298"/>
        <v>2015-07-01 00:00:00.0</v>
      </c>
      <c r="K1075" t="s">
        <v>834</v>
      </c>
      <c r="L1075" t="s">
        <v>0</v>
      </c>
      <c r="M1075" t="str">
        <f t="shared" si="293"/>
        <v>048314</v>
      </c>
      <c r="N1075">
        <v>1</v>
      </c>
      <c r="O1075">
        <v>1</v>
      </c>
      <c r="P1075" t="str">
        <f>"12"</f>
        <v>12</v>
      </c>
      <c r="Q1075" t="s">
        <v>835</v>
      </c>
      <c r="S1075" t="s">
        <v>836</v>
      </c>
      <c r="T1075" t="s">
        <v>836</v>
      </c>
      <c r="U1075" t="str">
        <f t="shared" si="294"/>
        <v>2500-12-31 00:00:00.0</v>
      </c>
      <c r="V1075" t="s">
        <v>837</v>
      </c>
      <c r="W1075" t="str">
        <f>"048314-004796-12-SE"</f>
        <v>048314-004796-12-SE</v>
      </c>
      <c r="X1075" t="s">
        <v>838</v>
      </c>
      <c r="Y1075">
        <v>1254.5</v>
      </c>
      <c r="Z1075">
        <v>1254.5</v>
      </c>
      <c r="AA1075" t="str">
        <f t="shared" si="300"/>
        <v>06/08/2016</v>
      </c>
    </row>
    <row r="1076" spans="1:27" x14ac:dyDescent="0.3">
      <c r="A1076" t="str">
        <f t="shared" si="284"/>
        <v>048314</v>
      </c>
      <c r="B1076" t="str">
        <f t="shared" si="297"/>
        <v>004796</v>
      </c>
      <c r="C1076" t="s">
        <v>2490</v>
      </c>
      <c r="D1076" t="s">
        <v>3839</v>
      </c>
      <c r="E1076" t="s">
        <v>3840</v>
      </c>
      <c r="F1076" t="s">
        <v>3841</v>
      </c>
      <c r="G1076" t="s">
        <v>3842</v>
      </c>
      <c r="H1076" t="str">
        <f t="shared" si="299"/>
        <v>048314</v>
      </c>
      <c r="I1076" t="s">
        <v>833</v>
      </c>
      <c r="J1076" t="str">
        <f t="shared" si="298"/>
        <v>2015-07-01 00:00:00.0</v>
      </c>
      <c r="K1076" t="s">
        <v>834</v>
      </c>
      <c r="L1076" t="s">
        <v>0</v>
      </c>
      <c r="M1076" t="str">
        <f t="shared" si="293"/>
        <v>048314</v>
      </c>
      <c r="N1076">
        <v>1</v>
      </c>
      <c r="O1076">
        <v>1</v>
      </c>
      <c r="P1076" t="str">
        <f>"10"</f>
        <v>10</v>
      </c>
      <c r="Q1076" t="s">
        <v>835</v>
      </c>
      <c r="S1076" t="s">
        <v>836</v>
      </c>
      <c r="T1076" t="s">
        <v>836</v>
      </c>
      <c r="U1076" t="str">
        <f t="shared" si="294"/>
        <v>2500-12-31 00:00:00.0</v>
      </c>
      <c r="V1076" t="s">
        <v>837</v>
      </c>
      <c r="W1076" t="str">
        <f t="shared" ref="W1076:W1083" si="301">"048314-004796-**-**"</f>
        <v>048314-004796-**-**</v>
      </c>
      <c r="X1076" t="s">
        <v>838</v>
      </c>
      <c r="Y1076">
        <v>1254.5</v>
      </c>
      <c r="Z1076">
        <v>1254.5</v>
      </c>
      <c r="AA1076" t="str">
        <f t="shared" si="300"/>
        <v>06/08/2016</v>
      </c>
    </row>
    <row r="1077" spans="1:27" x14ac:dyDescent="0.3">
      <c r="A1077" t="str">
        <f t="shared" si="284"/>
        <v>048314</v>
      </c>
      <c r="B1077" t="str">
        <f t="shared" si="297"/>
        <v>004796</v>
      </c>
      <c r="C1077" t="s">
        <v>1818</v>
      </c>
      <c r="D1077" t="s">
        <v>3839</v>
      </c>
      <c r="E1077" t="s">
        <v>3840</v>
      </c>
      <c r="F1077" t="s">
        <v>3841</v>
      </c>
      <c r="G1077" t="s">
        <v>3842</v>
      </c>
      <c r="H1077" t="str">
        <f t="shared" si="299"/>
        <v>048314</v>
      </c>
      <c r="I1077" t="s">
        <v>833</v>
      </c>
      <c r="J1077" t="str">
        <f t="shared" si="298"/>
        <v>2015-07-01 00:00:00.0</v>
      </c>
      <c r="K1077" t="s">
        <v>834</v>
      </c>
      <c r="L1077" t="s">
        <v>0</v>
      </c>
      <c r="M1077" t="str">
        <f t="shared" si="293"/>
        <v>048314</v>
      </c>
      <c r="N1077">
        <v>1</v>
      </c>
      <c r="O1077">
        <v>1</v>
      </c>
      <c r="P1077" t="str">
        <f>"11"</f>
        <v>11</v>
      </c>
      <c r="Q1077" t="s">
        <v>835</v>
      </c>
      <c r="S1077" t="s">
        <v>836</v>
      </c>
      <c r="T1077" t="s">
        <v>836</v>
      </c>
      <c r="U1077" t="str">
        <f t="shared" si="294"/>
        <v>2500-12-31 00:00:00.0</v>
      </c>
      <c r="V1077" t="s">
        <v>837</v>
      </c>
      <c r="W1077" t="str">
        <f t="shared" si="301"/>
        <v>048314-004796-**-**</v>
      </c>
      <c r="X1077" t="s">
        <v>838</v>
      </c>
      <c r="Y1077">
        <v>1254.5</v>
      </c>
      <c r="Z1077">
        <v>1254.5</v>
      </c>
      <c r="AA1077" t="str">
        <f t="shared" si="300"/>
        <v>06/08/2016</v>
      </c>
    </row>
    <row r="1078" spans="1:27" x14ac:dyDescent="0.3">
      <c r="A1078" t="str">
        <f t="shared" si="284"/>
        <v>048314</v>
      </c>
      <c r="B1078" t="str">
        <f t="shared" si="297"/>
        <v>004796</v>
      </c>
      <c r="C1078" t="s">
        <v>3440</v>
      </c>
      <c r="D1078" t="s">
        <v>3839</v>
      </c>
      <c r="E1078" t="s">
        <v>3840</v>
      </c>
      <c r="F1078" t="s">
        <v>3841</v>
      </c>
      <c r="G1078" t="s">
        <v>3842</v>
      </c>
      <c r="H1078" t="str">
        <f t="shared" si="299"/>
        <v>048314</v>
      </c>
      <c r="I1078" t="s">
        <v>833</v>
      </c>
      <c r="J1078" t="str">
        <f t="shared" si="298"/>
        <v>2015-07-01 00:00:00.0</v>
      </c>
      <c r="K1078" t="s">
        <v>834</v>
      </c>
      <c r="L1078" t="s">
        <v>0</v>
      </c>
      <c r="M1078" t="str">
        <f t="shared" si="293"/>
        <v>048314</v>
      </c>
      <c r="N1078">
        <v>1</v>
      </c>
      <c r="O1078">
        <v>1</v>
      </c>
      <c r="P1078" t="str">
        <f>"11"</f>
        <v>11</v>
      </c>
      <c r="Q1078" t="s">
        <v>835</v>
      </c>
      <c r="S1078" t="s">
        <v>836</v>
      </c>
      <c r="T1078" t="s">
        <v>836</v>
      </c>
      <c r="U1078" t="str">
        <f t="shared" si="294"/>
        <v>2500-12-31 00:00:00.0</v>
      </c>
      <c r="V1078" t="s">
        <v>837</v>
      </c>
      <c r="W1078" t="str">
        <f t="shared" si="301"/>
        <v>048314-004796-**-**</v>
      </c>
      <c r="X1078" t="s">
        <v>838</v>
      </c>
      <c r="Y1078">
        <v>1254.5</v>
      </c>
      <c r="Z1078">
        <v>1254.5</v>
      </c>
      <c r="AA1078" t="str">
        <f t="shared" si="300"/>
        <v>06/08/2016</v>
      </c>
    </row>
    <row r="1079" spans="1:27" x14ac:dyDescent="0.3">
      <c r="A1079" t="str">
        <f t="shared" si="284"/>
        <v>048314</v>
      </c>
      <c r="B1079" t="str">
        <f t="shared" si="297"/>
        <v>004796</v>
      </c>
      <c r="C1079" t="s">
        <v>1663</v>
      </c>
      <c r="D1079" t="s">
        <v>3839</v>
      </c>
      <c r="E1079" t="s">
        <v>3840</v>
      </c>
      <c r="F1079" t="s">
        <v>3841</v>
      </c>
      <c r="G1079" t="s">
        <v>3842</v>
      </c>
      <c r="H1079" t="str">
        <f t="shared" si="299"/>
        <v>048314</v>
      </c>
      <c r="I1079" t="s">
        <v>833</v>
      </c>
      <c r="J1079" t="str">
        <f t="shared" si="298"/>
        <v>2015-07-01 00:00:00.0</v>
      </c>
      <c r="K1079" t="s">
        <v>834</v>
      </c>
      <c r="L1079" t="s">
        <v>0</v>
      </c>
      <c r="M1079" t="str">
        <f t="shared" si="293"/>
        <v>048314</v>
      </c>
      <c r="N1079">
        <v>0.21243500000000001</v>
      </c>
      <c r="O1079">
        <v>0.21243500000000001</v>
      </c>
      <c r="P1079" t="str">
        <f>"10"</f>
        <v>10</v>
      </c>
      <c r="Q1079" t="s">
        <v>835</v>
      </c>
      <c r="S1079" t="s">
        <v>860</v>
      </c>
      <c r="T1079" t="s">
        <v>836</v>
      </c>
      <c r="U1079" t="str">
        <f>"2015-10-27 00:00:00.0"</f>
        <v>2015-10-27 00:00:00.0</v>
      </c>
      <c r="V1079" t="s">
        <v>837</v>
      </c>
      <c r="W1079" t="str">
        <f t="shared" si="301"/>
        <v>048314-004796-**-**</v>
      </c>
      <c r="X1079" t="s">
        <v>838</v>
      </c>
      <c r="Y1079">
        <v>266.5</v>
      </c>
      <c r="Z1079">
        <v>1254.5</v>
      </c>
      <c r="AA1079" t="str">
        <f t="shared" si="300"/>
        <v>06/08/2016</v>
      </c>
    </row>
    <row r="1080" spans="1:27" x14ac:dyDescent="0.3">
      <c r="A1080" t="str">
        <f t="shared" si="284"/>
        <v>048314</v>
      </c>
      <c r="B1080" t="str">
        <f t="shared" si="297"/>
        <v>004796</v>
      </c>
      <c r="C1080" t="s">
        <v>1663</v>
      </c>
      <c r="D1080" t="s">
        <v>3839</v>
      </c>
      <c r="E1080" t="s">
        <v>3840</v>
      </c>
      <c r="F1080" t="s">
        <v>3841</v>
      </c>
      <c r="G1080" t="s">
        <v>3842</v>
      </c>
      <c r="H1080" t="str">
        <f t="shared" si="299"/>
        <v>048314</v>
      </c>
      <c r="I1080" t="s">
        <v>833</v>
      </c>
      <c r="J1080" t="str">
        <f>"2015-10-28 00:00:00.0"</f>
        <v>2015-10-28 00:00:00.0</v>
      </c>
      <c r="K1080" t="s">
        <v>834</v>
      </c>
      <c r="L1080" t="s">
        <v>0</v>
      </c>
      <c r="M1080" t="str">
        <f t="shared" si="293"/>
        <v>048314</v>
      </c>
      <c r="N1080">
        <v>0.78756499999999996</v>
      </c>
      <c r="O1080">
        <v>0.78756499999999996</v>
      </c>
      <c r="P1080" t="str">
        <f>"10"</f>
        <v>10</v>
      </c>
      <c r="Q1080" t="s">
        <v>835</v>
      </c>
      <c r="S1080" t="s">
        <v>860</v>
      </c>
      <c r="T1080" t="s">
        <v>836</v>
      </c>
      <c r="U1080" t="str">
        <f t="shared" ref="U1080:U1107" si="302">"2500-12-31 00:00:00.0"</f>
        <v>2500-12-31 00:00:00.0</v>
      </c>
      <c r="V1080" t="s">
        <v>837</v>
      </c>
      <c r="W1080" t="str">
        <f t="shared" si="301"/>
        <v>048314-004796-**-**</v>
      </c>
      <c r="X1080" t="s">
        <v>838</v>
      </c>
      <c r="Y1080">
        <v>988</v>
      </c>
      <c r="Z1080">
        <v>1254.5</v>
      </c>
      <c r="AA1080" t="str">
        <f t="shared" si="300"/>
        <v>06/08/2016</v>
      </c>
    </row>
    <row r="1081" spans="1:27" x14ac:dyDescent="0.3">
      <c r="A1081" t="str">
        <f t="shared" si="284"/>
        <v>048314</v>
      </c>
      <c r="B1081" t="str">
        <f t="shared" si="297"/>
        <v>004796</v>
      </c>
      <c r="C1081" t="s">
        <v>1664</v>
      </c>
      <c r="D1081" t="s">
        <v>3839</v>
      </c>
      <c r="E1081" t="s">
        <v>3840</v>
      </c>
      <c r="F1081" t="s">
        <v>3841</v>
      </c>
      <c r="G1081" t="s">
        <v>3842</v>
      </c>
      <c r="H1081" t="str">
        <f t="shared" si="299"/>
        <v>048314</v>
      </c>
      <c r="I1081" t="s">
        <v>833</v>
      </c>
      <c r="J1081" t="str">
        <f>"2015-10-08 00:00:00.0"</f>
        <v>2015-10-08 00:00:00.0</v>
      </c>
      <c r="K1081" t="s">
        <v>834</v>
      </c>
      <c r="L1081" t="s">
        <v>0</v>
      </c>
      <c r="M1081" t="str">
        <f t="shared" si="293"/>
        <v>048314</v>
      </c>
      <c r="N1081">
        <v>0.86010399999999998</v>
      </c>
      <c r="O1081">
        <v>0.86010399999999998</v>
      </c>
      <c r="P1081" t="str">
        <f>"10"</f>
        <v>10</v>
      </c>
      <c r="Q1081" t="s">
        <v>835</v>
      </c>
      <c r="S1081" t="s">
        <v>860</v>
      </c>
      <c r="T1081" t="s">
        <v>836</v>
      </c>
      <c r="U1081" t="str">
        <f t="shared" si="302"/>
        <v>2500-12-31 00:00:00.0</v>
      </c>
      <c r="V1081" t="s">
        <v>837</v>
      </c>
      <c r="W1081" t="str">
        <f t="shared" si="301"/>
        <v>048314-004796-**-**</v>
      </c>
      <c r="X1081" t="s">
        <v>838</v>
      </c>
      <c r="Y1081">
        <v>1079</v>
      </c>
      <c r="Z1081">
        <v>1254.5</v>
      </c>
      <c r="AA1081" t="str">
        <f t="shared" si="300"/>
        <v>06/08/2016</v>
      </c>
    </row>
    <row r="1082" spans="1:27" x14ac:dyDescent="0.3">
      <c r="A1082" t="str">
        <f t="shared" si="284"/>
        <v>048314</v>
      </c>
      <c r="B1082" t="str">
        <f t="shared" si="297"/>
        <v>004796</v>
      </c>
      <c r="C1082" t="s">
        <v>1517</v>
      </c>
      <c r="D1082" t="s">
        <v>3839</v>
      </c>
      <c r="E1082" t="s">
        <v>3840</v>
      </c>
      <c r="F1082" t="s">
        <v>3841</v>
      </c>
      <c r="G1082" t="s">
        <v>3842</v>
      </c>
      <c r="H1082" t="str">
        <f t="shared" si="299"/>
        <v>048314</v>
      </c>
      <c r="I1082" t="s">
        <v>833</v>
      </c>
      <c r="J1082" t="str">
        <f t="shared" ref="J1082:J1089" si="303">"2015-07-01 00:00:00.0"</f>
        <v>2015-07-01 00:00:00.0</v>
      </c>
      <c r="K1082" t="s">
        <v>834</v>
      </c>
      <c r="L1082" t="s">
        <v>0</v>
      </c>
      <c r="M1082" t="str">
        <f t="shared" si="293"/>
        <v>048314</v>
      </c>
      <c r="N1082">
        <v>1</v>
      </c>
      <c r="O1082">
        <v>1</v>
      </c>
      <c r="P1082" t="str">
        <f>"11"</f>
        <v>11</v>
      </c>
      <c r="Q1082" t="s">
        <v>835</v>
      </c>
      <c r="S1082" t="s">
        <v>836</v>
      </c>
      <c r="T1082" t="s">
        <v>836</v>
      </c>
      <c r="U1082" t="str">
        <f t="shared" si="302"/>
        <v>2500-12-31 00:00:00.0</v>
      </c>
      <c r="V1082" t="s">
        <v>837</v>
      </c>
      <c r="W1082" t="str">
        <f t="shared" si="301"/>
        <v>048314-004796-**-**</v>
      </c>
      <c r="X1082" t="s">
        <v>838</v>
      </c>
      <c r="Y1082">
        <v>1254.5</v>
      </c>
      <c r="Z1082">
        <v>1254.5</v>
      </c>
      <c r="AA1082" t="str">
        <f t="shared" si="300"/>
        <v>06/08/2016</v>
      </c>
    </row>
    <row r="1083" spans="1:27" x14ac:dyDescent="0.3">
      <c r="A1083" t="str">
        <f t="shared" si="284"/>
        <v>048314</v>
      </c>
      <c r="B1083" t="str">
        <f t="shared" si="297"/>
        <v>004796</v>
      </c>
      <c r="C1083" t="s">
        <v>1603</v>
      </c>
      <c r="D1083" t="s">
        <v>3839</v>
      </c>
      <c r="E1083" t="s">
        <v>3840</v>
      </c>
      <c r="F1083" t="s">
        <v>3841</v>
      </c>
      <c r="G1083" t="s">
        <v>3842</v>
      </c>
      <c r="H1083" t="str">
        <f t="shared" si="299"/>
        <v>048314</v>
      </c>
      <c r="I1083" t="s">
        <v>833</v>
      </c>
      <c r="J1083" t="str">
        <f t="shared" si="303"/>
        <v>2015-07-01 00:00:00.0</v>
      </c>
      <c r="K1083" t="s">
        <v>834</v>
      </c>
      <c r="L1083" t="s">
        <v>0</v>
      </c>
      <c r="M1083" t="str">
        <f t="shared" si="293"/>
        <v>048314</v>
      </c>
      <c r="N1083">
        <v>1</v>
      </c>
      <c r="O1083">
        <v>1</v>
      </c>
      <c r="P1083" t="str">
        <f>"10"</f>
        <v>10</v>
      </c>
      <c r="Q1083" t="s">
        <v>835</v>
      </c>
      <c r="S1083" t="s">
        <v>836</v>
      </c>
      <c r="T1083" t="s">
        <v>836</v>
      </c>
      <c r="U1083" t="str">
        <f t="shared" si="302"/>
        <v>2500-12-31 00:00:00.0</v>
      </c>
      <c r="V1083" t="s">
        <v>837</v>
      </c>
      <c r="W1083" t="str">
        <f t="shared" si="301"/>
        <v>048314-004796-**-**</v>
      </c>
      <c r="X1083" t="s">
        <v>838</v>
      </c>
      <c r="Y1083">
        <v>1254.5</v>
      </c>
      <c r="Z1083">
        <v>1254.5</v>
      </c>
      <c r="AA1083" t="str">
        <f t="shared" si="300"/>
        <v>06/08/2016</v>
      </c>
    </row>
    <row r="1084" spans="1:27" x14ac:dyDescent="0.3">
      <c r="A1084" t="str">
        <f t="shared" si="284"/>
        <v>048314</v>
      </c>
      <c r="B1084" t="str">
        <f t="shared" si="297"/>
        <v>004796</v>
      </c>
      <c r="C1084" t="s">
        <v>1425</v>
      </c>
      <c r="D1084" t="s">
        <v>3839</v>
      </c>
      <c r="E1084" t="s">
        <v>3840</v>
      </c>
      <c r="F1084" t="s">
        <v>3841</v>
      </c>
      <c r="G1084" t="s">
        <v>3842</v>
      </c>
      <c r="H1084" t="str">
        <f t="shared" si="299"/>
        <v>048314</v>
      </c>
      <c r="I1084" t="s">
        <v>833</v>
      </c>
      <c r="J1084" t="str">
        <f t="shared" si="303"/>
        <v>2015-07-01 00:00:00.0</v>
      </c>
      <c r="K1084" t="s">
        <v>834</v>
      </c>
      <c r="L1084" t="s">
        <v>0</v>
      </c>
      <c r="M1084" t="str">
        <f t="shared" si="293"/>
        <v>048314</v>
      </c>
      <c r="N1084">
        <v>1</v>
      </c>
      <c r="O1084">
        <v>1</v>
      </c>
      <c r="P1084" t="str">
        <f>"12"</f>
        <v>12</v>
      </c>
      <c r="Q1084" t="s">
        <v>835</v>
      </c>
      <c r="S1084" t="s">
        <v>836</v>
      </c>
      <c r="T1084" t="s">
        <v>836</v>
      </c>
      <c r="U1084" t="str">
        <f t="shared" si="302"/>
        <v>2500-12-31 00:00:00.0</v>
      </c>
      <c r="V1084" t="s">
        <v>837</v>
      </c>
      <c r="W1084" t="str">
        <f>"048314-004796-12-SE"</f>
        <v>048314-004796-12-SE</v>
      </c>
      <c r="X1084" t="s">
        <v>838</v>
      </c>
      <c r="Y1084">
        <v>1254.5</v>
      </c>
      <c r="Z1084">
        <v>1254.5</v>
      </c>
      <c r="AA1084" t="str">
        <f t="shared" si="300"/>
        <v>06/08/2016</v>
      </c>
    </row>
    <row r="1085" spans="1:27" x14ac:dyDescent="0.3">
      <c r="A1085" t="str">
        <f t="shared" si="284"/>
        <v>048314</v>
      </c>
      <c r="B1085" t="str">
        <f t="shared" si="297"/>
        <v>004796</v>
      </c>
      <c r="C1085" t="s">
        <v>1604</v>
      </c>
      <c r="D1085" t="s">
        <v>3839</v>
      </c>
      <c r="E1085" t="s">
        <v>3840</v>
      </c>
      <c r="F1085" t="s">
        <v>3841</v>
      </c>
      <c r="G1085" t="s">
        <v>3842</v>
      </c>
      <c r="H1085" t="str">
        <f t="shared" si="299"/>
        <v>048314</v>
      </c>
      <c r="I1085" t="s">
        <v>833</v>
      </c>
      <c r="J1085" t="str">
        <f t="shared" si="303"/>
        <v>2015-07-01 00:00:00.0</v>
      </c>
      <c r="K1085" t="s">
        <v>834</v>
      </c>
      <c r="L1085" t="s">
        <v>0</v>
      </c>
      <c r="M1085" t="str">
        <f t="shared" si="293"/>
        <v>048314</v>
      </c>
      <c r="N1085">
        <v>1</v>
      </c>
      <c r="O1085">
        <v>1</v>
      </c>
      <c r="P1085" t="str">
        <f>"10"</f>
        <v>10</v>
      </c>
      <c r="Q1085" t="s">
        <v>835</v>
      </c>
      <c r="S1085" t="s">
        <v>836</v>
      </c>
      <c r="T1085" t="s">
        <v>836</v>
      </c>
      <c r="U1085" t="str">
        <f t="shared" si="302"/>
        <v>2500-12-31 00:00:00.0</v>
      </c>
      <c r="V1085" t="s">
        <v>837</v>
      </c>
      <c r="W1085" t="str">
        <f t="shared" ref="W1085:W1092" si="304">"048314-004796-**-**"</f>
        <v>048314-004796-**-**</v>
      </c>
      <c r="X1085" t="s">
        <v>838</v>
      </c>
      <c r="Y1085">
        <v>1254.5</v>
      </c>
      <c r="Z1085">
        <v>1254.5</v>
      </c>
      <c r="AA1085" t="str">
        <f t="shared" si="300"/>
        <v>06/08/2016</v>
      </c>
    </row>
    <row r="1086" spans="1:27" x14ac:dyDescent="0.3">
      <c r="A1086" t="str">
        <f t="shared" si="284"/>
        <v>048314</v>
      </c>
      <c r="B1086" t="str">
        <f t="shared" si="297"/>
        <v>004796</v>
      </c>
      <c r="C1086" t="s">
        <v>1454</v>
      </c>
      <c r="D1086" t="s">
        <v>3839</v>
      </c>
      <c r="E1086" t="s">
        <v>3840</v>
      </c>
      <c r="F1086" t="s">
        <v>3841</v>
      </c>
      <c r="G1086" t="s">
        <v>3842</v>
      </c>
      <c r="H1086" t="str">
        <f t="shared" si="299"/>
        <v>048314</v>
      </c>
      <c r="I1086" t="s">
        <v>833</v>
      </c>
      <c r="J1086" t="str">
        <f t="shared" si="303"/>
        <v>2015-07-01 00:00:00.0</v>
      </c>
      <c r="K1086" t="s">
        <v>834</v>
      </c>
      <c r="L1086" t="s">
        <v>0</v>
      </c>
      <c r="M1086" t="str">
        <f t="shared" si="293"/>
        <v>048314</v>
      </c>
      <c r="N1086">
        <v>1</v>
      </c>
      <c r="O1086">
        <v>1</v>
      </c>
      <c r="P1086" t="str">
        <f>"11"</f>
        <v>11</v>
      </c>
      <c r="Q1086" t="s">
        <v>835</v>
      </c>
      <c r="S1086" t="s">
        <v>836</v>
      </c>
      <c r="T1086" t="s">
        <v>836</v>
      </c>
      <c r="U1086" t="str">
        <f t="shared" si="302"/>
        <v>2500-12-31 00:00:00.0</v>
      </c>
      <c r="V1086" t="s">
        <v>837</v>
      </c>
      <c r="W1086" t="str">
        <f t="shared" si="304"/>
        <v>048314-004796-**-**</v>
      </c>
      <c r="X1086" t="s">
        <v>838</v>
      </c>
      <c r="Y1086">
        <v>1254.5</v>
      </c>
      <c r="Z1086">
        <v>1254.5</v>
      </c>
      <c r="AA1086" t="str">
        <f t="shared" si="300"/>
        <v>06/08/2016</v>
      </c>
    </row>
    <row r="1087" spans="1:27" x14ac:dyDescent="0.3">
      <c r="A1087" t="str">
        <f t="shared" si="284"/>
        <v>048314</v>
      </c>
      <c r="B1087" t="str">
        <f t="shared" si="297"/>
        <v>004796</v>
      </c>
      <c r="C1087" t="s">
        <v>1713</v>
      </c>
      <c r="D1087" t="s">
        <v>3839</v>
      </c>
      <c r="E1087" t="s">
        <v>3840</v>
      </c>
      <c r="F1087" t="s">
        <v>3841</v>
      </c>
      <c r="G1087" t="s">
        <v>3842</v>
      </c>
      <c r="H1087" t="str">
        <f t="shared" si="299"/>
        <v>048314</v>
      </c>
      <c r="I1087" t="s">
        <v>833</v>
      </c>
      <c r="J1087" t="str">
        <f t="shared" si="303"/>
        <v>2015-07-01 00:00:00.0</v>
      </c>
      <c r="K1087" t="s">
        <v>834</v>
      </c>
      <c r="L1087" t="s">
        <v>0</v>
      </c>
      <c r="M1087" t="str">
        <f t="shared" si="293"/>
        <v>048314</v>
      </c>
      <c r="N1087">
        <v>1</v>
      </c>
      <c r="O1087">
        <v>1</v>
      </c>
      <c r="P1087" t="str">
        <f>"10"</f>
        <v>10</v>
      </c>
      <c r="Q1087" t="s">
        <v>835</v>
      </c>
      <c r="S1087" t="s">
        <v>836</v>
      </c>
      <c r="T1087" t="s">
        <v>836</v>
      </c>
      <c r="U1087" t="str">
        <f t="shared" si="302"/>
        <v>2500-12-31 00:00:00.0</v>
      </c>
      <c r="V1087" t="s">
        <v>837</v>
      </c>
      <c r="W1087" t="str">
        <f t="shared" si="304"/>
        <v>048314-004796-**-**</v>
      </c>
      <c r="X1087" t="s">
        <v>838</v>
      </c>
      <c r="Y1087">
        <v>1254.5</v>
      </c>
      <c r="Z1087">
        <v>1254.5</v>
      </c>
      <c r="AA1087" t="str">
        <f t="shared" si="300"/>
        <v>06/08/2016</v>
      </c>
    </row>
    <row r="1088" spans="1:27" x14ac:dyDescent="0.3">
      <c r="A1088" t="str">
        <f t="shared" si="284"/>
        <v>048314</v>
      </c>
      <c r="B1088" t="str">
        <f t="shared" si="297"/>
        <v>004796</v>
      </c>
      <c r="C1088" t="s">
        <v>1194</v>
      </c>
      <c r="D1088" t="s">
        <v>3839</v>
      </c>
      <c r="E1088" t="s">
        <v>3840</v>
      </c>
      <c r="F1088" t="s">
        <v>3841</v>
      </c>
      <c r="G1088" t="s">
        <v>3842</v>
      </c>
      <c r="H1088" t="str">
        <f t="shared" si="299"/>
        <v>048314</v>
      </c>
      <c r="I1088" t="s">
        <v>833</v>
      </c>
      <c r="J1088" t="str">
        <f t="shared" si="303"/>
        <v>2015-07-01 00:00:00.0</v>
      </c>
      <c r="K1088" t="s">
        <v>834</v>
      </c>
      <c r="L1088" t="s">
        <v>0</v>
      </c>
      <c r="M1088" t="str">
        <f t="shared" si="293"/>
        <v>048314</v>
      </c>
      <c r="N1088">
        <v>1</v>
      </c>
      <c r="O1088">
        <v>1</v>
      </c>
      <c r="P1088" t="str">
        <f>"11"</f>
        <v>11</v>
      </c>
      <c r="Q1088" t="str">
        <f>"10"</f>
        <v>10</v>
      </c>
      <c r="R1088" t="str">
        <f>"2"</f>
        <v>2</v>
      </c>
      <c r="S1088" t="s">
        <v>836</v>
      </c>
      <c r="T1088" t="s">
        <v>836</v>
      </c>
      <c r="U1088" t="str">
        <f t="shared" si="302"/>
        <v>2500-12-31 00:00:00.0</v>
      </c>
      <c r="V1088" t="s">
        <v>837</v>
      </c>
      <c r="W1088" t="str">
        <f t="shared" si="304"/>
        <v>048314-004796-**-**</v>
      </c>
      <c r="X1088" t="s">
        <v>838</v>
      </c>
      <c r="Y1088">
        <v>1254.5</v>
      </c>
      <c r="Z1088">
        <v>1254.5</v>
      </c>
      <c r="AA1088" t="str">
        <f t="shared" si="300"/>
        <v>06/08/2016</v>
      </c>
    </row>
    <row r="1089" spans="1:27" x14ac:dyDescent="0.3">
      <c r="A1089" t="str">
        <f t="shared" si="284"/>
        <v>048314</v>
      </c>
      <c r="B1089" t="str">
        <f t="shared" si="297"/>
        <v>004796</v>
      </c>
      <c r="C1089" t="s">
        <v>1714</v>
      </c>
      <c r="D1089" t="s">
        <v>3839</v>
      </c>
      <c r="E1089" t="s">
        <v>3840</v>
      </c>
      <c r="F1089" t="s">
        <v>3841</v>
      </c>
      <c r="G1089" t="s">
        <v>3842</v>
      </c>
      <c r="H1089" t="str">
        <f t="shared" si="299"/>
        <v>048314</v>
      </c>
      <c r="I1089" t="s">
        <v>833</v>
      </c>
      <c r="J1089" t="str">
        <f t="shared" si="303"/>
        <v>2015-07-01 00:00:00.0</v>
      </c>
      <c r="K1089" t="s">
        <v>834</v>
      </c>
      <c r="L1089" t="s">
        <v>0</v>
      </c>
      <c r="M1089" t="str">
        <f t="shared" si="293"/>
        <v>048314</v>
      </c>
      <c r="N1089">
        <v>1</v>
      </c>
      <c r="O1089">
        <v>1</v>
      </c>
      <c r="P1089" t="str">
        <f>"10"</f>
        <v>10</v>
      </c>
      <c r="Q1089" t="s">
        <v>835</v>
      </c>
      <c r="S1089" t="s">
        <v>836</v>
      </c>
      <c r="T1089" t="s">
        <v>836</v>
      </c>
      <c r="U1089" t="str">
        <f t="shared" si="302"/>
        <v>2500-12-31 00:00:00.0</v>
      </c>
      <c r="V1089" t="s">
        <v>837</v>
      </c>
      <c r="W1089" t="str">
        <f t="shared" si="304"/>
        <v>048314-004796-**-**</v>
      </c>
      <c r="X1089" t="s">
        <v>838</v>
      </c>
      <c r="Y1089">
        <v>1254.5</v>
      </c>
      <c r="Z1089">
        <v>1254.5</v>
      </c>
      <c r="AA1089" t="str">
        <f t="shared" si="300"/>
        <v>06/08/2016</v>
      </c>
    </row>
    <row r="1090" spans="1:27" x14ac:dyDescent="0.3">
      <c r="A1090" t="str">
        <f t="shared" ref="A1090:A1153" si="305">"048314"</f>
        <v>048314</v>
      </c>
      <c r="B1090" t="str">
        <f t="shared" si="297"/>
        <v>004796</v>
      </c>
      <c r="C1090" t="s">
        <v>2558</v>
      </c>
      <c r="D1090" t="s">
        <v>3839</v>
      </c>
      <c r="E1090" t="s">
        <v>3840</v>
      </c>
      <c r="F1090" t="s">
        <v>3841</v>
      </c>
      <c r="G1090" t="s">
        <v>3842</v>
      </c>
      <c r="H1090" t="str">
        <f t="shared" si="299"/>
        <v>048314</v>
      </c>
      <c r="I1090" t="s">
        <v>833</v>
      </c>
      <c r="J1090" t="str">
        <f>"2015-08-01 00:00:00.0"</f>
        <v>2015-08-01 00:00:00.0</v>
      </c>
      <c r="K1090" t="s">
        <v>834</v>
      </c>
      <c r="L1090" t="s">
        <v>0</v>
      </c>
      <c r="M1090" t="str">
        <f t="shared" si="293"/>
        <v>048314</v>
      </c>
      <c r="N1090">
        <v>1</v>
      </c>
      <c r="O1090">
        <v>1</v>
      </c>
      <c r="P1090" t="str">
        <f>"09"</f>
        <v>09</v>
      </c>
      <c r="Q1090" t="s">
        <v>835</v>
      </c>
      <c r="S1090" t="s">
        <v>836</v>
      </c>
      <c r="T1090" t="s">
        <v>836</v>
      </c>
      <c r="U1090" t="str">
        <f t="shared" si="302"/>
        <v>2500-12-31 00:00:00.0</v>
      </c>
      <c r="V1090" t="s">
        <v>837</v>
      </c>
      <c r="W1090" t="str">
        <f t="shared" si="304"/>
        <v>048314-004796-**-**</v>
      </c>
      <c r="X1090" t="s">
        <v>838</v>
      </c>
      <c r="Y1090">
        <v>1254.5</v>
      </c>
      <c r="Z1090">
        <v>1254.5</v>
      </c>
      <c r="AA1090" t="str">
        <f t="shared" si="300"/>
        <v>06/08/2016</v>
      </c>
    </row>
    <row r="1091" spans="1:27" x14ac:dyDescent="0.3">
      <c r="A1091" t="str">
        <f t="shared" si="305"/>
        <v>048314</v>
      </c>
      <c r="B1091" t="str">
        <f t="shared" si="297"/>
        <v>004796</v>
      </c>
      <c r="C1091" t="s">
        <v>2302</v>
      </c>
      <c r="D1091" t="s">
        <v>3839</v>
      </c>
      <c r="E1091" t="s">
        <v>3840</v>
      </c>
      <c r="F1091" t="s">
        <v>3841</v>
      </c>
      <c r="G1091" t="s">
        <v>3842</v>
      </c>
      <c r="H1091" t="str">
        <f t="shared" si="299"/>
        <v>048314</v>
      </c>
      <c r="I1091" t="s">
        <v>833</v>
      </c>
      <c r="J1091" t="str">
        <f>"2015-08-01 00:00:00.0"</f>
        <v>2015-08-01 00:00:00.0</v>
      </c>
      <c r="K1091" t="s">
        <v>834</v>
      </c>
      <c r="L1091" t="s">
        <v>0</v>
      </c>
      <c r="M1091" t="str">
        <f t="shared" si="293"/>
        <v>048314</v>
      </c>
      <c r="N1091">
        <v>1</v>
      </c>
      <c r="O1091">
        <v>1</v>
      </c>
      <c r="P1091" t="str">
        <f>"09"</f>
        <v>09</v>
      </c>
      <c r="Q1091" t="s">
        <v>835</v>
      </c>
      <c r="S1091" t="s">
        <v>836</v>
      </c>
      <c r="T1091" t="s">
        <v>836</v>
      </c>
      <c r="U1091" t="str">
        <f t="shared" si="302"/>
        <v>2500-12-31 00:00:00.0</v>
      </c>
      <c r="V1091" t="s">
        <v>837</v>
      </c>
      <c r="W1091" t="str">
        <f t="shared" si="304"/>
        <v>048314-004796-**-**</v>
      </c>
      <c r="X1091" t="s">
        <v>838</v>
      </c>
      <c r="Y1091">
        <v>1254.5</v>
      </c>
      <c r="Z1091">
        <v>1254.5</v>
      </c>
      <c r="AA1091" t="str">
        <f t="shared" si="300"/>
        <v>06/08/2016</v>
      </c>
    </row>
    <row r="1092" spans="1:27" x14ac:dyDescent="0.3">
      <c r="A1092" t="str">
        <f t="shared" si="305"/>
        <v>048314</v>
      </c>
      <c r="B1092" t="str">
        <f t="shared" si="297"/>
        <v>004796</v>
      </c>
      <c r="C1092" t="s">
        <v>2596</v>
      </c>
      <c r="D1092" t="s">
        <v>3839</v>
      </c>
      <c r="E1092" t="s">
        <v>3840</v>
      </c>
      <c r="F1092" t="s">
        <v>3841</v>
      </c>
      <c r="G1092" t="s">
        <v>3842</v>
      </c>
      <c r="H1092" t="str">
        <f t="shared" si="299"/>
        <v>048314</v>
      </c>
      <c r="I1092" t="s">
        <v>833</v>
      </c>
      <c r="J1092" t="str">
        <f t="shared" ref="J1092:J1116" si="306">"2015-07-01 00:00:00.0"</f>
        <v>2015-07-01 00:00:00.0</v>
      </c>
      <c r="K1092" t="s">
        <v>834</v>
      </c>
      <c r="L1092" t="s">
        <v>0</v>
      </c>
      <c r="M1092" t="str">
        <f t="shared" si="293"/>
        <v>048314</v>
      </c>
      <c r="N1092">
        <v>1</v>
      </c>
      <c r="O1092">
        <v>1</v>
      </c>
      <c r="P1092" t="str">
        <f>"11"</f>
        <v>11</v>
      </c>
      <c r="Q1092" t="s">
        <v>835</v>
      </c>
      <c r="S1092" t="s">
        <v>836</v>
      </c>
      <c r="T1092" t="s">
        <v>836</v>
      </c>
      <c r="U1092" t="str">
        <f t="shared" si="302"/>
        <v>2500-12-31 00:00:00.0</v>
      </c>
      <c r="V1092" t="s">
        <v>837</v>
      </c>
      <c r="W1092" t="str">
        <f t="shared" si="304"/>
        <v>048314-004796-**-**</v>
      </c>
      <c r="X1092" t="s">
        <v>838</v>
      </c>
      <c r="Y1092">
        <v>1254.5</v>
      </c>
      <c r="Z1092">
        <v>1254.5</v>
      </c>
      <c r="AA1092" t="str">
        <f t="shared" si="300"/>
        <v>06/08/2016</v>
      </c>
    </row>
    <row r="1093" spans="1:27" x14ac:dyDescent="0.3">
      <c r="A1093" t="str">
        <f t="shared" si="305"/>
        <v>048314</v>
      </c>
      <c r="B1093" t="str">
        <f t="shared" si="297"/>
        <v>004796</v>
      </c>
      <c r="C1093" t="s">
        <v>1238</v>
      </c>
      <c r="D1093" t="s">
        <v>3839</v>
      </c>
      <c r="E1093" t="s">
        <v>3840</v>
      </c>
      <c r="F1093" t="s">
        <v>3841</v>
      </c>
      <c r="G1093" t="s">
        <v>3842</v>
      </c>
      <c r="H1093" t="str">
        <f t="shared" si="299"/>
        <v>048314</v>
      </c>
      <c r="I1093" t="s">
        <v>833</v>
      </c>
      <c r="J1093" t="str">
        <f t="shared" si="306"/>
        <v>2015-07-01 00:00:00.0</v>
      </c>
      <c r="K1093" t="s">
        <v>834</v>
      </c>
      <c r="L1093" t="s">
        <v>0</v>
      </c>
      <c r="M1093" t="str">
        <f t="shared" si="293"/>
        <v>048314</v>
      </c>
      <c r="N1093">
        <v>1</v>
      </c>
      <c r="O1093">
        <v>1</v>
      </c>
      <c r="P1093" t="str">
        <f>"12"</f>
        <v>12</v>
      </c>
      <c r="Q1093" t="s">
        <v>835</v>
      </c>
      <c r="S1093" t="s">
        <v>836</v>
      </c>
      <c r="T1093" t="s">
        <v>836</v>
      </c>
      <c r="U1093" t="str">
        <f t="shared" si="302"/>
        <v>2500-12-31 00:00:00.0</v>
      </c>
      <c r="V1093" t="s">
        <v>837</v>
      </c>
      <c r="W1093" t="str">
        <f>"048314-004796-12-SE"</f>
        <v>048314-004796-12-SE</v>
      </c>
      <c r="X1093" t="s">
        <v>838</v>
      </c>
      <c r="Y1093">
        <v>1254.5</v>
      </c>
      <c r="Z1093">
        <v>1254.5</v>
      </c>
      <c r="AA1093" t="str">
        <f t="shared" si="300"/>
        <v>06/08/2016</v>
      </c>
    </row>
    <row r="1094" spans="1:27" x14ac:dyDescent="0.3">
      <c r="A1094" t="str">
        <f t="shared" si="305"/>
        <v>048314</v>
      </c>
      <c r="B1094" t="str">
        <f t="shared" si="297"/>
        <v>004796</v>
      </c>
      <c r="C1094" t="s">
        <v>1341</v>
      </c>
      <c r="D1094" t="s">
        <v>3839</v>
      </c>
      <c r="E1094" t="s">
        <v>3840</v>
      </c>
      <c r="F1094" t="s">
        <v>3841</v>
      </c>
      <c r="G1094" t="s">
        <v>3842</v>
      </c>
      <c r="H1094" t="str">
        <f t="shared" si="299"/>
        <v>048314</v>
      </c>
      <c r="I1094" t="s">
        <v>833</v>
      </c>
      <c r="J1094" t="str">
        <f t="shared" si="306"/>
        <v>2015-07-01 00:00:00.0</v>
      </c>
      <c r="K1094" t="s">
        <v>834</v>
      </c>
      <c r="L1094" t="s">
        <v>0</v>
      </c>
      <c r="M1094" t="str">
        <f t="shared" si="293"/>
        <v>048314</v>
      </c>
      <c r="N1094">
        <v>1</v>
      </c>
      <c r="O1094">
        <v>1</v>
      </c>
      <c r="P1094" t="str">
        <f>"11"</f>
        <v>11</v>
      </c>
      <c r="Q1094" t="s">
        <v>835</v>
      </c>
      <c r="S1094" t="s">
        <v>836</v>
      </c>
      <c r="T1094" t="s">
        <v>836</v>
      </c>
      <c r="U1094" t="str">
        <f t="shared" si="302"/>
        <v>2500-12-31 00:00:00.0</v>
      </c>
      <c r="V1094" t="s">
        <v>837</v>
      </c>
      <c r="W1094" t="str">
        <f>"048314-004796-**-**"</f>
        <v>048314-004796-**-**</v>
      </c>
      <c r="X1094" t="s">
        <v>838</v>
      </c>
      <c r="Y1094">
        <v>1254.5</v>
      </c>
      <c r="Z1094">
        <v>1254.5</v>
      </c>
      <c r="AA1094" t="str">
        <f t="shared" si="300"/>
        <v>06/08/2016</v>
      </c>
    </row>
    <row r="1095" spans="1:27" x14ac:dyDescent="0.3">
      <c r="A1095" t="str">
        <f t="shared" si="305"/>
        <v>048314</v>
      </c>
      <c r="B1095" t="str">
        <f t="shared" si="297"/>
        <v>004796</v>
      </c>
      <c r="C1095" t="s">
        <v>3678</v>
      </c>
      <c r="D1095" t="s">
        <v>3839</v>
      </c>
      <c r="E1095" t="s">
        <v>3840</v>
      </c>
      <c r="F1095" t="s">
        <v>3841</v>
      </c>
      <c r="G1095" t="s">
        <v>3842</v>
      </c>
      <c r="H1095" t="str">
        <f t="shared" si="299"/>
        <v>048314</v>
      </c>
      <c r="I1095" t="s">
        <v>833</v>
      </c>
      <c r="J1095" t="str">
        <f t="shared" si="306"/>
        <v>2015-07-01 00:00:00.0</v>
      </c>
      <c r="K1095" t="s">
        <v>834</v>
      </c>
      <c r="L1095" t="s">
        <v>0</v>
      </c>
      <c r="M1095" t="str">
        <f t="shared" si="293"/>
        <v>048314</v>
      </c>
      <c r="N1095">
        <v>1</v>
      </c>
      <c r="O1095">
        <v>1</v>
      </c>
      <c r="P1095" t="str">
        <f>"10"</f>
        <v>10</v>
      </c>
      <c r="Q1095" t="s">
        <v>835</v>
      </c>
      <c r="S1095" t="s">
        <v>836</v>
      </c>
      <c r="T1095" t="s">
        <v>836</v>
      </c>
      <c r="U1095" t="str">
        <f t="shared" si="302"/>
        <v>2500-12-31 00:00:00.0</v>
      </c>
      <c r="V1095" t="s">
        <v>837</v>
      </c>
      <c r="W1095" t="str">
        <f>"048314-004796-**-**"</f>
        <v>048314-004796-**-**</v>
      </c>
      <c r="X1095" t="s">
        <v>838</v>
      </c>
      <c r="Y1095">
        <v>1254.5</v>
      </c>
      <c r="Z1095">
        <v>1254.5</v>
      </c>
      <c r="AA1095" t="str">
        <f t="shared" si="300"/>
        <v>06/08/2016</v>
      </c>
    </row>
    <row r="1096" spans="1:27" x14ac:dyDescent="0.3">
      <c r="A1096" t="str">
        <f t="shared" si="305"/>
        <v>048314</v>
      </c>
      <c r="B1096" t="str">
        <f t="shared" si="297"/>
        <v>004796</v>
      </c>
      <c r="C1096" t="s">
        <v>1342</v>
      </c>
      <c r="D1096" t="s">
        <v>3839</v>
      </c>
      <c r="E1096" t="s">
        <v>3840</v>
      </c>
      <c r="F1096" t="s">
        <v>3841</v>
      </c>
      <c r="G1096" t="s">
        <v>3842</v>
      </c>
      <c r="H1096" t="str">
        <f t="shared" si="299"/>
        <v>048314</v>
      </c>
      <c r="I1096" t="s">
        <v>833</v>
      </c>
      <c r="J1096" t="str">
        <f t="shared" si="306"/>
        <v>2015-07-01 00:00:00.0</v>
      </c>
      <c r="K1096" t="s">
        <v>834</v>
      </c>
      <c r="L1096" t="s">
        <v>0</v>
      </c>
      <c r="M1096" t="str">
        <f t="shared" si="293"/>
        <v>048314</v>
      </c>
      <c r="N1096">
        <v>1</v>
      </c>
      <c r="O1096">
        <v>1</v>
      </c>
      <c r="P1096" t="str">
        <f>"11"</f>
        <v>11</v>
      </c>
      <c r="Q1096" t="s">
        <v>835</v>
      </c>
      <c r="S1096" t="s">
        <v>836</v>
      </c>
      <c r="T1096" t="s">
        <v>836</v>
      </c>
      <c r="U1096" t="str">
        <f t="shared" si="302"/>
        <v>2500-12-31 00:00:00.0</v>
      </c>
      <c r="V1096" t="s">
        <v>837</v>
      </c>
      <c r="W1096" t="str">
        <f>"048314-004796-**-**"</f>
        <v>048314-004796-**-**</v>
      </c>
      <c r="X1096" t="s">
        <v>838</v>
      </c>
      <c r="Y1096">
        <v>1254.5</v>
      </c>
      <c r="Z1096">
        <v>1254.5</v>
      </c>
      <c r="AA1096" t="str">
        <f t="shared" si="300"/>
        <v>06/08/2016</v>
      </c>
    </row>
    <row r="1097" spans="1:27" x14ac:dyDescent="0.3">
      <c r="A1097" t="str">
        <f t="shared" si="305"/>
        <v>048314</v>
      </c>
      <c r="B1097" t="str">
        <f t="shared" si="297"/>
        <v>004796</v>
      </c>
      <c r="C1097" t="s">
        <v>1080</v>
      </c>
      <c r="D1097" t="s">
        <v>3839</v>
      </c>
      <c r="E1097" t="s">
        <v>3840</v>
      </c>
      <c r="F1097" t="s">
        <v>3841</v>
      </c>
      <c r="G1097" t="s">
        <v>3842</v>
      </c>
      <c r="H1097" t="str">
        <f t="shared" si="299"/>
        <v>048314</v>
      </c>
      <c r="I1097" t="s">
        <v>833</v>
      </c>
      <c r="J1097" t="str">
        <f t="shared" si="306"/>
        <v>2015-07-01 00:00:00.0</v>
      </c>
      <c r="K1097" t="s">
        <v>834</v>
      </c>
      <c r="L1097" t="s">
        <v>0</v>
      </c>
      <c r="M1097" t="str">
        <f t="shared" si="293"/>
        <v>048314</v>
      </c>
      <c r="N1097">
        <v>1</v>
      </c>
      <c r="O1097">
        <v>1</v>
      </c>
      <c r="P1097" t="str">
        <f>"12"</f>
        <v>12</v>
      </c>
      <c r="Q1097" t="s">
        <v>835</v>
      </c>
      <c r="S1097" t="s">
        <v>836</v>
      </c>
      <c r="T1097" t="s">
        <v>836</v>
      </c>
      <c r="U1097" t="str">
        <f t="shared" si="302"/>
        <v>2500-12-31 00:00:00.0</v>
      </c>
      <c r="V1097" t="s">
        <v>837</v>
      </c>
      <c r="W1097" t="str">
        <f>"048314-004796-12-SE"</f>
        <v>048314-004796-12-SE</v>
      </c>
      <c r="X1097" t="s">
        <v>838</v>
      </c>
      <c r="Y1097">
        <v>1254.5</v>
      </c>
      <c r="Z1097">
        <v>1254.5</v>
      </c>
      <c r="AA1097" t="str">
        <f t="shared" si="300"/>
        <v>06/08/2016</v>
      </c>
    </row>
    <row r="1098" spans="1:27" x14ac:dyDescent="0.3">
      <c r="A1098" t="str">
        <f t="shared" si="305"/>
        <v>048314</v>
      </c>
      <c r="B1098" t="str">
        <f t="shared" si="297"/>
        <v>004796</v>
      </c>
      <c r="C1098" t="s">
        <v>1195</v>
      </c>
      <c r="D1098" t="s">
        <v>3839</v>
      </c>
      <c r="E1098" t="s">
        <v>3840</v>
      </c>
      <c r="F1098" t="s">
        <v>3841</v>
      </c>
      <c r="G1098" t="s">
        <v>3842</v>
      </c>
      <c r="H1098" t="str">
        <f t="shared" si="299"/>
        <v>048314</v>
      </c>
      <c r="I1098" t="s">
        <v>833</v>
      </c>
      <c r="J1098" t="str">
        <f t="shared" si="306"/>
        <v>2015-07-01 00:00:00.0</v>
      </c>
      <c r="K1098" t="s">
        <v>834</v>
      </c>
      <c r="L1098" t="s">
        <v>0</v>
      </c>
      <c r="M1098" t="str">
        <f t="shared" si="293"/>
        <v>048314</v>
      </c>
      <c r="N1098">
        <v>1</v>
      </c>
      <c r="O1098">
        <v>1</v>
      </c>
      <c r="P1098" t="str">
        <f>"12"</f>
        <v>12</v>
      </c>
      <c r="Q1098" t="s">
        <v>835</v>
      </c>
      <c r="S1098" t="s">
        <v>836</v>
      </c>
      <c r="T1098" t="s">
        <v>836</v>
      </c>
      <c r="U1098" t="str">
        <f t="shared" si="302"/>
        <v>2500-12-31 00:00:00.0</v>
      </c>
      <c r="V1098" t="s">
        <v>837</v>
      </c>
      <c r="W1098" t="str">
        <f>"048314-004796-12-SE"</f>
        <v>048314-004796-12-SE</v>
      </c>
      <c r="X1098" t="s">
        <v>838</v>
      </c>
      <c r="Y1098">
        <v>1254.5</v>
      </c>
      <c r="Z1098">
        <v>1254.5</v>
      </c>
      <c r="AA1098" t="str">
        <f t="shared" si="300"/>
        <v>06/08/2016</v>
      </c>
    </row>
    <row r="1099" spans="1:27" x14ac:dyDescent="0.3">
      <c r="A1099" t="str">
        <f t="shared" si="305"/>
        <v>048314</v>
      </c>
      <c r="B1099" t="str">
        <f t="shared" si="297"/>
        <v>004796</v>
      </c>
      <c r="C1099" t="s">
        <v>1547</v>
      </c>
      <c r="D1099" t="s">
        <v>3839</v>
      </c>
      <c r="E1099" t="s">
        <v>3840</v>
      </c>
      <c r="F1099" t="s">
        <v>3841</v>
      </c>
      <c r="G1099" t="s">
        <v>3842</v>
      </c>
      <c r="H1099" t="str">
        <f t="shared" si="299"/>
        <v>048314</v>
      </c>
      <c r="I1099" t="s">
        <v>833</v>
      </c>
      <c r="J1099" t="str">
        <f t="shared" si="306"/>
        <v>2015-07-01 00:00:00.0</v>
      </c>
      <c r="K1099" t="s">
        <v>834</v>
      </c>
      <c r="L1099" t="s">
        <v>0</v>
      </c>
      <c r="M1099" t="str">
        <f t="shared" si="293"/>
        <v>048314</v>
      </c>
      <c r="N1099">
        <v>1</v>
      </c>
      <c r="O1099">
        <v>1</v>
      </c>
      <c r="P1099" t="str">
        <f>"10"</f>
        <v>10</v>
      </c>
      <c r="Q1099" t="s">
        <v>835</v>
      </c>
      <c r="S1099" t="s">
        <v>836</v>
      </c>
      <c r="T1099" t="s">
        <v>836</v>
      </c>
      <c r="U1099" t="str">
        <f t="shared" si="302"/>
        <v>2500-12-31 00:00:00.0</v>
      </c>
      <c r="V1099" t="s">
        <v>837</v>
      </c>
      <c r="W1099" t="str">
        <f>"048314-004796-**-**"</f>
        <v>048314-004796-**-**</v>
      </c>
      <c r="X1099" t="s">
        <v>838</v>
      </c>
      <c r="Y1099">
        <v>1254.5</v>
      </c>
      <c r="Z1099">
        <v>1254.5</v>
      </c>
      <c r="AA1099" t="str">
        <f t="shared" si="300"/>
        <v>06/08/2016</v>
      </c>
    </row>
    <row r="1100" spans="1:27" x14ac:dyDescent="0.3">
      <c r="A1100" t="str">
        <f t="shared" si="305"/>
        <v>048314</v>
      </c>
      <c r="B1100" t="str">
        <f t="shared" si="297"/>
        <v>004796</v>
      </c>
      <c r="C1100" t="s">
        <v>1605</v>
      </c>
      <c r="D1100" t="s">
        <v>3839</v>
      </c>
      <c r="E1100" t="s">
        <v>3840</v>
      </c>
      <c r="F1100" t="s">
        <v>3841</v>
      </c>
      <c r="G1100" t="s">
        <v>3842</v>
      </c>
      <c r="H1100" t="str">
        <f t="shared" si="299"/>
        <v>048314</v>
      </c>
      <c r="I1100" t="s">
        <v>833</v>
      </c>
      <c r="J1100" t="str">
        <f t="shared" si="306"/>
        <v>2015-07-01 00:00:00.0</v>
      </c>
      <c r="K1100" t="s">
        <v>834</v>
      </c>
      <c r="L1100" t="s">
        <v>0</v>
      </c>
      <c r="M1100" t="str">
        <f t="shared" si="293"/>
        <v>048314</v>
      </c>
      <c r="N1100">
        <v>1</v>
      </c>
      <c r="O1100">
        <v>1</v>
      </c>
      <c r="P1100" t="str">
        <f>"10"</f>
        <v>10</v>
      </c>
      <c r="Q1100" t="s">
        <v>835</v>
      </c>
      <c r="S1100" t="s">
        <v>860</v>
      </c>
      <c r="T1100" t="s">
        <v>836</v>
      </c>
      <c r="U1100" t="str">
        <f t="shared" si="302"/>
        <v>2500-12-31 00:00:00.0</v>
      </c>
      <c r="V1100" t="s">
        <v>837</v>
      </c>
      <c r="W1100" t="str">
        <f>"048314-004796-**-**"</f>
        <v>048314-004796-**-**</v>
      </c>
      <c r="X1100" t="s">
        <v>838</v>
      </c>
      <c r="Y1100">
        <v>1254.5</v>
      </c>
      <c r="Z1100">
        <v>1254.5</v>
      </c>
      <c r="AA1100" t="str">
        <f t="shared" si="300"/>
        <v>06/08/2016</v>
      </c>
    </row>
    <row r="1101" spans="1:27" x14ac:dyDescent="0.3">
      <c r="A1101" t="str">
        <f t="shared" si="305"/>
        <v>048314</v>
      </c>
      <c r="B1101" t="str">
        <f t="shared" si="297"/>
        <v>004796</v>
      </c>
      <c r="C1101" t="s">
        <v>1666</v>
      </c>
      <c r="D1101" t="s">
        <v>3839</v>
      </c>
      <c r="E1101" t="s">
        <v>3840</v>
      </c>
      <c r="F1101" t="s">
        <v>3841</v>
      </c>
      <c r="G1101" t="s">
        <v>3842</v>
      </c>
      <c r="H1101" t="str">
        <f t="shared" si="299"/>
        <v>048314</v>
      </c>
      <c r="I1101" t="s">
        <v>833</v>
      </c>
      <c r="J1101" t="str">
        <f t="shared" si="306"/>
        <v>2015-07-01 00:00:00.0</v>
      </c>
      <c r="K1101" t="s">
        <v>834</v>
      </c>
      <c r="L1101" t="s">
        <v>0</v>
      </c>
      <c r="M1101" t="str">
        <f t="shared" si="293"/>
        <v>048314</v>
      </c>
      <c r="N1101">
        <v>1</v>
      </c>
      <c r="O1101">
        <v>1</v>
      </c>
      <c r="P1101" t="str">
        <f>"10"</f>
        <v>10</v>
      </c>
      <c r="Q1101" t="s">
        <v>835</v>
      </c>
      <c r="S1101" t="s">
        <v>836</v>
      </c>
      <c r="T1101" t="s">
        <v>836</v>
      </c>
      <c r="U1101" t="str">
        <f t="shared" si="302"/>
        <v>2500-12-31 00:00:00.0</v>
      </c>
      <c r="V1101" t="s">
        <v>837</v>
      </c>
      <c r="W1101" t="str">
        <f>"048314-004796-**-**"</f>
        <v>048314-004796-**-**</v>
      </c>
      <c r="X1101" t="s">
        <v>838</v>
      </c>
      <c r="Y1101">
        <v>1254.5</v>
      </c>
      <c r="Z1101">
        <v>1254.5</v>
      </c>
      <c r="AA1101" t="str">
        <f t="shared" si="300"/>
        <v>06/08/2016</v>
      </c>
    </row>
    <row r="1102" spans="1:27" x14ac:dyDescent="0.3">
      <c r="A1102" t="str">
        <f t="shared" si="305"/>
        <v>048314</v>
      </c>
      <c r="B1102" t="str">
        <f t="shared" si="297"/>
        <v>004796</v>
      </c>
      <c r="C1102" t="s">
        <v>1606</v>
      </c>
      <c r="D1102" t="s">
        <v>3839</v>
      </c>
      <c r="E1102" t="s">
        <v>3840</v>
      </c>
      <c r="F1102" t="s">
        <v>3841</v>
      </c>
      <c r="G1102" t="s">
        <v>3842</v>
      </c>
      <c r="H1102" t="str">
        <f t="shared" si="299"/>
        <v>048314</v>
      </c>
      <c r="I1102" t="s">
        <v>833</v>
      </c>
      <c r="J1102" t="str">
        <f t="shared" si="306"/>
        <v>2015-07-01 00:00:00.0</v>
      </c>
      <c r="K1102" t="s">
        <v>834</v>
      </c>
      <c r="L1102" t="s">
        <v>0</v>
      </c>
      <c r="M1102" t="str">
        <f t="shared" si="293"/>
        <v>048314</v>
      </c>
      <c r="N1102">
        <v>1</v>
      </c>
      <c r="O1102">
        <v>1</v>
      </c>
      <c r="P1102" t="str">
        <f>"10"</f>
        <v>10</v>
      </c>
      <c r="Q1102" t="s">
        <v>835</v>
      </c>
      <c r="S1102" t="s">
        <v>836</v>
      </c>
      <c r="T1102" t="s">
        <v>836</v>
      </c>
      <c r="U1102" t="str">
        <f t="shared" si="302"/>
        <v>2500-12-31 00:00:00.0</v>
      </c>
      <c r="V1102" t="s">
        <v>837</v>
      </c>
      <c r="W1102" t="str">
        <f>"048314-004796-**-**"</f>
        <v>048314-004796-**-**</v>
      </c>
      <c r="X1102" t="s">
        <v>838</v>
      </c>
      <c r="Y1102">
        <v>1254.5</v>
      </c>
      <c r="Z1102">
        <v>1254.5</v>
      </c>
      <c r="AA1102" t="str">
        <f t="shared" si="300"/>
        <v>06/08/2016</v>
      </c>
    </row>
    <row r="1103" spans="1:27" x14ac:dyDescent="0.3">
      <c r="A1103" t="str">
        <f t="shared" si="305"/>
        <v>048314</v>
      </c>
      <c r="B1103" t="str">
        <f t="shared" si="297"/>
        <v>004796</v>
      </c>
      <c r="C1103" t="s">
        <v>1228</v>
      </c>
      <c r="D1103" t="s">
        <v>3839</v>
      </c>
      <c r="E1103" t="s">
        <v>3840</v>
      </c>
      <c r="F1103" t="s">
        <v>3841</v>
      </c>
      <c r="G1103" t="s">
        <v>3842</v>
      </c>
      <c r="H1103" t="str">
        <f>"051243"</f>
        <v>051243</v>
      </c>
      <c r="I1103" t="s">
        <v>833</v>
      </c>
      <c r="J1103" t="str">
        <f t="shared" si="306"/>
        <v>2015-07-01 00:00:00.0</v>
      </c>
      <c r="K1103" t="s">
        <v>834</v>
      </c>
      <c r="L1103" t="s">
        <v>0</v>
      </c>
      <c r="M1103" t="str">
        <f t="shared" si="293"/>
        <v>048314</v>
      </c>
      <c r="N1103">
        <v>1</v>
      </c>
      <c r="O1103">
        <v>1</v>
      </c>
      <c r="P1103" t="str">
        <f>"12"</f>
        <v>12</v>
      </c>
      <c r="Q1103" t="s">
        <v>835</v>
      </c>
      <c r="S1103" t="s">
        <v>836</v>
      </c>
      <c r="T1103" t="s">
        <v>836</v>
      </c>
      <c r="U1103" t="str">
        <f t="shared" si="302"/>
        <v>2500-12-31 00:00:00.0</v>
      </c>
      <c r="V1103" t="s">
        <v>886</v>
      </c>
      <c r="W1103" t="str">
        <f>"051243-051250-12-SE"</f>
        <v>051243-051250-12-SE</v>
      </c>
      <c r="X1103" t="s">
        <v>838</v>
      </c>
      <c r="Y1103">
        <v>1105</v>
      </c>
      <c r="Z1103">
        <v>1105</v>
      </c>
      <c r="AA1103" t="str">
        <f>"05/21/2016"</f>
        <v>05/21/2016</v>
      </c>
    </row>
    <row r="1104" spans="1:27" x14ac:dyDescent="0.3">
      <c r="A1104" t="str">
        <f t="shared" si="305"/>
        <v>048314</v>
      </c>
      <c r="B1104" t="str">
        <f t="shared" si="297"/>
        <v>004796</v>
      </c>
      <c r="C1104" t="s">
        <v>1265</v>
      </c>
      <c r="D1104" t="s">
        <v>3839</v>
      </c>
      <c r="E1104" t="s">
        <v>3840</v>
      </c>
      <c r="F1104" t="s">
        <v>3841</v>
      </c>
      <c r="G1104" t="s">
        <v>3842</v>
      </c>
      <c r="H1104" t="str">
        <f>"048314"</f>
        <v>048314</v>
      </c>
      <c r="I1104" t="s">
        <v>833</v>
      </c>
      <c r="J1104" t="str">
        <f t="shared" si="306"/>
        <v>2015-07-01 00:00:00.0</v>
      </c>
      <c r="K1104" t="s">
        <v>834</v>
      </c>
      <c r="L1104" t="s">
        <v>0</v>
      </c>
      <c r="M1104" t="str">
        <f t="shared" si="293"/>
        <v>048314</v>
      </c>
      <c r="N1104">
        <v>1</v>
      </c>
      <c r="O1104">
        <v>1</v>
      </c>
      <c r="P1104" t="str">
        <f>"12"</f>
        <v>12</v>
      </c>
      <c r="Q1104" t="s">
        <v>835</v>
      </c>
      <c r="S1104" t="s">
        <v>860</v>
      </c>
      <c r="T1104" t="s">
        <v>836</v>
      </c>
      <c r="U1104" t="str">
        <f t="shared" si="302"/>
        <v>2500-12-31 00:00:00.0</v>
      </c>
      <c r="V1104" t="s">
        <v>837</v>
      </c>
      <c r="W1104" t="str">
        <f>"048314-004796-12-SE"</f>
        <v>048314-004796-12-SE</v>
      </c>
      <c r="X1104" t="s">
        <v>838</v>
      </c>
      <c r="Y1104">
        <v>1254.5</v>
      </c>
      <c r="Z1104">
        <v>1254.5</v>
      </c>
      <c r="AA1104" t="str">
        <f>"06/08/2016"</f>
        <v>06/08/2016</v>
      </c>
    </row>
    <row r="1105" spans="1:27" x14ac:dyDescent="0.3">
      <c r="A1105" t="str">
        <f t="shared" si="305"/>
        <v>048314</v>
      </c>
      <c r="B1105" t="str">
        <f t="shared" si="297"/>
        <v>004796</v>
      </c>
      <c r="C1105" t="s">
        <v>1343</v>
      </c>
      <c r="D1105" t="s">
        <v>3839</v>
      </c>
      <c r="E1105" t="s">
        <v>3840</v>
      </c>
      <c r="F1105" t="s">
        <v>3841</v>
      </c>
      <c r="G1105" t="s">
        <v>3842</v>
      </c>
      <c r="H1105" t="str">
        <f>"048314"</f>
        <v>048314</v>
      </c>
      <c r="I1105" t="s">
        <v>833</v>
      </c>
      <c r="J1105" t="str">
        <f t="shared" si="306"/>
        <v>2015-07-01 00:00:00.0</v>
      </c>
      <c r="K1105" t="s">
        <v>834</v>
      </c>
      <c r="L1105" t="s">
        <v>0</v>
      </c>
      <c r="M1105" t="str">
        <f t="shared" si="293"/>
        <v>048314</v>
      </c>
      <c r="N1105">
        <v>1</v>
      </c>
      <c r="O1105">
        <v>1</v>
      </c>
      <c r="P1105" t="str">
        <f>"11"</f>
        <v>11</v>
      </c>
      <c r="Q1105" t="s">
        <v>835</v>
      </c>
      <c r="S1105" t="s">
        <v>836</v>
      </c>
      <c r="T1105" t="s">
        <v>836</v>
      </c>
      <c r="U1105" t="str">
        <f t="shared" si="302"/>
        <v>2500-12-31 00:00:00.0</v>
      </c>
      <c r="V1105" t="s">
        <v>837</v>
      </c>
      <c r="W1105" t="str">
        <f>"048314-004796-**-**"</f>
        <v>048314-004796-**-**</v>
      </c>
      <c r="X1105" t="s">
        <v>838</v>
      </c>
      <c r="Y1105">
        <v>1254.5</v>
      </c>
      <c r="Z1105">
        <v>1254.5</v>
      </c>
      <c r="AA1105" t="str">
        <f>"06/08/2016"</f>
        <v>06/08/2016</v>
      </c>
    </row>
    <row r="1106" spans="1:27" x14ac:dyDescent="0.3">
      <c r="A1106" t="str">
        <f t="shared" si="305"/>
        <v>048314</v>
      </c>
      <c r="B1106" t="str">
        <f t="shared" si="297"/>
        <v>004796</v>
      </c>
      <c r="C1106" t="s">
        <v>2032</v>
      </c>
      <c r="D1106" t="s">
        <v>3839</v>
      </c>
      <c r="E1106" t="s">
        <v>3840</v>
      </c>
      <c r="F1106" t="s">
        <v>3841</v>
      </c>
      <c r="G1106" t="s">
        <v>3842</v>
      </c>
      <c r="H1106" t="str">
        <f>"048314"</f>
        <v>048314</v>
      </c>
      <c r="I1106" t="s">
        <v>833</v>
      </c>
      <c r="J1106" t="str">
        <f t="shared" si="306"/>
        <v>2015-07-01 00:00:00.0</v>
      </c>
      <c r="K1106" t="s">
        <v>834</v>
      </c>
      <c r="L1106" t="s">
        <v>0</v>
      </c>
      <c r="M1106" t="str">
        <f t="shared" si="293"/>
        <v>048314</v>
      </c>
      <c r="N1106">
        <v>1</v>
      </c>
      <c r="O1106">
        <v>1</v>
      </c>
      <c r="P1106" t="str">
        <f>"11"</f>
        <v>11</v>
      </c>
      <c r="Q1106" t="s">
        <v>835</v>
      </c>
      <c r="S1106" t="s">
        <v>836</v>
      </c>
      <c r="T1106" t="s">
        <v>836</v>
      </c>
      <c r="U1106" t="str">
        <f t="shared" si="302"/>
        <v>2500-12-31 00:00:00.0</v>
      </c>
      <c r="V1106" t="s">
        <v>837</v>
      </c>
      <c r="W1106" t="str">
        <f>"048314-004796-**-**"</f>
        <v>048314-004796-**-**</v>
      </c>
      <c r="X1106" t="s">
        <v>838</v>
      </c>
      <c r="Y1106">
        <v>1254.5</v>
      </c>
      <c r="Z1106">
        <v>1254.5</v>
      </c>
      <c r="AA1106" t="str">
        <f>"06/08/2016"</f>
        <v>06/08/2016</v>
      </c>
    </row>
    <row r="1107" spans="1:27" x14ac:dyDescent="0.3">
      <c r="A1107" t="str">
        <f t="shared" si="305"/>
        <v>048314</v>
      </c>
      <c r="B1107" t="str">
        <f t="shared" si="297"/>
        <v>004796</v>
      </c>
      <c r="C1107" t="s">
        <v>1146</v>
      </c>
      <c r="D1107" t="s">
        <v>3839</v>
      </c>
      <c r="E1107" t="s">
        <v>3840</v>
      </c>
      <c r="F1107" t="s">
        <v>3841</v>
      </c>
      <c r="G1107" t="s">
        <v>3842</v>
      </c>
      <c r="H1107" t="str">
        <f>"048314"</f>
        <v>048314</v>
      </c>
      <c r="I1107" t="s">
        <v>833</v>
      </c>
      <c r="J1107" t="str">
        <f t="shared" si="306"/>
        <v>2015-07-01 00:00:00.0</v>
      </c>
      <c r="K1107" t="s">
        <v>834</v>
      </c>
      <c r="L1107" t="s">
        <v>0</v>
      </c>
      <c r="M1107" t="str">
        <f t="shared" si="293"/>
        <v>048314</v>
      </c>
      <c r="N1107">
        <v>1</v>
      </c>
      <c r="O1107">
        <v>1</v>
      </c>
      <c r="P1107" t="str">
        <f>"12"</f>
        <v>12</v>
      </c>
      <c r="Q1107" t="s">
        <v>835</v>
      </c>
      <c r="S1107" t="s">
        <v>836</v>
      </c>
      <c r="T1107" t="s">
        <v>836</v>
      </c>
      <c r="U1107" t="str">
        <f t="shared" si="302"/>
        <v>2500-12-31 00:00:00.0</v>
      </c>
      <c r="V1107" t="s">
        <v>837</v>
      </c>
      <c r="W1107" t="str">
        <f>"048314-004796-12-SE"</f>
        <v>048314-004796-12-SE</v>
      </c>
      <c r="X1107" t="s">
        <v>838</v>
      </c>
      <c r="Y1107">
        <v>1254.5</v>
      </c>
      <c r="Z1107">
        <v>1254.5</v>
      </c>
      <c r="AA1107" t="str">
        <f>"06/08/2016"</f>
        <v>06/08/2016</v>
      </c>
    </row>
    <row r="1108" spans="1:27" x14ac:dyDescent="0.3">
      <c r="A1108" t="str">
        <f t="shared" si="305"/>
        <v>048314</v>
      </c>
      <c r="B1108" t="str">
        <f t="shared" si="297"/>
        <v>004796</v>
      </c>
      <c r="C1108" t="s">
        <v>1107</v>
      </c>
      <c r="D1108" t="s">
        <v>3839</v>
      </c>
      <c r="E1108" t="s">
        <v>3840</v>
      </c>
      <c r="F1108" t="s">
        <v>3841</v>
      </c>
      <c r="G1108" t="s">
        <v>3842</v>
      </c>
      <c r="H1108" t="str">
        <f>"048363"</f>
        <v>048363</v>
      </c>
      <c r="I1108" t="s">
        <v>833</v>
      </c>
      <c r="J1108" t="str">
        <f t="shared" si="306"/>
        <v>2015-07-01 00:00:00.0</v>
      </c>
      <c r="K1108" t="s">
        <v>834</v>
      </c>
      <c r="L1108" t="s">
        <v>1</v>
      </c>
      <c r="M1108" t="str">
        <f t="shared" si="293"/>
        <v>048314</v>
      </c>
      <c r="N1108">
        <v>1</v>
      </c>
      <c r="O1108">
        <v>1</v>
      </c>
      <c r="P1108" t="str">
        <f>"12"</f>
        <v>12</v>
      </c>
      <c r="Q1108" t="s">
        <v>835</v>
      </c>
      <c r="S1108" t="s">
        <v>836</v>
      </c>
      <c r="T1108" t="s">
        <v>836</v>
      </c>
      <c r="U1108" t="str">
        <f>"2016-05-27 00:00:00.0"</f>
        <v>2016-05-27 00:00:00.0</v>
      </c>
      <c r="V1108" t="s">
        <v>837</v>
      </c>
      <c r="W1108" t="str">
        <f>"048363-026229-12-SR"</f>
        <v>048363-026229-12-SR</v>
      </c>
      <c r="X1108" t="s">
        <v>838</v>
      </c>
      <c r="Y1108">
        <v>1114</v>
      </c>
      <c r="Z1108">
        <v>1114</v>
      </c>
      <c r="AA1108" t="str">
        <f>"06/15/2016"</f>
        <v>06/15/2016</v>
      </c>
    </row>
    <row r="1109" spans="1:27" x14ac:dyDescent="0.3">
      <c r="A1109" t="str">
        <f t="shared" si="305"/>
        <v>048314</v>
      </c>
      <c r="B1109" t="str">
        <f t="shared" si="297"/>
        <v>004796</v>
      </c>
      <c r="C1109" t="s">
        <v>1409</v>
      </c>
      <c r="D1109" t="s">
        <v>3839</v>
      </c>
      <c r="E1109" t="s">
        <v>3840</v>
      </c>
      <c r="F1109" t="s">
        <v>3841</v>
      </c>
      <c r="G1109" t="s">
        <v>3842</v>
      </c>
      <c r="H1109" t="str">
        <f t="shared" ref="H1109:H1116" si="307">"048314"</f>
        <v>048314</v>
      </c>
      <c r="I1109" t="s">
        <v>833</v>
      </c>
      <c r="J1109" t="str">
        <f t="shared" si="306"/>
        <v>2015-07-01 00:00:00.0</v>
      </c>
      <c r="K1109" t="s">
        <v>834</v>
      </c>
      <c r="L1109" t="s">
        <v>0</v>
      </c>
      <c r="M1109" t="str">
        <f t="shared" si="293"/>
        <v>048314</v>
      </c>
      <c r="N1109">
        <v>1</v>
      </c>
      <c r="O1109">
        <v>1</v>
      </c>
      <c r="P1109" t="str">
        <f>"10"</f>
        <v>10</v>
      </c>
      <c r="Q1109" t="s">
        <v>835</v>
      </c>
      <c r="S1109" t="s">
        <v>860</v>
      </c>
      <c r="T1109" t="s">
        <v>836</v>
      </c>
      <c r="U1109" t="str">
        <f t="shared" ref="U1109:U1131" si="308">"2500-12-31 00:00:00.0"</f>
        <v>2500-12-31 00:00:00.0</v>
      </c>
      <c r="V1109" t="s">
        <v>837</v>
      </c>
      <c r="W1109" t="str">
        <f>"048314-004796-**-**"</f>
        <v>048314-004796-**-**</v>
      </c>
      <c r="X1109" t="s">
        <v>838</v>
      </c>
      <c r="Y1109">
        <v>1254.5</v>
      </c>
      <c r="Z1109">
        <v>1254.5</v>
      </c>
      <c r="AA1109" t="str">
        <f t="shared" ref="AA1109:AA1116" si="309">"06/08/2016"</f>
        <v>06/08/2016</v>
      </c>
    </row>
    <row r="1110" spans="1:27" x14ac:dyDescent="0.3">
      <c r="A1110" t="str">
        <f t="shared" si="305"/>
        <v>048314</v>
      </c>
      <c r="B1110" t="str">
        <f t="shared" si="297"/>
        <v>004796</v>
      </c>
      <c r="C1110" t="s">
        <v>1081</v>
      </c>
      <c r="D1110" t="s">
        <v>3839</v>
      </c>
      <c r="E1110" t="s">
        <v>3840</v>
      </c>
      <c r="F1110" t="s">
        <v>3841</v>
      </c>
      <c r="G1110" t="s">
        <v>3842</v>
      </c>
      <c r="H1110" t="str">
        <f t="shared" si="307"/>
        <v>048314</v>
      </c>
      <c r="I1110" t="s">
        <v>833</v>
      </c>
      <c r="J1110" t="str">
        <f t="shared" si="306"/>
        <v>2015-07-01 00:00:00.0</v>
      </c>
      <c r="K1110" t="s">
        <v>834</v>
      </c>
      <c r="L1110" t="s">
        <v>0</v>
      </c>
      <c r="M1110" t="str">
        <f t="shared" si="293"/>
        <v>048314</v>
      </c>
      <c r="N1110">
        <v>1</v>
      </c>
      <c r="O1110">
        <v>1</v>
      </c>
      <c r="P1110" t="str">
        <f>"11"</f>
        <v>11</v>
      </c>
      <c r="Q1110" t="s">
        <v>835</v>
      </c>
      <c r="S1110" t="s">
        <v>836</v>
      </c>
      <c r="T1110" t="s">
        <v>836</v>
      </c>
      <c r="U1110" t="str">
        <f t="shared" si="308"/>
        <v>2500-12-31 00:00:00.0</v>
      </c>
      <c r="V1110" t="s">
        <v>837</v>
      </c>
      <c r="W1110" t="str">
        <f>"048314-004796-**-**"</f>
        <v>048314-004796-**-**</v>
      </c>
      <c r="X1110" t="s">
        <v>838</v>
      </c>
      <c r="Y1110">
        <v>1254.5</v>
      </c>
      <c r="Z1110">
        <v>1254.5</v>
      </c>
      <c r="AA1110" t="str">
        <f t="shared" si="309"/>
        <v>06/08/2016</v>
      </c>
    </row>
    <row r="1111" spans="1:27" x14ac:dyDescent="0.3">
      <c r="A1111" t="str">
        <f t="shared" si="305"/>
        <v>048314</v>
      </c>
      <c r="B1111" t="str">
        <f t="shared" si="297"/>
        <v>004796</v>
      </c>
      <c r="C1111" t="s">
        <v>1608</v>
      </c>
      <c r="D1111" t="s">
        <v>3839</v>
      </c>
      <c r="E1111" t="s">
        <v>3840</v>
      </c>
      <c r="F1111" t="s">
        <v>3841</v>
      </c>
      <c r="G1111" t="s">
        <v>3842</v>
      </c>
      <c r="H1111" t="str">
        <f t="shared" si="307"/>
        <v>048314</v>
      </c>
      <c r="I1111" t="s">
        <v>833</v>
      </c>
      <c r="J1111" t="str">
        <f t="shared" si="306"/>
        <v>2015-07-01 00:00:00.0</v>
      </c>
      <c r="K1111" t="s">
        <v>834</v>
      </c>
      <c r="L1111" t="s">
        <v>0</v>
      </c>
      <c r="M1111" t="str">
        <f t="shared" si="293"/>
        <v>048314</v>
      </c>
      <c r="N1111">
        <v>1</v>
      </c>
      <c r="O1111">
        <v>1</v>
      </c>
      <c r="P1111" t="str">
        <f>"10"</f>
        <v>10</v>
      </c>
      <c r="Q1111" t="s">
        <v>835</v>
      </c>
      <c r="S1111" t="s">
        <v>836</v>
      </c>
      <c r="T1111" t="s">
        <v>836</v>
      </c>
      <c r="U1111" t="str">
        <f t="shared" si="308"/>
        <v>2500-12-31 00:00:00.0</v>
      </c>
      <c r="V1111" t="s">
        <v>837</v>
      </c>
      <c r="W1111" t="str">
        <f>"048314-004796-**-**"</f>
        <v>048314-004796-**-**</v>
      </c>
      <c r="X1111" t="s">
        <v>838</v>
      </c>
      <c r="Y1111">
        <v>1254.5</v>
      </c>
      <c r="Z1111">
        <v>1254.5</v>
      </c>
      <c r="AA1111" t="str">
        <f t="shared" si="309"/>
        <v>06/08/2016</v>
      </c>
    </row>
    <row r="1112" spans="1:27" x14ac:dyDescent="0.3">
      <c r="A1112" t="str">
        <f t="shared" si="305"/>
        <v>048314</v>
      </c>
      <c r="B1112" t="str">
        <f t="shared" si="297"/>
        <v>004796</v>
      </c>
      <c r="C1112" t="s">
        <v>1254</v>
      </c>
      <c r="D1112" t="s">
        <v>3839</v>
      </c>
      <c r="E1112" t="s">
        <v>3840</v>
      </c>
      <c r="F1112" t="s">
        <v>3841</v>
      </c>
      <c r="G1112" t="s">
        <v>3842</v>
      </c>
      <c r="H1112" t="str">
        <f t="shared" si="307"/>
        <v>048314</v>
      </c>
      <c r="I1112" t="s">
        <v>833</v>
      </c>
      <c r="J1112" t="str">
        <f t="shared" si="306"/>
        <v>2015-07-01 00:00:00.0</v>
      </c>
      <c r="K1112" t="s">
        <v>834</v>
      </c>
      <c r="L1112" t="s">
        <v>0</v>
      </c>
      <c r="M1112" t="str">
        <f t="shared" si="293"/>
        <v>048314</v>
      </c>
      <c r="N1112">
        <v>1</v>
      </c>
      <c r="O1112">
        <v>1</v>
      </c>
      <c r="P1112" t="str">
        <f>"12"</f>
        <v>12</v>
      </c>
      <c r="Q1112" t="s">
        <v>835</v>
      </c>
      <c r="S1112" t="s">
        <v>836</v>
      </c>
      <c r="T1112" t="s">
        <v>836</v>
      </c>
      <c r="U1112" t="str">
        <f t="shared" si="308"/>
        <v>2500-12-31 00:00:00.0</v>
      </c>
      <c r="V1112" t="s">
        <v>837</v>
      </c>
      <c r="W1112" t="str">
        <f>"048314-004796-12-SE"</f>
        <v>048314-004796-12-SE</v>
      </c>
      <c r="X1112" t="s">
        <v>838</v>
      </c>
      <c r="Y1112">
        <v>1254.5</v>
      </c>
      <c r="Z1112">
        <v>1254.5</v>
      </c>
      <c r="AA1112" t="str">
        <f t="shared" si="309"/>
        <v>06/08/2016</v>
      </c>
    </row>
    <row r="1113" spans="1:27" x14ac:dyDescent="0.3">
      <c r="A1113" t="str">
        <f t="shared" si="305"/>
        <v>048314</v>
      </c>
      <c r="B1113" t="str">
        <f t="shared" si="297"/>
        <v>004796</v>
      </c>
      <c r="C1113" t="s">
        <v>1147</v>
      </c>
      <c r="D1113" t="s">
        <v>3839</v>
      </c>
      <c r="E1113" t="s">
        <v>3840</v>
      </c>
      <c r="F1113" t="s">
        <v>3841</v>
      </c>
      <c r="G1113" t="s">
        <v>3842</v>
      </c>
      <c r="H1113" t="str">
        <f t="shared" si="307"/>
        <v>048314</v>
      </c>
      <c r="I1113" t="s">
        <v>833</v>
      </c>
      <c r="J1113" t="str">
        <f t="shared" si="306"/>
        <v>2015-07-01 00:00:00.0</v>
      </c>
      <c r="K1113" t="s">
        <v>834</v>
      </c>
      <c r="L1113" t="s">
        <v>0</v>
      </c>
      <c r="M1113" t="str">
        <f t="shared" si="293"/>
        <v>048314</v>
      </c>
      <c r="N1113">
        <v>1</v>
      </c>
      <c r="O1113">
        <v>1</v>
      </c>
      <c r="P1113" t="str">
        <f>"12"</f>
        <v>12</v>
      </c>
      <c r="Q1113" t="s">
        <v>835</v>
      </c>
      <c r="S1113" t="s">
        <v>836</v>
      </c>
      <c r="T1113" t="s">
        <v>836</v>
      </c>
      <c r="U1113" t="str">
        <f t="shared" si="308"/>
        <v>2500-12-31 00:00:00.0</v>
      </c>
      <c r="V1113" t="s">
        <v>837</v>
      </c>
      <c r="W1113" t="str">
        <f>"048314-004796-12-SE"</f>
        <v>048314-004796-12-SE</v>
      </c>
      <c r="X1113" t="s">
        <v>838</v>
      </c>
      <c r="Y1113">
        <v>1254.5</v>
      </c>
      <c r="Z1113">
        <v>1254.5</v>
      </c>
      <c r="AA1113" t="str">
        <f t="shared" si="309"/>
        <v>06/08/2016</v>
      </c>
    </row>
    <row r="1114" spans="1:27" x14ac:dyDescent="0.3">
      <c r="A1114" t="str">
        <f t="shared" si="305"/>
        <v>048314</v>
      </c>
      <c r="B1114" t="str">
        <f t="shared" si="297"/>
        <v>004796</v>
      </c>
      <c r="C1114" t="s">
        <v>1667</v>
      </c>
      <c r="D1114" t="s">
        <v>3839</v>
      </c>
      <c r="E1114" t="s">
        <v>3840</v>
      </c>
      <c r="F1114" t="s">
        <v>3841</v>
      </c>
      <c r="G1114" t="s">
        <v>3842</v>
      </c>
      <c r="H1114" t="str">
        <f t="shared" si="307"/>
        <v>048314</v>
      </c>
      <c r="I1114" t="s">
        <v>833</v>
      </c>
      <c r="J1114" t="str">
        <f t="shared" si="306"/>
        <v>2015-07-01 00:00:00.0</v>
      </c>
      <c r="K1114" t="s">
        <v>834</v>
      </c>
      <c r="L1114" t="s">
        <v>0</v>
      </c>
      <c r="M1114" t="str">
        <f t="shared" si="293"/>
        <v>048314</v>
      </c>
      <c r="N1114">
        <v>1</v>
      </c>
      <c r="O1114">
        <v>1</v>
      </c>
      <c r="P1114" t="str">
        <f>"10"</f>
        <v>10</v>
      </c>
      <c r="Q1114" t="s">
        <v>835</v>
      </c>
      <c r="S1114" t="s">
        <v>836</v>
      </c>
      <c r="T1114" t="s">
        <v>836</v>
      </c>
      <c r="U1114" t="str">
        <f t="shared" si="308"/>
        <v>2500-12-31 00:00:00.0</v>
      </c>
      <c r="V1114" t="s">
        <v>837</v>
      </c>
      <c r="W1114" t="str">
        <f>"048314-004796-**-**"</f>
        <v>048314-004796-**-**</v>
      </c>
      <c r="X1114" t="s">
        <v>838</v>
      </c>
      <c r="Y1114">
        <v>1254.5</v>
      </c>
      <c r="Z1114">
        <v>1254.5</v>
      </c>
      <c r="AA1114" t="str">
        <f t="shared" si="309"/>
        <v>06/08/2016</v>
      </c>
    </row>
    <row r="1115" spans="1:27" x14ac:dyDescent="0.3">
      <c r="A1115" t="str">
        <f t="shared" si="305"/>
        <v>048314</v>
      </c>
      <c r="B1115" t="str">
        <f t="shared" si="297"/>
        <v>004796</v>
      </c>
      <c r="C1115" t="s">
        <v>1549</v>
      </c>
      <c r="D1115" t="s">
        <v>3839</v>
      </c>
      <c r="E1115" t="s">
        <v>3840</v>
      </c>
      <c r="F1115" t="s">
        <v>3841</v>
      </c>
      <c r="G1115" t="s">
        <v>3842</v>
      </c>
      <c r="H1115" t="str">
        <f t="shared" si="307"/>
        <v>048314</v>
      </c>
      <c r="I1115" t="s">
        <v>833</v>
      </c>
      <c r="J1115" t="str">
        <f t="shared" si="306"/>
        <v>2015-07-01 00:00:00.0</v>
      </c>
      <c r="K1115" t="s">
        <v>834</v>
      </c>
      <c r="L1115" t="s">
        <v>0</v>
      </c>
      <c r="M1115" t="str">
        <f>"046425"</f>
        <v>046425</v>
      </c>
      <c r="N1115">
        <v>1</v>
      </c>
      <c r="O1115">
        <v>1</v>
      </c>
      <c r="P1115" t="str">
        <f>"10"</f>
        <v>10</v>
      </c>
      <c r="Q1115" t="s">
        <v>835</v>
      </c>
      <c r="S1115" t="s">
        <v>836</v>
      </c>
      <c r="T1115" t="s">
        <v>836</v>
      </c>
      <c r="U1115" t="str">
        <f t="shared" si="308"/>
        <v>2500-12-31 00:00:00.0</v>
      </c>
      <c r="V1115" t="s">
        <v>837</v>
      </c>
      <c r="W1115" t="str">
        <f>"048314-004796-**-**"</f>
        <v>048314-004796-**-**</v>
      </c>
      <c r="X1115" t="s">
        <v>838</v>
      </c>
      <c r="Y1115">
        <v>1254.5</v>
      </c>
      <c r="Z1115">
        <v>1254.5</v>
      </c>
      <c r="AA1115" t="str">
        <f t="shared" si="309"/>
        <v>06/08/2016</v>
      </c>
    </row>
    <row r="1116" spans="1:27" x14ac:dyDescent="0.3">
      <c r="A1116" t="str">
        <f t="shared" si="305"/>
        <v>048314</v>
      </c>
      <c r="B1116" t="str">
        <f t="shared" si="297"/>
        <v>004796</v>
      </c>
      <c r="C1116" t="s">
        <v>1385</v>
      </c>
      <c r="D1116" t="s">
        <v>3839</v>
      </c>
      <c r="E1116" t="s">
        <v>3840</v>
      </c>
      <c r="F1116" t="s">
        <v>3841</v>
      </c>
      <c r="G1116" t="s">
        <v>3842</v>
      </c>
      <c r="H1116" t="str">
        <f t="shared" si="307"/>
        <v>048314</v>
      </c>
      <c r="I1116" t="s">
        <v>833</v>
      </c>
      <c r="J1116" t="str">
        <f t="shared" si="306"/>
        <v>2015-07-01 00:00:00.0</v>
      </c>
      <c r="K1116" t="s">
        <v>834</v>
      </c>
      <c r="L1116" t="s">
        <v>0</v>
      </c>
      <c r="M1116" t="str">
        <f t="shared" ref="M1116:M1179" si="310">"048314"</f>
        <v>048314</v>
      </c>
      <c r="N1116">
        <v>0.53</v>
      </c>
      <c r="O1116">
        <v>0.53</v>
      </c>
      <c r="P1116" t="str">
        <f>"11"</f>
        <v>11</v>
      </c>
      <c r="Q1116" t="s">
        <v>835</v>
      </c>
      <c r="S1116" t="s">
        <v>836</v>
      </c>
      <c r="T1116" t="s">
        <v>836</v>
      </c>
      <c r="U1116" t="str">
        <f t="shared" si="308"/>
        <v>2500-12-31 00:00:00.0</v>
      </c>
      <c r="V1116" t="s">
        <v>837</v>
      </c>
      <c r="W1116" t="str">
        <f>"048314-004796-**-**"</f>
        <v>048314-004796-**-**</v>
      </c>
      <c r="X1116" t="s">
        <v>838</v>
      </c>
      <c r="Y1116">
        <v>664.89</v>
      </c>
      <c r="Z1116">
        <v>1254.5</v>
      </c>
      <c r="AA1116" t="str">
        <f t="shared" si="309"/>
        <v>06/08/2016</v>
      </c>
    </row>
    <row r="1117" spans="1:27" x14ac:dyDescent="0.3">
      <c r="A1117" t="str">
        <f t="shared" si="305"/>
        <v>048314</v>
      </c>
      <c r="B1117" t="str">
        <f t="shared" si="297"/>
        <v>004796</v>
      </c>
      <c r="C1117" t="s">
        <v>1385</v>
      </c>
      <c r="D1117" t="s">
        <v>3839</v>
      </c>
      <c r="E1117" t="s">
        <v>3840</v>
      </c>
      <c r="F1117" t="s">
        <v>3841</v>
      </c>
      <c r="G1117" t="s">
        <v>3842</v>
      </c>
      <c r="H1117" t="str">
        <f>"051243"</f>
        <v>051243</v>
      </c>
      <c r="I1117" t="s">
        <v>833</v>
      </c>
      <c r="J1117" t="str">
        <f>"2015-08-03 00:00:00.0"</f>
        <v>2015-08-03 00:00:00.0</v>
      </c>
      <c r="K1117" t="s">
        <v>834</v>
      </c>
      <c r="L1117" t="s">
        <v>0</v>
      </c>
      <c r="M1117" t="str">
        <f t="shared" si="310"/>
        <v>048314</v>
      </c>
      <c r="N1117">
        <v>0.47</v>
      </c>
      <c r="O1117">
        <v>0.47</v>
      </c>
      <c r="P1117" t="str">
        <f>"11"</f>
        <v>11</v>
      </c>
      <c r="Q1117" t="s">
        <v>835</v>
      </c>
      <c r="S1117" t="s">
        <v>836</v>
      </c>
      <c r="T1117" t="s">
        <v>836</v>
      </c>
      <c r="U1117" t="str">
        <f t="shared" si="308"/>
        <v>2500-12-31 00:00:00.0</v>
      </c>
      <c r="V1117" t="s">
        <v>886</v>
      </c>
      <c r="W1117" t="str">
        <f>"051243-051250-11-AM"</f>
        <v>051243-051250-11-AM</v>
      </c>
      <c r="X1117" t="s">
        <v>838</v>
      </c>
      <c r="Y1117">
        <v>537.67999999999995</v>
      </c>
      <c r="Z1117">
        <v>1144</v>
      </c>
      <c r="AA1117" t="str">
        <f>"05/21/2016"</f>
        <v>05/21/2016</v>
      </c>
    </row>
    <row r="1118" spans="1:27" x14ac:dyDescent="0.3">
      <c r="A1118" t="str">
        <f t="shared" si="305"/>
        <v>048314</v>
      </c>
      <c r="B1118" t="str">
        <f t="shared" si="297"/>
        <v>004796</v>
      </c>
      <c r="C1118" t="s">
        <v>1817</v>
      </c>
      <c r="D1118" t="s">
        <v>3839</v>
      </c>
      <c r="E1118" t="s">
        <v>3840</v>
      </c>
      <c r="F1118" t="s">
        <v>3841</v>
      </c>
      <c r="G1118" t="s">
        <v>3842</v>
      </c>
      <c r="H1118" t="str">
        <f>"048363"</f>
        <v>048363</v>
      </c>
      <c r="I1118" t="s">
        <v>833</v>
      </c>
      <c r="J1118" t="str">
        <f>"2015-08-01 00:00:00.0"</f>
        <v>2015-08-01 00:00:00.0</v>
      </c>
      <c r="K1118" t="s">
        <v>834</v>
      </c>
      <c r="L1118" t="s">
        <v>1</v>
      </c>
      <c r="M1118" t="str">
        <f t="shared" si="310"/>
        <v>048314</v>
      </c>
      <c r="N1118">
        <v>1</v>
      </c>
      <c r="O1118">
        <v>1</v>
      </c>
      <c r="P1118" t="str">
        <f>"09"</f>
        <v>09</v>
      </c>
      <c r="Q1118" t="s">
        <v>835</v>
      </c>
      <c r="S1118" t="s">
        <v>836</v>
      </c>
      <c r="T1118" t="s">
        <v>836</v>
      </c>
      <c r="U1118" t="str">
        <f t="shared" si="308"/>
        <v>2500-12-31 00:00:00.0</v>
      </c>
      <c r="V1118" t="s">
        <v>837</v>
      </c>
      <c r="W1118" t="str">
        <f>"048363-026229-**-**"</f>
        <v>048363-026229-**-**</v>
      </c>
      <c r="X1118" t="s">
        <v>838</v>
      </c>
      <c r="Y1118">
        <v>1127</v>
      </c>
      <c r="Z1118">
        <v>1127</v>
      </c>
      <c r="AA1118" t="str">
        <f>"06/15/2016"</f>
        <v>06/15/2016</v>
      </c>
    </row>
    <row r="1119" spans="1:27" x14ac:dyDescent="0.3">
      <c r="A1119" t="str">
        <f t="shared" si="305"/>
        <v>048314</v>
      </c>
      <c r="B1119" t="str">
        <f t="shared" si="297"/>
        <v>004796</v>
      </c>
      <c r="C1119" t="s">
        <v>861</v>
      </c>
      <c r="D1119" t="s">
        <v>3839</v>
      </c>
      <c r="E1119" t="s">
        <v>3840</v>
      </c>
      <c r="F1119" t="s">
        <v>3841</v>
      </c>
      <c r="G1119" t="s">
        <v>3842</v>
      </c>
      <c r="H1119" t="str">
        <f>"048314"</f>
        <v>048314</v>
      </c>
      <c r="I1119" t="s">
        <v>833</v>
      </c>
      <c r="J1119" t="str">
        <f t="shared" ref="J1119:J1132" si="311">"2015-07-01 00:00:00.0"</f>
        <v>2015-07-01 00:00:00.0</v>
      </c>
      <c r="K1119" t="s">
        <v>834</v>
      </c>
      <c r="L1119" t="s">
        <v>0</v>
      </c>
      <c r="M1119" t="str">
        <f t="shared" si="310"/>
        <v>048314</v>
      </c>
      <c r="N1119">
        <v>1</v>
      </c>
      <c r="O1119">
        <v>1</v>
      </c>
      <c r="P1119" t="str">
        <f>"23"</f>
        <v>23</v>
      </c>
      <c r="Q1119" t="str">
        <f>"12"</f>
        <v>12</v>
      </c>
      <c r="R1119" t="str">
        <f>"6"</f>
        <v>6</v>
      </c>
      <c r="S1119" t="s">
        <v>836</v>
      </c>
      <c r="T1119" t="s">
        <v>836</v>
      </c>
      <c r="U1119" t="str">
        <f t="shared" si="308"/>
        <v>2500-12-31 00:00:00.0</v>
      </c>
      <c r="V1119" t="s">
        <v>837</v>
      </c>
      <c r="W1119" t="str">
        <f>"048314-004796-**-**"</f>
        <v>048314-004796-**-**</v>
      </c>
      <c r="X1119" t="s">
        <v>838</v>
      </c>
      <c r="Y1119">
        <v>1254.5</v>
      </c>
      <c r="Z1119">
        <v>1254.5</v>
      </c>
      <c r="AA1119" t="str">
        <f>"06/08/2016"</f>
        <v>06/08/2016</v>
      </c>
    </row>
    <row r="1120" spans="1:27" x14ac:dyDescent="0.3">
      <c r="A1120" t="str">
        <f t="shared" si="305"/>
        <v>048314</v>
      </c>
      <c r="B1120" t="str">
        <f t="shared" si="297"/>
        <v>004796</v>
      </c>
      <c r="C1120" t="s">
        <v>1066</v>
      </c>
      <c r="D1120" t="s">
        <v>3839</v>
      </c>
      <c r="E1120" t="s">
        <v>3840</v>
      </c>
      <c r="F1120" t="s">
        <v>3841</v>
      </c>
      <c r="G1120" t="s">
        <v>3842</v>
      </c>
      <c r="H1120" t="str">
        <f>"048314"</f>
        <v>048314</v>
      </c>
      <c r="I1120" t="s">
        <v>833</v>
      </c>
      <c r="J1120" t="str">
        <f t="shared" si="311"/>
        <v>2015-07-01 00:00:00.0</v>
      </c>
      <c r="K1120" t="s">
        <v>834</v>
      </c>
      <c r="L1120" t="s">
        <v>0</v>
      </c>
      <c r="M1120" t="str">
        <f t="shared" si="310"/>
        <v>048314</v>
      </c>
      <c r="N1120">
        <v>1</v>
      </c>
      <c r="O1120">
        <v>1</v>
      </c>
      <c r="P1120" t="str">
        <f>"11"</f>
        <v>11</v>
      </c>
      <c r="Q1120" t="str">
        <f>"12"</f>
        <v>12</v>
      </c>
      <c r="R1120" t="str">
        <f>"6"</f>
        <v>6</v>
      </c>
      <c r="S1120" t="s">
        <v>836</v>
      </c>
      <c r="T1120" t="s">
        <v>836</v>
      </c>
      <c r="U1120" t="str">
        <f t="shared" si="308"/>
        <v>2500-12-31 00:00:00.0</v>
      </c>
      <c r="V1120" t="s">
        <v>837</v>
      </c>
      <c r="W1120" t="str">
        <f>"048314-004796-**-**"</f>
        <v>048314-004796-**-**</v>
      </c>
      <c r="X1120" t="s">
        <v>838</v>
      </c>
      <c r="Y1120">
        <v>1254.5</v>
      </c>
      <c r="Z1120">
        <v>1254.5</v>
      </c>
      <c r="AA1120" t="str">
        <f>"06/08/2016"</f>
        <v>06/08/2016</v>
      </c>
    </row>
    <row r="1121" spans="1:27" x14ac:dyDescent="0.3">
      <c r="A1121" t="str">
        <f t="shared" si="305"/>
        <v>048314</v>
      </c>
      <c r="B1121" t="str">
        <f t="shared" si="297"/>
        <v>004796</v>
      </c>
      <c r="C1121" t="s">
        <v>2033</v>
      </c>
      <c r="D1121" t="s">
        <v>3839</v>
      </c>
      <c r="E1121" t="s">
        <v>3840</v>
      </c>
      <c r="F1121" t="s">
        <v>3841</v>
      </c>
      <c r="G1121" t="s">
        <v>3842</v>
      </c>
      <c r="H1121" t="str">
        <f>"048314"</f>
        <v>048314</v>
      </c>
      <c r="I1121" t="s">
        <v>833</v>
      </c>
      <c r="J1121" t="str">
        <f t="shared" si="311"/>
        <v>2015-07-01 00:00:00.0</v>
      </c>
      <c r="K1121" t="s">
        <v>834</v>
      </c>
      <c r="L1121" t="s">
        <v>0</v>
      </c>
      <c r="M1121" t="str">
        <f t="shared" si="310"/>
        <v>048314</v>
      </c>
      <c r="N1121">
        <v>1</v>
      </c>
      <c r="O1121">
        <v>1</v>
      </c>
      <c r="P1121" t="str">
        <f>"10"</f>
        <v>10</v>
      </c>
      <c r="Q1121" t="s">
        <v>835</v>
      </c>
      <c r="S1121" t="s">
        <v>836</v>
      </c>
      <c r="T1121" t="s">
        <v>836</v>
      </c>
      <c r="U1121" t="str">
        <f t="shared" si="308"/>
        <v>2500-12-31 00:00:00.0</v>
      </c>
      <c r="V1121" t="s">
        <v>837</v>
      </c>
      <c r="W1121" t="str">
        <f>"048314-004796-**-**"</f>
        <v>048314-004796-**-**</v>
      </c>
      <c r="X1121" t="s">
        <v>838</v>
      </c>
      <c r="Y1121">
        <v>1254.5</v>
      </c>
      <c r="Z1121">
        <v>1254.5</v>
      </c>
      <c r="AA1121" t="str">
        <f>"06/08/2016"</f>
        <v>06/08/2016</v>
      </c>
    </row>
    <row r="1122" spans="1:27" x14ac:dyDescent="0.3">
      <c r="A1122" t="str">
        <f t="shared" si="305"/>
        <v>048314</v>
      </c>
      <c r="B1122" t="str">
        <f t="shared" si="297"/>
        <v>004796</v>
      </c>
      <c r="C1122" t="s">
        <v>1756</v>
      </c>
      <c r="D1122" t="s">
        <v>3839</v>
      </c>
      <c r="E1122" t="s">
        <v>3840</v>
      </c>
      <c r="F1122" t="s">
        <v>3841</v>
      </c>
      <c r="G1122" t="s">
        <v>3842</v>
      </c>
      <c r="H1122" t="str">
        <f>"048314"</f>
        <v>048314</v>
      </c>
      <c r="I1122" t="s">
        <v>833</v>
      </c>
      <c r="J1122" t="str">
        <f t="shared" si="311"/>
        <v>2015-07-01 00:00:00.0</v>
      </c>
      <c r="K1122" t="s">
        <v>834</v>
      </c>
      <c r="L1122" t="s">
        <v>0</v>
      </c>
      <c r="M1122" t="str">
        <f t="shared" si="310"/>
        <v>048314</v>
      </c>
      <c r="N1122">
        <v>1</v>
      </c>
      <c r="O1122">
        <v>1</v>
      </c>
      <c r="P1122" t="str">
        <f>"11"</f>
        <v>11</v>
      </c>
      <c r="Q1122" t="s">
        <v>835</v>
      </c>
      <c r="S1122" t="s">
        <v>836</v>
      </c>
      <c r="T1122" t="s">
        <v>836</v>
      </c>
      <c r="U1122" t="str">
        <f t="shared" si="308"/>
        <v>2500-12-31 00:00:00.0</v>
      </c>
      <c r="V1122" t="s">
        <v>837</v>
      </c>
      <c r="W1122" t="str">
        <f>"048314-004796-**-**"</f>
        <v>048314-004796-**-**</v>
      </c>
      <c r="X1122" t="s">
        <v>838</v>
      </c>
      <c r="Y1122">
        <v>1254.5</v>
      </c>
      <c r="Z1122">
        <v>1254.5</v>
      </c>
      <c r="AA1122" t="str">
        <f>"06/08/2016"</f>
        <v>06/08/2016</v>
      </c>
    </row>
    <row r="1123" spans="1:27" x14ac:dyDescent="0.3">
      <c r="A1123" t="str">
        <f t="shared" si="305"/>
        <v>048314</v>
      </c>
      <c r="B1123" t="str">
        <f t="shared" si="297"/>
        <v>004796</v>
      </c>
      <c r="C1123" t="s">
        <v>1407</v>
      </c>
      <c r="D1123" t="s">
        <v>3839</v>
      </c>
      <c r="E1123" t="s">
        <v>3840</v>
      </c>
      <c r="F1123" t="s">
        <v>3841</v>
      </c>
      <c r="G1123" t="s">
        <v>3842</v>
      </c>
      <c r="H1123" t="str">
        <f>"048298"</f>
        <v>048298</v>
      </c>
      <c r="I1123" t="s">
        <v>833</v>
      </c>
      <c r="J1123" t="str">
        <f t="shared" si="311"/>
        <v>2015-07-01 00:00:00.0</v>
      </c>
      <c r="K1123" t="s">
        <v>834</v>
      </c>
      <c r="L1123" t="s">
        <v>1</v>
      </c>
      <c r="M1123" t="str">
        <f t="shared" si="310"/>
        <v>048314</v>
      </c>
      <c r="N1123">
        <v>1</v>
      </c>
      <c r="O1123">
        <v>1</v>
      </c>
      <c r="P1123" t="str">
        <f>"12"</f>
        <v>12</v>
      </c>
      <c r="Q1123" t="s">
        <v>835</v>
      </c>
      <c r="S1123" t="s">
        <v>836</v>
      </c>
      <c r="T1123" t="s">
        <v>836</v>
      </c>
      <c r="U1123" t="str">
        <f t="shared" si="308"/>
        <v>2500-12-31 00:00:00.0</v>
      </c>
      <c r="V1123" t="s">
        <v>837</v>
      </c>
      <c r="W1123" t="str">
        <f>"048298-011791-12-SN"</f>
        <v>048298-011791-12-SN</v>
      </c>
      <c r="X1123" t="s">
        <v>838</v>
      </c>
      <c r="Y1123">
        <v>1137.5</v>
      </c>
      <c r="Z1123">
        <v>1137.5</v>
      </c>
      <c r="AA1123" t="str">
        <f>"06/15/2016"</f>
        <v>06/15/2016</v>
      </c>
    </row>
    <row r="1124" spans="1:27" x14ac:dyDescent="0.3">
      <c r="A1124" t="str">
        <f t="shared" si="305"/>
        <v>048314</v>
      </c>
      <c r="B1124" t="str">
        <f t="shared" si="297"/>
        <v>004796</v>
      </c>
      <c r="C1124" t="s">
        <v>1196</v>
      </c>
      <c r="D1124" t="s">
        <v>3839</v>
      </c>
      <c r="E1124" t="s">
        <v>3840</v>
      </c>
      <c r="F1124" t="s">
        <v>3841</v>
      </c>
      <c r="G1124" t="s">
        <v>3842</v>
      </c>
      <c r="H1124" t="str">
        <f t="shared" ref="H1124:H1153" si="312">"048314"</f>
        <v>048314</v>
      </c>
      <c r="I1124" t="s">
        <v>833</v>
      </c>
      <c r="J1124" t="str">
        <f t="shared" si="311"/>
        <v>2015-07-01 00:00:00.0</v>
      </c>
      <c r="K1124" t="s">
        <v>834</v>
      </c>
      <c r="L1124" t="s">
        <v>0</v>
      </c>
      <c r="M1124" t="str">
        <f t="shared" si="310"/>
        <v>048314</v>
      </c>
      <c r="N1124">
        <v>1</v>
      </c>
      <c r="O1124">
        <v>1</v>
      </c>
      <c r="P1124" t="str">
        <f>"12"</f>
        <v>12</v>
      </c>
      <c r="Q1124" t="s">
        <v>835</v>
      </c>
      <c r="S1124" t="s">
        <v>836</v>
      </c>
      <c r="T1124" t="s">
        <v>836</v>
      </c>
      <c r="U1124" t="str">
        <f t="shared" si="308"/>
        <v>2500-12-31 00:00:00.0</v>
      </c>
      <c r="V1124" t="s">
        <v>837</v>
      </c>
      <c r="W1124" t="str">
        <f>"048314-004796-12-SE"</f>
        <v>048314-004796-12-SE</v>
      </c>
      <c r="X1124" t="s">
        <v>838</v>
      </c>
      <c r="Y1124">
        <v>1254.5</v>
      </c>
      <c r="Z1124">
        <v>1254.5</v>
      </c>
      <c r="AA1124" t="str">
        <f t="shared" ref="AA1124:AA1153" si="313">"06/08/2016"</f>
        <v>06/08/2016</v>
      </c>
    </row>
    <row r="1125" spans="1:27" x14ac:dyDescent="0.3">
      <c r="A1125" t="str">
        <f t="shared" si="305"/>
        <v>048314</v>
      </c>
      <c r="B1125" t="str">
        <f t="shared" si="297"/>
        <v>004796</v>
      </c>
      <c r="C1125" t="s">
        <v>1386</v>
      </c>
      <c r="D1125" t="s">
        <v>3839</v>
      </c>
      <c r="E1125" t="s">
        <v>3840</v>
      </c>
      <c r="F1125" t="s">
        <v>3841</v>
      </c>
      <c r="G1125" t="s">
        <v>3842</v>
      </c>
      <c r="H1125" t="str">
        <f t="shared" si="312"/>
        <v>048314</v>
      </c>
      <c r="I1125" t="s">
        <v>833</v>
      </c>
      <c r="J1125" t="str">
        <f t="shared" si="311"/>
        <v>2015-07-01 00:00:00.0</v>
      </c>
      <c r="K1125" t="s">
        <v>834</v>
      </c>
      <c r="L1125" t="s">
        <v>0</v>
      </c>
      <c r="M1125" t="str">
        <f t="shared" si="310"/>
        <v>048314</v>
      </c>
      <c r="N1125">
        <v>1</v>
      </c>
      <c r="O1125">
        <v>1</v>
      </c>
      <c r="P1125" t="str">
        <f>"11"</f>
        <v>11</v>
      </c>
      <c r="Q1125" t="s">
        <v>835</v>
      </c>
      <c r="S1125" t="s">
        <v>860</v>
      </c>
      <c r="T1125" t="s">
        <v>836</v>
      </c>
      <c r="U1125" t="str">
        <f t="shared" si="308"/>
        <v>2500-12-31 00:00:00.0</v>
      </c>
      <c r="V1125" t="s">
        <v>837</v>
      </c>
      <c r="W1125" t="str">
        <f>"048314-004796-**-**"</f>
        <v>048314-004796-**-**</v>
      </c>
      <c r="X1125" t="s">
        <v>838</v>
      </c>
      <c r="Y1125">
        <v>1254.5</v>
      </c>
      <c r="Z1125">
        <v>1254.5</v>
      </c>
      <c r="AA1125" t="str">
        <f t="shared" si="313"/>
        <v>06/08/2016</v>
      </c>
    </row>
    <row r="1126" spans="1:27" x14ac:dyDescent="0.3">
      <c r="A1126" t="str">
        <f t="shared" si="305"/>
        <v>048314</v>
      </c>
      <c r="B1126" t="str">
        <f t="shared" si="297"/>
        <v>004796</v>
      </c>
      <c r="C1126" t="s">
        <v>1668</v>
      </c>
      <c r="D1126" t="s">
        <v>3839</v>
      </c>
      <c r="E1126" t="s">
        <v>3840</v>
      </c>
      <c r="F1126" t="s">
        <v>3841</v>
      </c>
      <c r="G1126" t="s">
        <v>3842</v>
      </c>
      <c r="H1126" t="str">
        <f t="shared" si="312"/>
        <v>048314</v>
      </c>
      <c r="I1126" t="s">
        <v>833</v>
      </c>
      <c r="J1126" t="str">
        <f t="shared" si="311"/>
        <v>2015-07-01 00:00:00.0</v>
      </c>
      <c r="K1126" t="s">
        <v>834</v>
      </c>
      <c r="L1126" t="s">
        <v>0</v>
      </c>
      <c r="M1126" t="str">
        <f t="shared" si="310"/>
        <v>048314</v>
      </c>
      <c r="N1126">
        <v>1</v>
      </c>
      <c r="O1126">
        <v>1</v>
      </c>
      <c r="P1126" t="str">
        <f>"10"</f>
        <v>10</v>
      </c>
      <c r="Q1126" t="s">
        <v>835</v>
      </c>
      <c r="S1126" t="s">
        <v>836</v>
      </c>
      <c r="T1126" t="s">
        <v>836</v>
      </c>
      <c r="U1126" t="str">
        <f t="shared" si="308"/>
        <v>2500-12-31 00:00:00.0</v>
      </c>
      <c r="V1126" t="s">
        <v>837</v>
      </c>
      <c r="W1126" t="str">
        <f>"048314-004796-**-**"</f>
        <v>048314-004796-**-**</v>
      </c>
      <c r="X1126" t="s">
        <v>838</v>
      </c>
      <c r="Y1126">
        <v>1254.5</v>
      </c>
      <c r="Z1126">
        <v>1254.5</v>
      </c>
      <c r="AA1126" t="str">
        <f t="shared" si="313"/>
        <v>06/08/2016</v>
      </c>
    </row>
    <row r="1127" spans="1:27" x14ac:dyDescent="0.3">
      <c r="A1127" t="str">
        <f t="shared" si="305"/>
        <v>048314</v>
      </c>
      <c r="B1127" t="str">
        <f t="shared" si="297"/>
        <v>004796</v>
      </c>
      <c r="C1127" t="s">
        <v>1229</v>
      </c>
      <c r="D1127" t="s">
        <v>3839</v>
      </c>
      <c r="E1127" t="s">
        <v>3840</v>
      </c>
      <c r="F1127" t="s">
        <v>3841</v>
      </c>
      <c r="G1127" t="s">
        <v>3842</v>
      </c>
      <c r="H1127" t="str">
        <f t="shared" si="312"/>
        <v>048314</v>
      </c>
      <c r="I1127" t="s">
        <v>833</v>
      </c>
      <c r="J1127" t="str">
        <f t="shared" si="311"/>
        <v>2015-07-01 00:00:00.0</v>
      </c>
      <c r="K1127" t="s">
        <v>834</v>
      </c>
      <c r="L1127" t="s">
        <v>0</v>
      </c>
      <c r="M1127" t="str">
        <f t="shared" si="310"/>
        <v>048314</v>
      </c>
      <c r="N1127">
        <v>1</v>
      </c>
      <c r="O1127">
        <v>1</v>
      </c>
      <c r="P1127" t="str">
        <f>"12"</f>
        <v>12</v>
      </c>
      <c r="Q1127" t="s">
        <v>835</v>
      </c>
      <c r="S1127" t="s">
        <v>836</v>
      </c>
      <c r="T1127" t="s">
        <v>836</v>
      </c>
      <c r="U1127" t="str">
        <f t="shared" si="308"/>
        <v>2500-12-31 00:00:00.0</v>
      </c>
      <c r="V1127" t="s">
        <v>837</v>
      </c>
      <c r="W1127" t="str">
        <f>"048314-004796-12-SE"</f>
        <v>048314-004796-12-SE</v>
      </c>
      <c r="X1127" t="s">
        <v>838</v>
      </c>
      <c r="Y1127">
        <v>1254.5</v>
      </c>
      <c r="Z1127">
        <v>1254.5</v>
      </c>
      <c r="AA1127" t="str">
        <f t="shared" si="313"/>
        <v>06/08/2016</v>
      </c>
    </row>
    <row r="1128" spans="1:27" x14ac:dyDescent="0.3">
      <c r="A1128" t="str">
        <f t="shared" si="305"/>
        <v>048314</v>
      </c>
      <c r="B1128" t="str">
        <f t="shared" si="297"/>
        <v>004796</v>
      </c>
      <c r="C1128" t="s">
        <v>1609</v>
      </c>
      <c r="D1128" t="s">
        <v>3839</v>
      </c>
      <c r="E1128" t="s">
        <v>3840</v>
      </c>
      <c r="F1128" t="s">
        <v>3841</v>
      </c>
      <c r="G1128" t="s">
        <v>3842</v>
      </c>
      <c r="H1128" t="str">
        <f t="shared" si="312"/>
        <v>048314</v>
      </c>
      <c r="I1128" t="s">
        <v>833</v>
      </c>
      <c r="J1128" t="str">
        <f t="shared" si="311"/>
        <v>2015-07-01 00:00:00.0</v>
      </c>
      <c r="K1128" t="s">
        <v>834</v>
      </c>
      <c r="L1128" t="s">
        <v>0</v>
      </c>
      <c r="M1128" t="str">
        <f t="shared" si="310"/>
        <v>048314</v>
      </c>
      <c r="N1128">
        <v>1</v>
      </c>
      <c r="O1128">
        <v>1</v>
      </c>
      <c r="P1128" t="str">
        <f>"10"</f>
        <v>10</v>
      </c>
      <c r="Q1128" t="s">
        <v>835</v>
      </c>
      <c r="S1128" t="s">
        <v>836</v>
      </c>
      <c r="T1128" t="s">
        <v>836</v>
      </c>
      <c r="U1128" t="str">
        <f t="shared" si="308"/>
        <v>2500-12-31 00:00:00.0</v>
      </c>
      <c r="V1128" t="s">
        <v>837</v>
      </c>
      <c r="W1128" t="str">
        <f t="shared" ref="W1128:W1134" si="314">"048314-004796-**-**"</f>
        <v>048314-004796-**-**</v>
      </c>
      <c r="X1128" t="s">
        <v>838</v>
      </c>
      <c r="Y1128">
        <v>1254.5</v>
      </c>
      <c r="Z1128">
        <v>1254.5</v>
      </c>
      <c r="AA1128" t="str">
        <f t="shared" si="313"/>
        <v>06/08/2016</v>
      </c>
    </row>
    <row r="1129" spans="1:27" x14ac:dyDescent="0.3">
      <c r="A1129" t="str">
        <f t="shared" si="305"/>
        <v>048314</v>
      </c>
      <c r="B1129" t="str">
        <f t="shared" si="297"/>
        <v>004796</v>
      </c>
      <c r="C1129" t="s">
        <v>1434</v>
      </c>
      <c r="D1129" t="s">
        <v>3839</v>
      </c>
      <c r="E1129" t="s">
        <v>3840</v>
      </c>
      <c r="F1129" t="s">
        <v>3841</v>
      </c>
      <c r="G1129" t="s">
        <v>3842</v>
      </c>
      <c r="H1129" t="str">
        <f t="shared" si="312"/>
        <v>048314</v>
      </c>
      <c r="I1129" t="s">
        <v>833</v>
      </c>
      <c r="J1129" t="str">
        <f t="shared" si="311"/>
        <v>2015-07-01 00:00:00.0</v>
      </c>
      <c r="K1129" t="s">
        <v>834</v>
      </c>
      <c r="L1129" t="s">
        <v>0</v>
      </c>
      <c r="M1129" t="str">
        <f t="shared" si="310"/>
        <v>048314</v>
      </c>
      <c r="N1129">
        <v>1</v>
      </c>
      <c r="O1129">
        <v>1</v>
      </c>
      <c r="P1129" t="str">
        <f>"11"</f>
        <v>11</v>
      </c>
      <c r="Q1129" t="s">
        <v>835</v>
      </c>
      <c r="S1129" t="s">
        <v>836</v>
      </c>
      <c r="T1129" t="s">
        <v>836</v>
      </c>
      <c r="U1129" t="str">
        <f t="shared" si="308"/>
        <v>2500-12-31 00:00:00.0</v>
      </c>
      <c r="V1129" t="s">
        <v>837</v>
      </c>
      <c r="W1129" t="str">
        <f t="shared" si="314"/>
        <v>048314-004796-**-**</v>
      </c>
      <c r="X1129" t="s">
        <v>838</v>
      </c>
      <c r="Y1129">
        <v>1254.5</v>
      </c>
      <c r="Z1129">
        <v>1254.5</v>
      </c>
      <c r="AA1129" t="str">
        <f t="shared" si="313"/>
        <v>06/08/2016</v>
      </c>
    </row>
    <row r="1130" spans="1:27" x14ac:dyDescent="0.3">
      <c r="A1130" t="str">
        <f t="shared" si="305"/>
        <v>048314</v>
      </c>
      <c r="B1130" t="str">
        <f t="shared" si="297"/>
        <v>004796</v>
      </c>
      <c r="C1130" t="s">
        <v>1796</v>
      </c>
      <c r="D1130" t="s">
        <v>3839</v>
      </c>
      <c r="E1130" t="s">
        <v>3840</v>
      </c>
      <c r="F1130" t="s">
        <v>3841</v>
      </c>
      <c r="G1130" t="s">
        <v>3842</v>
      </c>
      <c r="H1130" t="str">
        <f t="shared" si="312"/>
        <v>048314</v>
      </c>
      <c r="I1130" t="s">
        <v>833</v>
      </c>
      <c r="J1130" t="str">
        <f t="shared" si="311"/>
        <v>2015-07-01 00:00:00.0</v>
      </c>
      <c r="K1130" t="s">
        <v>834</v>
      </c>
      <c r="L1130" t="s">
        <v>0</v>
      </c>
      <c r="M1130" t="str">
        <f t="shared" si="310"/>
        <v>048314</v>
      </c>
      <c r="N1130">
        <v>1</v>
      </c>
      <c r="O1130">
        <v>1</v>
      </c>
      <c r="P1130" t="str">
        <f>"11"</f>
        <v>11</v>
      </c>
      <c r="Q1130" t="s">
        <v>835</v>
      </c>
      <c r="S1130" t="s">
        <v>836</v>
      </c>
      <c r="T1130" t="s">
        <v>836</v>
      </c>
      <c r="U1130" t="str">
        <f t="shared" si="308"/>
        <v>2500-12-31 00:00:00.0</v>
      </c>
      <c r="V1130" t="s">
        <v>837</v>
      </c>
      <c r="W1130" t="str">
        <f t="shared" si="314"/>
        <v>048314-004796-**-**</v>
      </c>
      <c r="X1130" t="s">
        <v>838</v>
      </c>
      <c r="Y1130">
        <v>1254.5</v>
      </c>
      <c r="Z1130">
        <v>1254.5</v>
      </c>
      <c r="AA1130" t="str">
        <f t="shared" si="313"/>
        <v>06/08/2016</v>
      </c>
    </row>
    <row r="1131" spans="1:27" x14ac:dyDescent="0.3">
      <c r="A1131" t="str">
        <f t="shared" si="305"/>
        <v>048314</v>
      </c>
      <c r="B1131" t="str">
        <f t="shared" si="297"/>
        <v>004796</v>
      </c>
      <c r="C1131" t="s">
        <v>1387</v>
      </c>
      <c r="D1131" t="s">
        <v>3839</v>
      </c>
      <c r="E1131" t="s">
        <v>3840</v>
      </c>
      <c r="F1131" t="s">
        <v>3841</v>
      </c>
      <c r="G1131" t="s">
        <v>3842</v>
      </c>
      <c r="H1131" t="str">
        <f t="shared" si="312"/>
        <v>048314</v>
      </c>
      <c r="I1131" t="s">
        <v>833</v>
      </c>
      <c r="J1131" t="str">
        <f t="shared" si="311"/>
        <v>2015-07-01 00:00:00.0</v>
      </c>
      <c r="K1131" t="s">
        <v>834</v>
      </c>
      <c r="L1131" t="s">
        <v>0</v>
      </c>
      <c r="M1131" t="str">
        <f t="shared" si="310"/>
        <v>048314</v>
      </c>
      <c r="N1131">
        <v>1</v>
      </c>
      <c r="O1131">
        <v>1</v>
      </c>
      <c r="P1131" t="str">
        <f>"11"</f>
        <v>11</v>
      </c>
      <c r="Q1131" t="s">
        <v>835</v>
      </c>
      <c r="S1131" t="s">
        <v>836</v>
      </c>
      <c r="T1131" t="s">
        <v>836</v>
      </c>
      <c r="U1131" t="str">
        <f t="shared" si="308"/>
        <v>2500-12-31 00:00:00.0</v>
      </c>
      <c r="V1131" t="s">
        <v>837</v>
      </c>
      <c r="W1131" t="str">
        <f t="shared" si="314"/>
        <v>048314-004796-**-**</v>
      </c>
      <c r="X1131" t="s">
        <v>838</v>
      </c>
      <c r="Y1131">
        <v>1254.5</v>
      </c>
      <c r="Z1131">
        <v>1254.5</v>
      </c>
      <c r="AA1131" t="str">
        <f t="shared" si="313"/>
        <v>06/08/2016</v>
      </c>
    </row>
    <row r="1132" spans="1:27" x14ac:dyDescent="0.3">
      <c r="A1132" t="str">
        <f t="shared" si="305"/>
        <v>048314</v>
      </c>
      <c r="B1132" t="str">
        <f t="shared" si="297"/>
        <v>004796</v>
      </c>
      <c r="C1132" t="s">
        <v>1669</v>
      </c>
      <c r="D1132" t="s">
        <v>3839</v>
      </c>
      <c r="E1132" t="s">
        <v>3840</v>
      </c>
      <c r="F1132" t="s">
        <v>3841</v>
      </c>
      <c r="G1132" t="s">
        <v>3842</v>
      </c>
      <c r="H1132" t="str">
        <f t="shared" si="312"/>
        <v>048314</v>
      </c>
      <c r="I1132" t="s">
        <v>833</v>
      </c>
      <c r="J1132" t="str">
        <f t="shared" si="311"/>
        <v>2015-07-01 00:00:00.0</v>
      </c>
      <c r="K1132" t="s">
        <v>834</v>
      </c>
      <c r="L1132" t="s">
        <v>0</v>
      </c>
      <c r="M1132" t="str">
        <f t="shared" si="310"/>
        <v>048314</v>
      </c>
      <c r="N1132">
        <v>0.22797899999999999</v>
      </c>
      <c r="O1132">
        <v>0.22797899999999999</v>
      </c>
      <c r="P1132" t="str">
        <f>"10"</f>
        <v>10</v>
      </c>
      <c r="Q1132" t="s">
        <v>835</v>
      </c>
      <c r="S1132" t="s">
        <v>860</v>
      </c>
      <c r="T1132" t="s">
        <v>836</v>
      </c>
      <c r="U1132" t="str">
        <f>"2015-11-01 00:00:00.0"</f>
        <v>2015-11-01 00:00:00.0</v>
      </c>
      <c r="V1132" t="s">
        <v>837</v>
      </c>
      <c r="W1132" t="str">
        <f t="shared" si="314"/>
        <v>048314-004796-**-**</v>
      </c>
      <c r="X1132" t="s">
        <v>838</v>
      </c>
      <c r="Y1132">
        <v>286</v>
      </c>
      <c r="Z1132">
        <v>1254.5</v>
      </c>
      <c r="AA1132" t="str">
        <f t="shared" si="313"/>
        <v>06/08/2016</v>
      </c>
    </row>
    <row r="1133" spans="1:27" x14ac:dyDescent="0.3">
      <c r="A1133" t="str">
        <f t="shared" si="305"/>
        <v>048314</v>
      </c>
      <c r="B1133" t="str">
        <f t="shared" ref="B1133:B1196" si="315">"004796"</f>
        <v>004796</v>
      </c>
      <c r="C1133" t="s">
        <v>1669</v>
      </c>
      <c r="D1133" t="s">
        <v>3839</v>
      </c>
      <c r="E1133" t="s">
        <v>3840</v>
      </c>
      <c r="F1133" t="s">
        <v>3841</v>
      </c>
      <c r="G1133" t="s">
        <v>3842</v>
      </c>
      <c r="H1133" t="str">
        <f t="shared" si="312"/>
        <v>048314</v>
      </c>
      <c r="I1133" t="s">
        <v>833</v>
      </c>
      <c r="J1133" t="str">
        <f>"2015-11-02 00:00:00.0"</f>
        <v>2015-11-02 00:00:00.0</v>
      </c>
      <c r="K1133" t="s">
        <v>834</v>
      </c>
      <c r="L1133" t="s">
        <v>0</v>
      </c>
      <c r="M1133" t="str">
        <f t="shared" si="310"/>
        <v>048314</v>
      </c>
      <c r="N1133">
        <v>0.77202099999999996</v>
      </c>
      <c r="O1133">
        <v>0.77202099999999996</v>
      </c>
      <c r="P1133" t="str">
        <f>"10"</f>
        <v>10</v>
      </c>
      <c r="Q1133" t="s">
        <v>835</v>
      </c>
      <c r="S1133" t="s">
        <v>860</v>
      </c>
      <c r="T1133" t="s">
        <v>836</v>
      </c>
      <c r="U1133" t="str">
        <f t="shared" ref="U1133:U1185" si="316">"2500-12-31 00:00:00.0"</f>
        <v>2500-12-31 00:00:00.0</v>
      </c>
      <c r="V1133" t="s">
        <v>837</v>
      </c>
      <c r="W1133" t="str">
        <f t="shared" si="314"/>
        <v>048314-004796-**-**</v>
      </c>
      <c r="X1133" t="s">
        <v>838</v>
      </c>
      <c r="Y1133">
        <v>968.5</v>
      </c>
      <c r="Z1133">
        <v>1254.5</v>
      </c>
      <c r="AA1133" t="str">
        <f t="shared" si="313"/>
        <v>06/08/2016</v>
      </c>
    </row>
    <row r="1134" spans="1:27" x14ac:dyDescent="0.3">
      <c r="A1134" t="str">
        <f t="shared" si="305"/>
        <v>048314</v>
      </c>
      <c r="B1134" t="str">
        <f t="shared" si="315"/>
        <v>004796</v>
      </c>
      <c r="C1134" t="s">
        <v>1795</v>
      </c>
      <c r="D1134" t="s">
        <v>3839</v>
      </c>
      <c r="E1134" t="s">
        <v>3840</v>
      </c>
      <c r="F1134" t="s">
        <v>3841</v>
      </c>
      <c r="G1134" t="s">
        <v>3842</v>
      </c>
      <c r="H1134" t="str">
        <f t="shared" si="312"/>
        <v>048314</v>
      </c>
      <c r="I1134" t="s">
        <v>833</v>
      </c>
      <c r="J1134" t="str">
        <f t="shared" ref="J1134:J1146" si="317">"2015-07-01 00:00:00.0"</f>
        <v>2015-07-01 00:00:00.0</v>
      </c>
      <c r="K1134" t="s">
        <v>834</v>
      </c>
      <c r="L1134" t="s">
        <v>0</v>
      </c>
      <c r="M1134" t="str">
        <f t="shared" si="310"/>
        <v>048314</v>
      </c>
      <c r="N1134">
        <v>1</v>
      </c>
      <c r="O1134">
        <v>1</v>
      </c>
      <c r="P1134" t="str">
        <f>"11"</f>
        <v>11</v>
      </c>
      <c r="Q1134" t="s">
        <v>835</v>
      </c>
      <c r="S1134" t="s">
        <v>836</v>
      </c>
      <c r="T1134" t="s">
        <v>836</v>
      </c>
      <c r="U1134" t="str">
        <f t="shared" si="316"/>
        <v>2500-12-31 00:00:00.0</v>
      </c>
      <c r="V1134" t="s">
        <v>837</v>
      </c>
      <c r="W1134" t="str">
        <f t="shared" si="314"/>
        <v>048314-004796-**-**</v>
      </c>
      <c r="X1134" t="s">
        <v>838</v>
      </c>
      <c r="Y1134">
        <v>1254.5</v>
      </c>
      <c r="Z1134">
        <v>1254.5</v>
      </c>
      <c r="AA1134" t="str">
        <f t="shared" si="313"/>
        <v>06/08/2016</v>
      </c>
    </row>
    <row r="1135" spans="1:27" x14ac:dyDescent="0.3">
      <c r="A1135" t="str">
        <f t="shared" si="305"/>
        <v>048314</v>
      </c>
      <c r="B1135" t="str">
        <f t="shared" si="315"/>
        <v>004796</v>
      </c>
      <c r="C1135" t="s">
        <v>1148</v>
      </c>
      <c r="D1135" t="s">
        <v>3839</v>
      </c>
      <c r="E1135" t="s">
        <v>3840</v>
      </c>
      <c r="F1135" t="s">
        <v>3841</v>
      </c>
      <c r="G1135" t="s">
        <v>3842</v>
      </c>
      <c r="H1135" t="str">
        <f t="shared" si="312"/>
        <v>048314</v>
      </c>
      <c r="I1135" t="s">
        <v>833</v>
      </c>
      <c r="J1135" t="str">
        <f t="shared" si="317"/>
        <v>2015-07-01 00:00:00.0</v>
      </c>
      <c r="K1135" t="s">
        <v>834</v>
      </c>
      <c r="L1135" t="s">
        <v>0</v>
      </c>
      <c r="M1135" t="str">
        <f t="shared" si="310"/>
        <v>048314</v>
      </c>
      <c r="N1135">
        <v>1</v>
      </c>
      <c r="O1135">
        <v>1</v>
      </c>
      <c r="P1135" t="str">
        <f>"12"</f>
        <v>12</v>
      </c>
      <c r="Q1135" t="s">
        <v>835</v>
      </c>
      <c r="S1135" t="s">
        <v>836</v>
      </c>
      <c r="T1135" t="s">
        <v>836</v>
      </c>
      <c r="U1135" t="str">
        <f t="shared" si="316"/>
        <v>2500-12-31 00:00:00.0</v>
      </c>
      <c r="V1135" t="s">
        <v>837</v>
      </c>
      <c r="W1135" t="str">
        <f>"048314-004796-12-SE"</f>
        <v>048314-004796-12-SE</v>
      </c>
      <c r="X1135" t="s">
        <v>838</v>
      </c>
      <c r="Y1135">
        <v>1254.5</v>
      </c>
      <c r="Z1135">
        <v>1254.5</v>
      </c>
      <c r="AA1135" t="str">
        <f t="shared" si="313"/>
        <v>06/08/2016</v>
      </c>
    </row>
    <row r="1136" spans="1:27" x14ac:dyDescent="0.3">
      <c r="A1136" t="str">
        <f t="shared" si="305"/>
        <v>048314</v>
      </c>
      <c r="B1136" t="str">
        <f t="shared" si="315"/>
        <v>004796</v>
      </c>
      <c r="C1136" t="s">
        <v>2068</v>
      </c>
      <c r="D1136" t="s">
        <v>3839</v>
      </c>
      <c r="E1136" t="s">
        <v>3840</v>
      </c>
      <c r="F1136" t="s">
        <v>3841</v>
      </c>
      <c r="G1136" t="s">
        <v>3842</v>
      </c>
      <c r="H1136" t="str">
        <f t="shared" si="312"/>
        <v>048314</v>
      </c>
      <c r="I1136" t="s">
        <v>833</v>
      </c>
      <c r="J1136" t="str">
        <f t="shared" si="317"/>
        <v>2015-07-01 00:00:00.0</v>
      </c>
      <c r="K1136" t="s">
        <v>834</v>
      </c>
      <c r="L1136" t="s">
        <v>0</v>
      </c>
      <c r="M1136" t="str">
        <f t="shared" si="310"/>
        <v>048314</v>
      </c>
      <c r="N1136">
        <v>1</v>
      </c>
      <c r="O1136">
        <v>1</v>
      </c>
      <c r="P1136" t="str">
        <f>"12"</f>
        <v>12</v>
      </c>
      <c r="Q1136" t="s">
        <v>835</v>
      </c>
      <c r="S1136" t="s">
        <v>836</v>
      </c>
      <c r="T1136" t="s">
        <v>836</v>
      </c>
      <c r="U1136" t="str">
        <f t="shared" si="316"/>
        <v>2500-12-31 00:00:00.0</v>
      </c>
      <c r="V1136" t="s">
        <v>837</v>
      </c>
      <c r="W1136" t="str">
        <f>"048314-004796-12-SE"</f>
        <v>048314-004796-12-SE</v>
      </c>
      <c r="X1136" t="s">
        <v>838</v>
      </c>
      <c r="Y1136">
        <v>1254.5</v>
      </c>
      <c r="Z1136">
        <v>1254.5</v>
      </c>
      <c r="AA1136" t="str">
        <f t="shared" si="313"/>
        <v>06/08/2016</v>
      </c>
    </row>
    <row r="1137" spans="1:27" x14ac:dyDescent="0.3">
      <c r="A1137" t="str">
        <f t="shared" si="305"/>
        <v>048314</v>
      </c>
      <c r="B1137" t="str">
        <f t="shared" si="315"/>
        <v>004796</v>
      </c>
      <c r="C1137" t="s">
        <v>1149</v>
      </c>
      <c r="D1137" t="s">
        <v>3839</v>
      </c>
      <c r="E1137" t="s">
        <v>3840</v>
      </c>
      <c r="F1137" t="s">
        <v>3841</v>
      </c>
      <c r="G1137" t="s">
        <v>3842</v>
      </c>
      <c r="H1137" t="str">
        <f t="shared" si="312"/>
        <v>048314</v>
      </c>
      <c r="I1137" t="s">
        <v>833</v>
      </c>
      <c r="J1137" t="str">
        <f t="shared" si="317"/>
        <v>2015-07-01 00:00:00.0</v>
      </c>
      <c r="K1137" t="s">
        <v>834</v>
      </c>
      <c r="L1137" t="s">
        <v>0</v>
      </c>
      <c r="M1137" t="str">
        <f t="shared" si="310"/>
        <v>048314</v>
      </c>
      <c r="N1137">
        <v>1</v>
      </c>
      <c r="O1137">
        <v>1</v>
      </c>
      <c r="P1137" t="str">
        <f>"11"</f>
        <v>11</v>
      </c>
      <c r="Q1137" t="s">
        <v>835</v>
      </c>
      <c r="S1137" t="s">
        <v>836</v>
      </c>
      <c r="T1137" t="s">
        <v>836</v>
      </c>
      <c r="U1137" t="str">
        <f t="shared" si="316"/>
        <v>2500-12-31 00:00:00.0</v>
      </c>
      <c r="V1137" t="s">
        <v>837</v>
      </c>
      <c r="W1137" t="str">
        <f>"048314-004796-**-**"</f>
        <v>048314-004796-**-**</v>
      </c>
      <c r="X1137" t="s">
        <v>838</v>
      </c>
      <c r="Y1137">
        <v>1254.5</v>
      </c>
      <c r="Z1137">
        <v>1254.5</v>
      </c>
      <c r="AA1137" t="str">
        <f t="shared" si="313"/>
        <v>06/08/2016</v>
      </c>
    </row>
    <row r="1138" spans="1:27" x14ac:dyDescent="0.3">
      <c r="A1138" t="str">
        <f t="shared" si="305"/>
        <v>048314</v>
      </c>
      <c r="B1138" t="str">
        <f t="shared" si="315"/>
        <v>004796</v>
      </c>
      <c r="C1138" t="s">
        <v>1426</v>
      </c>
      <c r="D1138" t="s">
        <v>3839</v>
      </c>
      <c r="E1138" t="s">
        <v>3840</v>
      </c>
      <c r="F1138" t="s">
        <v>3841</v>
      </c>
      <c r="G1138" t="s">
        <v>3842</v>
      </c>
      <c r="H1138" t="str">
        <f t="shared" si="312"/>
        <v>048314</v>
      </c>
      <c r="I1138" t="s">
        <v>833</v>
      </c>
      <c r="J1138" t="str">
        <f t="shared" si="317"/>
        <v>2015-07-01 00:00:00.0</v>
      </c>
      <c r="K1138" t="s">
        <v>834</v>
      </c>
      <c r="L1138" t="s">
        <v>0</v>
      </c>
      <c r="M1138" t="str">
        <f t="shared" si="310"/>
        <v>048314</v>
      </c>
      <c r="N1138">
        <v>1</v>
      </c>
      <c r="O1138">
        <v>1</v>
      </c>
      <c r="P1138" t="str">
        <f>"12"</f>
        <v>12</v>
      </c>
      <c r="Q1138" t="s">
        <v>835</v>
      </c>
      <c r="S1138" t="s">
        <v>836</v>
      </c>
      <c r="T1138" t="s">
        <v>836</v>
      </c>
      <c r="U1138" t="str">
        <f t="shared" si="316"/>
        <v>2500-12-31 00:00:00.0</v>
      </c>
      <c r="V1138" t="s">
        <v>837</v>
      </c>
      <c r="W1138" t="str">
        <f>"048314-004796-12-SE"</f>
        <v>048314-004796-12-SE</v>
      </c>
      <c r="X1138" t="s">
        <v>838</v>
      </c>
      <c r="Y1138">
        <v>1254.5</v>
      </c>
      <c r="Z1138">
        <v>1254.5</v>
      </c>
      <c r="AA1138" t="str">
        <f t="shared" si="313"/>
        <v>06/08/2016</v>
      </c>
    </row>
    <row r="1139" spans="1:27" x14ac:dyDescent="0.3">
      <c r="A1139" t="str">
        <f t="shared" si="305"/>
        <v>048314</v>
      </c>
      <c r="B1139" t="str">
        <f t="shared" si="315"/>
        <v>004796</v>
      </c>
      <c r="C1139" t="s">
        <v>1197</v>
      </c>
      <c r="D1139" t="s">
        <v>3839</v>
      </c>
      <c r="E1139" t="s">
        <v>3840</v>
      </c>
      <c r="F1139" t="s">
        <v>3841</v>
      </c>
      <c r="G1139" t="s">
        <v>3842</v>
      </c>
      <c r="H1139" t="str">
        <f t="shared" si="312"/>
        <v>048314</v>
      </c>
      <c r="I1139" t="s">
        <v>833</v>
      </c>
      <c r="J1139" t="str">
        <f t="shared" si="317"/>
        <v>2015-07-01 00:00:00.0</v>
      </c>
      <c r="K1139" t="s">
        <v>834</v>
      </c>
      <c r="L1139" t="s">
        <v>0</v>
      </c>
      <c r="M1139" t="str">
        <f t="shared" si="310"/>
        <v>048314</v>
      </c>
      <c r="N1139">
        <v>1</v>
      </c>
      <c r="O1139">
        <v>1</v>
      </c>
      <c r="P1139" t="str">
        <f>"12"</f>
        <v>12</v>
      </c>
      <c r="Q1139" t="s">
        <v>835</v>
      </c>
      <c r="S1139" t="s">
        <v>836</v>
      </c>
      <c r="T1139" t="s">
        <v>836</v>
      </c>
      <c r="U1139" t="str">
        <f t="shared" si="316"/>
        <v>2500-12-31 00:00:00.0</v>
      </c>
      <c r="V1139" t="s">
        <v>837</v>
      </c>
      <c r="W1139" t="str">
        <f>"048314-004796-12-SE"</f>
        <v>048314-004796-12-SE</v>
      </c>
      <c r="X1139" t="s">
        <v>838</v>
      </c>
      <c r="Y1139">
        <v>1254.5</v>
      </c>
      <c r="Z1139">
        <v>1254.5</v>
      </c>
      <c r="AA1139" t="str">
        <f t="shared" si="313"/>
        <v>06/08/2016</v>
      </c>
    </row>
    <row r="1140" spans="1:27" x14ac:dyDescent="0.3">
      <c r="A1140" t="str">
        <f t="shared" si="305"/>
        <v>048314</v>
      </c>
      <c r="B1140" t="str">
        <f t="shared" si="315"/>
        <v>004796</v>
      </c>
      <c r="C1140" t="s">
        <v>1800</v>
      </c>
      <c r="D1140" t="s">
        <v>3839</v>
      </c>
      <c r="E1140" t="s">
        <v>3840</v>
      </c>
      <c r="F1140" t="s">
        <v>3841</v>
      </c>
      <c r="G1140" t="s">
        <v>3842</v>
      </c>
      <c r="H1140" t="str">
        <f t="shared" si="312"/>
        <v>048314</v>
      </c>
      <c r="I1140" t="s">
        <v>833</v>
      </c>
      <c r="J1140" t="str">
        <f t="shared" si="317"/>
        <v>2015-07-01 00:00:00.0</v>
      </c>
      <c r="K1140" t="s">
        <v>834</v>
      </c>
      <c r="L1140" t="s">
        <v>0</v>
      </c>
      <c r="M1140" t="str">
        <f t="shared" si="310"/>
        <v>048314</v>
      </c>
      <c r="N1140">
        <v>1</v>
      </c>
      <c r="O1140">
        <v>1</v>
      </c>
      <c r="P1140" t="str">
        <f>"10"</f>
        <v>10</v>
      </c>
      <c r="Q1140" t="s">
        <v>835</v>
      </c>
      <c r="S1140" t="s">
        <v>836</v>
      </c>
      <c r="T1140" t="s">
        <v>836</v>
      </c>
      <c r="U1140" t="str">
        <f t="shared" si="316"/>
        <v>2500-12-31 00:00:00.0</v>
      </c>
      <c r="V1140" t="s">
        <v>837</v>
      </c>
      <c r="W1140" t="str">
        <f>"048314-004796-**-**"</f>
        <v>048314-004796-**-**</v>
      </c>
      <c r="X1140" t="s">
        <v>838</v>
      </c>
      <c r="Y1140">
        <v>1254.5</v>
      </c>
      <c r="Z1140">
        <v>1254.5</v>
      </c>
      <c r="AA1140" t="str">
        <f t="shared" si="313"/>
        <v>06/08/2016</v>
      </c>
    </row>
    <row r="1141" spans="1:27" x14ac:dyDescent="0.3">
      <c r="A1141" t="str">
        <f t="shared" si="305"/>
        <v>048314</v>
      </c>
      <c r="B1141" t="str">
        <f t="shared" si="315"/>
        <v>004796</v>
      </c>
      <c r="C1141" t="s">
        <v>2069</v>
      </c>
      <c r="D1141" t="s">
        <v>3839</v>
      </c>
      <c r="E1141" t="s">
        <v>3840</v>
      </c>
      <c r="F1141" t="s">
        <v>3841</v>
      </c>
      <c r="G1141" t="s">
        <v>3842</v>
      </c>
      <c r="H1141" t="str">
        <f t="shared" si="312"/>
        <v>048314</v>
      </c>
      <c r="I1141" t="s">
        <v>833</v>
      </c>
      <c r="J1141" t="str">
        <f t="shared" si="317"/>
        <v>2015-07-01 00:00:00.0</v>
      </c>
      <c r="K1141" t="s">
        <v>834</v>
      </c>
      <c r="L1141" t="s">
        <v>0</v>
      </c>
      <c r="M1141" t="str">
        <f t="shared" si="310"/>
        <v>048314</v>
      </c>
      <c r="N1141">
        <v>1</v>
      </c>
      <c r="O1141">
        <v>1</v>
      </c>
      <c r="P1141" t="str">
        <f>"11"</f>
        <v>11</v>
      </c>
      <c r="Q1141" t="s">
        <v>835</v>
      </c>
      <c r="S1141" t="s">
        <v>836</v>
      </c>
      <c r="T1141" t="s">
        <v>836</v>
      </c>
      <c r="U1141" t="str">
        <f t="shared" si="316"/>
        <v>2500-12-31 00:00:00.0</v>
      </c>
      <c r="V1141" t="s">
        <v>837</v>
      </c>
      <c r="W1141" t="str">
        <f>"048314-004796-**-**"</f>
        <v>048314-004796-**-**</v>
      </c>
      <c r="X1141" t="s">
        <v>838</v>
      </c>
      <c r="Y1141">
        <v>1254.5</v>
      </c>
      <c r="Z1141">
        <v>1254.5</v>
      </c>
      <c r="AA1141" t="str">
        <f t="shared" si="313"/>
        <v>06/08/2016</v>
      </c>
    </row>
    <row r="1142" spans="1:27" x14ac:dyDescent="0.3">
      <c r="A1142" t="str">
        <f t="shared" si="305"/>
        <v>048314</v>
      </c>
      <c r="B1142" t="str">
        <f t="shared" si="315"/>
        <v>004796</v>
      </c>
      <c r="C1142" t="s">
        <v>2216</v>
      </c>
      <c r="D1142" t="s">
        <v>3839</v>
      </c>
      <c r="E1142" t="s">
        <v>3840</v>
      </c>
      <c r="F1142" t="s">
        <v>3841</v>
      </c>
      <c r="G1142" t="s">
        <v>3842</v>
      </c>
      <c r="H1142" t="str">
        <f t="shared" si="312"/>
        <v>048314</v>
      </c>
      <c r="I1142" t="s">
        <v>833</v>
      </c>
      <c r="J1142" t="str">
        <f t="shared" si="317"/>
        <v>2015-07-01 00:00:00.0</v>
      </c>
      <c r="K1142" t="s">
        <v>834</v>
      </c>
      <c r="L1142" t="s">
        <v>0</v>
      </c>
      <c r="M1142" t="str">
        <f t="shared" si="310"/>
        <v>048314</v>
      </c>
      <c r="N1142">
        <v>1</v>
      </c>
      <c r="O1142">
        <v>1</v>
      </c>
      <c r="P1142" t="str">
        <f>"11"</f>
        <v>11</v>
      </c>
      <c r="Q1142" t="s">
        <v>835</v>
      </c>
      <c r="S1142" t="s">
        <v>836</v>
      </c>
      <c r="T1142" t="s">
        <v>836</v>
      </c>
      <c r="U1142" t="str">
        <f t="shared" si="316"/>
        <v>2500-12-31 00:00:00.0</v>
      </c>
      <c r="V1142" t="s">
        <v>837</v>
      </c>
      <c r="W1142" t="str">
        <f>"048314-004796-**-**"</f>
        <v>048314-004796-**-**</v>
      </c>
      <c r="X1142" t="s">
        <v>838</v>
      </c>
      <c r="Y1142">
        <v>1254.5</v>
      </c>
      <c r="Z1142">
        <v>1254.5</v>
      </c>
      <c r="AA1142" t="str">
        <f t="shared" si="313"/>
        <v>06/08/2016</v>
      </c>
    </row>
    <row r="1143" spans="1:27" x14ac:dyDescent="0.3">
      <c r="A1143" t="str">
        <f t="shared" si="305"/>
        <v>048314</v>
      </c>
      <c r="B1143" t="str">
        <f t="shared" si="315"/>
        <v>004796</v>
      </c>
      <c r="C1143" t="s">
        <v>1670</v>
      </c>
      <c r="D1143" t="s">
        <v>3839</v>
      </c>
      <c r="E1143" t="s">
        <v>3840</v>
      </c>
      <c r="F1143" t="s">
        <v>3841</v>
      </c>
      <c r="G1143" t="s">
        <v>3842</v>
      </c>
      <c r="H1143" t="str">
        <f t="shared" si="312"/>
        <v>048314</v>
      </c>
      <c r="I1143" t="s">
        <v>833</v>
      </c>
      <c r="J1143" t="str">
        <f t="shared" si="317"/>
        <v>2015-07-01 00:00:00.0</v>
      </c>
      <c r="K1143" t="s">
        <v>834</v>
      </c>
      <c r="L1143" t="s">
        <v>0</v>
      </c>
      <c r="M1143" t="str">
        <f t="shared" si="310"/>
        <v>048314</v>
      </c>
      <c r="N1143">
        <v>1</v>
      </c>
      <c r="O1143">
        <v>1</v>
      </c>
      <c r="P1143" t="str">
        <f>"10"</f>
        <v>10</v>
      </c>
      <c r="Q1143" t="s">
        <v>835</v>
      </c>
      <c r="S1143" t="s">
        <v>860</v>
      </c>
      <c r="T1143" t="s">
        <v>836</v>
      </c>
      <c r="U1143" t="str">
        <f t="shared" si="316"/>
        <v>2500-12-31 00:00:00.0</v>
      </c>
      <c r="V1143" t="s">
        <v>837</v>
      </c>
      <c r="W1143" t="str">
        <f>"048314-004796-**-**"</f>
        <v>048314-004796-**-**</v>
      </c>
      <c r="X1143" t="s">
        <v>838</v>
      </c>
      <c r="Y1143">
        <v>1254.5</v>
      </c>
      <c r="Z1143">
        <v>1254.5</v>
      </c>
      <c r="AA1143" t="str">
        <f t="shared" si="313"/>
        <v>06/08/2016</v>
      </c>
    </row>
    <row r="1144" spans="1:27" x14ac:dyDescent="0.3">
      <c r="A1144" t="str">
        <f t="shared" si="305"/>
        <v>048314</v>
      </c>
      <c r="B1144" t="str">
        <f t="shared" si="315"/>
        <v>004796</v>
      </c>
      <c r="C1144" t="s">
        <v>1150</v>
      </c>
      <c r="D1144" t="s">
        <v>3839</v>
      </c>
      <c r="E1144" t="s">
        <v>3840</v>
      </c>
      <c r="F1144" t="s">
        <v>3841</v>
      </c>
      <c r="G1144" t="s">
        <v>3842</v>
      </c>
      <c r="H1144" t="str">
        <f t="shared" si="312"/>
        <v>048314</v>
      </c>
      <c r="I1144" t="s">
        <v>833</v>
      </c>
      <c r="J1144" t="str">
        <f t="shared" si="317"/>
        <v>2015-07-01 00:00:00.0</v>
      </c>
      <c r="K1144" t="s">
        <v>834</v>
      </c>
      <c r="L1144" t="s">
        <v>0</v>
      </c>
      <c r="M1144" t="str">
        <f t="shared" si="310"/>
        <v>048314</v>
      </c>
      <c r="N1144">
        <v>1</v>
      </c>
      <c r="O1144">
        <v>1</v>
      </c>
      <c r="P1144" t="str">
        <f>"12"</f>
        <v>12</v>
      </c>
      <c r="Q1144" t="s">
        <v>835</v>
      </c>
      <c r="S1144" t="s">
        <v>836</v>
      </c>
      <c r="T1144" t="s">
        <v>836</v>
      </c>
      <c r="U1144" t="str">
        <f t="shared" si="316"/>
        <v>2500-12-31 00:00:00.0</v>
      </c>
      <c r="V1144" t="s">
        <v>837</v>
      </c>
      <c r="W1144" t="str">
        <f>"048314-004796-12-SE"</f>
        <v>048314-004796-12-SE</v>
      </c>
      <c r="X1144" t="s">
        <v>838</v>
      </c>
      <c r="Y1144">
        <v>1254.5</v>
      </c>
      <c r="Z1144">
        <v>1254.5</v>
      </c>
      <c r="AA1144" t="str">
        <f t="shared" si="313"/>
        <v>06/08/2016</v>
      </c>
    </row>
    <row r="1145" spans="1:27" x14ac:dyDescent="0.3">
      <c r="A1145" t="str">
        <f t="shared" si="305"/>
        <v>048314</v>
      </c>
      <c r="B1145" t="str">
        <f t="shared" si="315"/>
        <v>004796</v>
      </c>
      <c r="C1145" t="s">
        <v>1682</v>
      </c>
      <c r="D1145" t="s">
        <v>3839</v>
      </c>
      <c r="E1145" t="s">
        <v>3840</v>
      </c>
      <c r="F1145" t="s">
        <v>3841</v>
      </c>
      <c r="G1145" t="s">
        <v>3842</v>
      </c>
      <c r="H1145" t="str">
        <f t="shared" si="312"/>
        <v>048314</v>
      </c>
      <c r="I1145" t="s">
        <v>833</v>
      </c>
      <c r="J1145" t="str">
        <f t="shared" si="317"/>
        <v>2015-07-01 00:00:00.0</v>
      </c>
      <c r="K1145" t="s">
        <v>834</v>
      </c>
      <c r="L1145" t="s">
        <v>0</v>
      </c>
      <c r="M1145" t="str">
        <f t="shared" si="310"/>
        <v>048314</v>
      </c>
      <c r="N1145">
        <v>1</v>
      </c>
      <c r="O1145">
        <v>1</v>
      </c>
      <c r="P1145" t="str">
        <f>"10"</f>
        <v>10</v>
      </c>
      <c r="Q1145" t="s">
        <v>835</v>
      </c>
      <c r="S1145" t="s">
        <v>836</v>
      </c>
      <c r="T1145" t="s">
        <v>836</v>
      </c>
      <c r="U1145" t="str">
        <f t="shared" si="316"/>
        <v>2500-12-31 00:00:00.0</v>
      </c>
      <c r="V1145" t="s">
        <v>837</v>
      </c>
      <c r="W1145" t="str">
        <f>"048314-004796-**-**"</f>
        <v>048314-004796-**-**</v>
      </c>
      <c r="X1145" t="s">
        <v>838</v>
      </c>
      <c r="Y1145">
        <v>1254.5</v>
      </c>
      <c r="Z1145">
        <v>1254.5</v>
      </c>
      <c r="AA1145" t="str">
        <f t="shared" si="313"/>
        <v>06/08/2016</v>
      </c>
    </row>
    <row r="1146" spans="1:27" x14ac:dyDescent="0.3">
      <c r="A1146" t="str">
        <f t="shared" si="305"/>
        <v>048314</v>
      </c>
      <c r="B1146" t="str">
        <f t="shared" si="315"/>
        <v>004796</v>
      </c>
      <c r="C1146" t="s">
        <v>1222</v>
      </c>
      <c r="D1146" t="s">
        <v>3839</v>
      </c>
      <c r="E1146" t="s">
        <v>3840</v>
      </c>
      <c r="F1146" t="s">
        <v>3841</v>
      </c>
      <c r="G1146" t="s">
        <v>3842</v>
      </c>
      <c r="H1146" t="str">
        <f t="shared" si="312"/>
        <v>048314</v>
      </c>
      <c r="I1146" t="s">
        <v>833</v>
      </c>
      <c r="J1146" t="str">
        <f t="shared" si="317"/>
        <v>2015-07-01 00:00:00.0</v>
      </c>
      <c r="K1146" t="s">
        <v>834</v>
      </c>
      <c r="L1146" t="s">
        <v>0</v>
      </c>
      <c r="M1146" t="str">
        <f t="shared" si="310"/>
        <v>048314</v>
      </c>
      <c r="N1146">
        <v>1</v>
      </c>
      <c r="O1146">
        <v>1</v>
      </c>
      <c r="P1146" t="str">
        <f>"12"</f>
        <v>12</v>
      </c>
      <c r="Q1146" t="s">
        <v>835</v>
      </c>
      <c r="S1146" t="s">
        <v>836</v>
      </c>
      <c r="T1146" t="s">
        <v>836</v>
      </c>
      <c r="U1146" t="str">
        <f t="shared" si="316"/>
        <v>2500-12-31 00:00:00.0</v>
      </c>
      <c r="V1146" t="s">
        <v>837</v>
      </c>
      <c r="W1146" t="str">
        <f>"048314-004796-12-SE"</f>
        <v>048314-004796-12-SE</v>
      </c>
      <c r="X1146" t="s">
        <v>838</v>
      </c>
      <c r="Y1146">
        <v>1254.5</v>
      </c>
      <c r="Z1146">
        <v>1254.5</v>
      </c>
      <c r="AA1146" t="str">
        <f t="shared" si="313"/>
        <v>06/08/2016</v>
      </c>
    </row>
    <row r="1147" spans="1:27" x14ac:dyDescent="0.3">
      <c r="A1147" t="str">
        <f t="shared" si="305"/>
        <v>048314</v>
      </c>
      <c r="B1147" t="str">
        <f t="shared" si="315"/>
        <v>004796</v>
      </c>
      <c r="C1147" t="s">
        <v>1151</v>
      </c>
      <c r="D1147" t="s">
        <v>3839</v>
      </c>
      <c r="E1147" t="s">
        <v>3840</v>
      </c>
      <c r="F1147" t="s">
        <v>3841</v>
      </c>
      <c r="G1147" t="s">
        <v>3842</v>
      </c>
      <c r="H1147" t="str">
        <f t="shared" si="312"/>
        <v>048314</v>
      </c>
      <c r="I1147" t="s">
        <v>833</v>
      </c>
      <c r="J1147" t="str">
        <f>"2015-09-10 00:00:00.0"</f>
        <v>2015-09-10 00:00:00.0</v>
      </c>
      <c r="K1147" t="s">
        <v>834</v>
      </c>
      <c r="L1147" t="s">
        <v>0</v>
      </c>
      <c r="M1147" t="str">
        <f t="shared" si="310"/>
        <v>048314</v>
      </c>
      <c r="N1147">
        <v>0.963731</v>
      </c>
      <c r="O1147">
        <v>0.963731</v>
      </c>
      <c r="P1147" t="str">
        <f>"12"</f>
        <v>12</v>
      </c>
      <c r="Q1147" t="s">
        <v>835</v>
      </c>
      <c r="S1147" t="s">
        <v>860</v>
      </c>
      <c r="T1147" t="s">
        <v>836</v>
      </c>
      <c r="U1147" t="str">
        <f t="shared" si="316"/>
        <v>2500-12-31 00:00:00.0</v>
      </c>
      <c r="V1147" t="s">
        <v>837</v>
      </c>
      <c r="W1147" t="str">
        <f>"048314-004796-**-**"</f>
        <v>048314-004796-**-**</v>
      </c>
      <c r="X1147" t="s">
        <v>838</v>
      </c>
      <c r="Y1147">
        <v>1209</v>
      </c>
      <c r="Z1147">
        <v>1254.5</v>
      </c>
      <c r="AA1147" t="str">
        <f t="shared" si="313"/>
        <v>06/08/2016</v>
      </c>
    </row>
    <row r="1148" spans="1:27" x14ac:dyDescent="0.3">
      <c r="A1148" t="str">
        <f t="shared" si="305"/>
        <v>048314</v>
      </c>
      <c r="B1148" t="str">
        <f t="shared" si="315"/>
        <v>004796</v>
      </c>
      <c r="C1148" t="s">
        <v>2004</v>
      </c>
      <c r="D1148" t="s">
        <v>3839</v>
      </c>
      <c r="E1148" t="s">
        <v>3840</v>
      </c>
      <c r="F1148" t="s">
        <v>3841</v>
      </c>
      <c r="G1148" t="s">
        <v>3842</v>
      </c>
      <c r="H1148" t="str">
        <f t="shared" si="312"/>
        <v>048314</v>
      </c>
      <c r="I1148" t="s">
        <v>833</v>
      </c>
      <c r="J1148" t="str">
        <f t="shared" ref="J1148:J1175" si="318">"2015-07-01 00:00:00.0"</f>
        <v>2015-07-01 00:00:00.0</v>
      </c>
      <c r="K1148" t="s">
        <v>834</v>
      </c>
      <c r="L1148" t="s">
        <v>0</v>
      </c>
      <c r="M1148" t="str">
        <f t="shared" si="310"/>
        <v>048314</v>
      </c>
      <c r="N1148">
        <v>1</v>
      </c>
      <c r="O1148">
        <v>1</v>
      </c>
      <c r="P1148" t="str">
        <f>"12"</f>
        <v>12</v>
      </c>
      <c r="Q1148" t="s">
        <v>835</v>
      </c>
      <c r="S1148" t="s">
        <v>836</v>
      </c>
      <c r="T1148" t="s">
        <v>836</v>
      </c>
      <c r="U1148" t="str">
        <f t="shared" si="316"/>
        <v>2500-12-31 00:00:00.0</v>
      </c>
      <c r="V1148" t="s">
        <v>837</v>
      </c>
      <c r="W1148" t="str">
        <f>"048314-004796-12-SE"</f>
        <v>048314-004796-12-SE</v>
      </c>
      <c r="X1148" t="s">
        <v>838</v>
      </c>
      <c r="Y1148">
        <v>1254.5</v>
      </c>
      <c r="Z1148">
        <v>1254.5</v>
      </c>
      <c r="AA1148" t="str">
        <f t="shared" si="313"/>
        <v>06/08/2016</v>
      </c>
    </row>
    <row r="1149" spans="1:27" x14ac:dyDescent="0.3">
      <c r="A1149" t="str">
        <f t="shared" si="305"/>
        <v>048314</v>
      </c>
      <c r="B1149" t="str">
        <f t="shared" si="315"/>
        <v>004796</v>
      </c>
      <c r="C1149" t="s">
        <v>1198</v>
      </c>
      <c r="D1149" t="s">
        <v>3839</v>
      </c>
      <c r="E1149" t="s">
        <v>3840</v>
      </c>
      <c r="F1149" t="s">
        <v>3841</v>
      </c>
      <c r="G1149" t="s">
        <v>3842</v>
      </c>
      <c r="H1149" t="str">
        <f t="shared" si="312"/>
        <v>048314</v>
      </c>
      <c r="I1149" t="s">
        <v>833</v>
      </c>
      <c r="J1149" t="str">
        <f t="shared" si="318"/>
        <v>2015-07-01 00:00:00.0</v>
      </c>
      <c r="K1149" t="s">
        <v>834</v>
      </c>
      <c r="L1149" t="s">
        <v>0</v>
      </c>
      <c r="M1149" t="str">
        <f t="shared" si="310"/>
        <v>048314</v>
      </c>
      <c r="N1149">
        <v>1</v>
      </c>
      <c r="O1149">
        <v>1</v>
      </c>
      <c r="P1149" t="str">
        <f>"12"</f>
        <v>12</v>
      </c>
      <c r="Q1149" t="s">
        <v>835</v>
      </c>
      <c r="S1149" t="s">
        <v>860</v>
      </c>
      <c r="T1149" t="s">
        <v>836</v>
      </c>
      <c r="U1149" t="str">
        <f t="shared" si="316"/>
        <v>2500-12-31 00:00:00.0</v>
      </c>
      <c r="V1149" t="s">
        <v>837</v>
      </c>
      <c r="W1149" t="str">
        <f>"048314-004796-12-SE"</f>
        <v>048314-004796-12-SE</v>
      </c>
      <c r="X1149" t="s">
        <v>838</v>
      </c>
      <c r="Y1149">
        <v>1254.5</v>
      </c>
      <c r="Z1149">
        <v>1254.5</v>
      </c>
      <c r="AA1149" t="str">
        <f t="shared" si="313"/>
        <v>06/08/2016</v>
      </c>
    </row>
    <row r="1150" spans="1:27" x14ac:dyDescent="0.3">
      <c r="A1150" t="str">
        <f t="shared" si="305"/>
        <v>048314</v>
      </c>
      <c r="B1150" t="str">
        <f t="shared" si="315"/>
        <v>004796</v>
      </c>
      <c r="C1150" t="s">
        <v>1475</v>
      </c>
      <c r="D1150" t="s">
        <v>3839</v>
      </c>
      <c r="E1150" t="s">
        <v>3840</v>
      </c>
      <c r="F1150" t="s">
        <v>3841</v>
      </c>
      <c r="G1150" t="s">
        <v>3842</v>
      </c>
      <c r="H1150" t="str">
        <f t="shared" si="312"/>
        <v>048314</v>
      </c>
      <c r="I1150" t="s">
        <v>833</v>
      </c>
      <c r="J1150" t="str">
        <f t="shared" si="318"/>
        <v>2015-07-01 00:00:00.0</v>
      </c>
      <c r="K1150" t="s">
        <v>834</v>
      </c>
      <c r="L1150" t="s">
        <v>0</v>
      </c>
      <c r="M1150" t="str">
        <f t="shared" si="310"/>
        <v>048314</v>
      </c>
      <c r="N1150">
        <v>1</v>
      </c>
      <c r="O1150">
        <v>1</v>
      </c>
      <c r="P1150" t="str">
        <f>"10"</f>
        <v>10</v>
      </c>
      <c r="Q1150" t="s">
        <v>835</v>
      </c>
      <c r="S1150" t="s">
        <v>860</v>
      </c>
      <c r="T1150" t="s">
        <v>836</v>
      </c>
      <c r="U1150" t="str">
        <f t="shared" si="316"/>
        <v>2500-12-31 00:00:00.0</v>
      </c>
      <c r="V1150" t="s">
        <v>837</v>
      </c>
      <c r="W1150" t="str">
        <f>"048314-004796-**-**"</f>
        <v>048314-004796-**-**</v>
      </c>
      <c r="X1150" t="s">
        <v>838</v>
      </c>
      <c r="Y1150">
        <v>1254.5</v>
      </c>
      <c r="Z1150">
        <v>1254.5</v>
      </c>
      <c r="AA1150" t="str">
        <f t="shared" si="313"/>
        <v>06/08/2016</v>
      </c>
    </row>
    <row r="1151" spans="1:27" x14ac:dyDescent="0.3">
      <c r="A1151" t="str">
        <f t="shared" si="305"/>
        <v>048314</v>
      </c>
      <c r="B1151" t="str">
        <f t="shared" si="315"/>
        <v>004796</v>
      </c>
      <c r="C1151" t="s">
        <v>1263</v>
      </c>
      <c r="D1151" t="s">
        <v>3839</v>
      </c>
      <c r="E1151" t="s">
        <v>3840</v>
      </c>
      <c r="F1151" t="s">
        <v>3841</v>
      </c>
      <c r="G1151" t="s">
        <v>3842</v>
      </c>
      <c r="H1151" t="str">
        <f t="shared" si="312"/>
        <v>048314</v>
      </c>
      <c r="I1151" t="s">
        <v>833</v>
      </c>
      <c r="J1151" t="str">
        <f t="shared" si="318"/>
        <v>2015-07-01 00:00:00.0</v>
      </c>
      <c r="K1151" t="s">
        <v>834</v>
      </c>
      <c r="L1151" t="s">
        <v>0</v>
      </c>
      <c r="M1151" t="str">
        <f t="shared" si="310"/>
        <v>048314</v>
      </c>
      <c r="N1151">
        <v>1</v>
      </c>
      <c r="O1151">
        <v>1</v>
      </c>
      <c r="P1151" t="str">
        <f>"12"</f>
        <v>12</v>
      </c>
      <c r="Q1151" t="str">
        <f>"09"</f>
        <v>09</v>
      </c>
      <c r="R1151" t="str">
        <f>"2"</f>
        <v>2</v>
      </c>
      <c r="S1151" t="s">
        <v>860</v>
      </c>
      <c r="T1151" t="s">
        <v>836</v>
      </c>
      <c r="U1151" t="str">
        <f t="shared" si="316"/>
        <v>2500-12-31 00:00:00.0</v>
      </c>
      <c r="V1151" t="s">
        <v>837</v>
      </c>
      <c r="W1151" t="str">
        <f>"048314-004796-12-SE"</f>
        <v>048314-004796-12-SE</v>
      </c>
      <c r="X1151" t="s">
        <v>838</v>
      </c>
      <c r="Y1151">
        <v>1254.5</v>
      </c>
      <c r="Z1151">
        <v>1254.5</v>
      </c>
      <c r="AA1151" t="str">
        <f t="shared" si="313"/>
        <v>06/08/2016</v>
      </c>
    </row>
    <row r="1152" spans="1:27" x14ac:dyDescent="0.3">
      <c r="A1152" t="str">
        <f t="shared" si="305"/>
        <v>048314</v>
      </c>
      <c r="B1152" t="str">
        <f t="shared" si="315"/>
        <v>004796</v>
      </c>
      <c r="C1152" t="s">
        <v>1671</v>
      </c>
      <c r="D1152" t="s">
        <v>3839</v>
      </c>
      <c r="E1152" t="s">
        <v>3840</v>
      </c>
      <c r="F1152" t="s">
        <v>3841</v>
      </c>
      <c r="G1152" t="s">
        <v>3842</v>
      </c>
      <c r="H1152" t="str">
        <f t="shared" si="312"/>
        <v>048314</v>
      </c>
      <c r="I1152" t="s">
        <v>833</v>
      </c>
      <c r="J1152" t="str">
        <f t="shared" si="318"/>
        <v>2015-07-01 00:00:00.0</v>
      </c>
      <c r="K1152" t="s">
        <v>834</v>
      </c>
      <c r="L1152" t="s">
        <v>0</v>
      </c>
      <c r="M1152" t="str">
        <f t="shared" si="310"/>
        <v>048314</v>
      </c>
      <c r="N1152">
        <v>1</v>
      </c>
      <c r="O1152">
        <v>1</v>
      </c>
      <c r="P1152" t="str">
        <f>"10"</f>
        <v>10</v>
      </c>
      <c r="Q1152" t="s">
        <v>835</v>
      </c>
      <c r="S1152" t="s">
        <v>836</v>
      </c>
      <c r="T1152" t="s">
        <v>836</v>
      </c>
      <c r="U1152" t="str">
        <f t="shared" si="316"/>
        <v>2500-12-31 00:00:00.0</v>
      </c>
      <c r="V1152" t="s">
        <v>837</v>
      </c>
      <c r="W1152" t="str">
        <f>"048314-004796-**-**"</f>
        <v>048314-004796-**-**</v>
      </c>
      <c r="X1152" t="s">
        <v>838</v>
      </c>
      <c r="Y1152">
        <v>1254.5</v>
      </c>
      <c r="Z1152">
        <v>1254.5</v>
      </c>
      <c r="AA1152" t="str">
        <f t="shared" si="313"/>
        <v>06/08/2016</v>
      </c>
    </row>
    <row r="1153" spans="1:27" x14ac:dyDescent="0.3">
      <c r="A1153" t="str">
        <f t="shared" si="305"/>
        <v>048314</v>
      </c>
      <c r="B1153" t="str">
        <f t="shared" si="315"/>
        <v>004796</v>
      </c>
      <c r="C1153" t="s">
        <v>2703</v>
      </c>
      <c r="D1153" t="s">
        <v>3839</v>
      </c>
      <c r="E1153" t="s">
        <v>3840</v>
      </c>
      <c r="F1153" t="s">
        <v>3841</v>
      </c>
      <c r="G1153" t="s">
        <v>3842</v>
      </c>
      <c r="H1153" t="str">
        <f t="shared" si="312"/>
        <v>048314</v>
      </c>
      <c r="I1153" t="s">
        <v>833</v>
      </c>
      <c r="J1153" t="str">
        <f t="shared" si="318"/>
        <v>2015-07-01 00:00:00.0</v>
      </c>
      <c r="K1153" t="s">
        <v>834</v>
      </c>
      <c r="L1153" t="s">
        <v>0</v>
      </c>
      <c r="M1153" t="str">
        <f t="shared" si="310"/>
        <v>048314</v>
      </c>
      <c r="N1153">
        <v>1</v>
      </c>
      <c r="O1153">
        <v>1</v>
      </c>
      <c r="P1153" t="str">
        <f>"10"</f>
        <v>10</v>
      </c>
      <c r="Q1153" t="s">
        <v>835</v>
      </c>
      <c r="S1153" t="s">
        <v>836</v>
      </c>
      <c r="T1153" t="s">
        <v>836</v>
      </c>
      <c r="U1153" t="str">
        <f t="shared" si="316"/>
        <v>2500-12-31 00:00:00.0</v>
      </c>
      <c r="V1153" t="s">
        <v>837</v>
      </c>
      <c r="W1153" t="str">
        <f>"048314-004796-**-**"</f>
        <v>048314-004796-**-**</v>
      </c>
      <c r="X1153" t="s">
        <v>838</v>
      </c>
      <c r="Y1153">
        <v>1254.5</v>
      </c>
      <c r="Z1153">
        <v>1254.5</v>
      </c>
      <c r="AA1153" t="str">
        <f t="shared" si="313"/>
        <v>06/08/2016</v>
      </c>
    </row>
    <row r="1154" spans="1:27" x14ac:dyDescent="0.3">
      <c r="A1154" t="str">
        <f t="shared" ref="A1154:A1217" si="319">"048314"</f>
        <v>048314</v>
      </c>
      <c r="B1154" t="str">
        <f t="shared" si="315"/>
        <v>004796</v>
      </c>
      <c r="C1154" t="s">
        <v>1152</v>
      </c>
      <c r="D1154" t="s">
        <v>3839</v>
      </c>
      <c r="E1154" t="s">
        <v>3840</v>
      </c>
      <c r="F1154" t="s">
        <v>3841</v>
      </c>
      <c r="G1154" t="s">
        <v>3842</v>
      </c>
      <c r="H1154" t="str">
        <f>"051243"</f>
        <v>051243</v>
      </c>
      <c r="I1154" t="s">
        <v>833</v>
      </c>
      <c r="J1154" t="str">
        <f t="shared" si="318"/>
        <v>2015-07-01 00:00:00.0</v>
      </c>
      <c r="K1154" t="s">
        <v>834</v>
      </c>
      <c r="L1154" t="s">
        <v>0</v>
      </c>
      <c r="M1154" t="str">
        <f t="shared" si="310"/>
        <v>048314</v>
      </c>
      <c r="N1154">
        <v>1</v>
      </c>
      <c r="O1154">
        <v>1</v>
      </c>
      <c r="P1154" t="str">
        <f>"12"</f>
        <v>12</v>
      </c>
      <c r="Q1154" t="s">
        <v>835</v>
      </c>
      <c r="S1154" t="s">
        <v>860</v>
      </c>
      <c r="T1154" t="s">
        <v>836</v>
      </c>
      <c r="U1154" t="str">
        <f t="shared" si="316"/>
        <v>2500-12-31 00:00:00.0</v>
      </c>
      <c r="V1154" t="s">
        <v>886</v>
      </c>
      <c r="W1154" t="str">
        <f>"051243-051250-12-SE"</f>
        <v>051243-051250-12-SE</v>
      </c>
      <c r="X1154" t="s">
        <v>838</v>
      </c>
      <c r="Y1154">
        <v>1105</v>
      </c>
      <c r="Z1154">
        <v>1105</v>
      </c>
      <c r="AA1154" t="str">
        <f>"05/21/2016"</f>
        <v>05/21/2016</v>
      </c>
    </row>
    <row r="1155" spans="1:27" x14ac:dyDescent="0.3">
      <c r="A1155" t="str">
        <f t="shared" si="319"/>
        <v>048314</v>
      </c>
      <c r="B1155" t="str">
        <f t="shared" si="315"/>
        <v>004796</v>
      </c>
      <c r="C1155" t="s">
        <v>1672</v>
      </c>
      <c r="D1155" t="s">
        <v>3839</v>
      </c>
      <c r="E1155" t="s">
        <v>3840</v>
      </c>
      <c r="F1155" t="s">
        <v>3841</v>
      </c>
      <c r="G1155" t="s">
        <v>3842</v>
      </c>
      <c r="H1155" t="str">
        <f t="shared" ref="H1155:H1161" si="320">"048314"</f>
        <v>048314</v>
      </c>
      <c r="I1155" t="s">
        <v>833</v>
      </c>
      <c r="J1155" t="str">
        <f t="shared" si="318"/>
        <v>2015-07-01 00:00:00.0</v>
      </c>
      <c r="K1155" t="s">
        <v>834</v>
      </c>
      <c r="L1155" t="s">
        <v>0</v>
      </c>
      <c r="M1155" t="str">
        <f t="shared" si="310"/>
        <v>048314</v>
      </c>
      <c r="N1155">
        <v>1</v>
      </c>
      <c r="O1155">
        <v>1</v>
      </c>
      <c r="P1155" t="str">
        <f>"10"</f>
        <v>10</v>
      </c>
      <c r="Q1155" t="s">
        <v>835</v>
      </c>
      <c r="S1155" t="s">
        <v>836</v>
      </c>
      <c r="T1155" t="s">
        <v>836</v>
      </c>
      <c r="U1155" t="str">
        <f t="shared" si="316"/>
        <v>2500-12-31 00:00:00.0</v>
      </c>
      <c r="V1155" t="s">
        <v>837</v>
      </c>
      <c r="W1155" t="str">
        <f>"048314-004796-**-**"</f>
        <v>048314-004796-**-**</v>
      </c>
      <c r="X1155" t="s">
        <v>838</v>
      </c>
      <c r="Y1155">
        <v>1254.5</v>
      </c>
      <c r="Z1155">
        <v>1254.5</v>
      </c>
      <c r="AA1155" t="str">
        <f t="shared" ref="AA1155:AA1161" si="321">"06/08/2016"</f>
        <v>06/08/2016</v>
      </c>
    </row>
    <row r="1156" spans="1:27" x14ac:dyDescent="0.3">
      <c r="A1156" t="str">
        <f t="shared" si="319"/>
        <v>048314</v>
      </c>
      <c r="B1156" t="str">
        <f t="shared" si="315"/>
        <v>004796</v>
      </c>
      <c r="C1156" t="s">
        <v>1683</v>
      </c>
      <c r="D1156" t="s">
        <v>3839</v>
      </c>
      <c r="E1156" t="s">
        <v>3840</v>
      </c>
      <c r="F1156" t="s">
        <v>3841</v>
      </c>
      <c r="G1156" t="s">
        <v>3842</v>
      </c>
      <c r="H1156" t="str">
        <f t="shared" si="320"/>
        <v>048314</v>
      </c>
      <c r="I1156" t="s">
        <v>833</v>
      </c>
      <c r="J1156" t="str">
        <f t="shared" si="318"/>
        <v>2015-07-01 00:00:00.0</v>
      </c>
      <c r="K1156" t="s">
        <v>834</v>
      </c>
      <c r="L1156" t="s">
        <v>0</v>
      </c>
      <c r="M1156" t="str">
        <f t="shared" si="310"/>
        <v>048314</v>
      </c>
      <c r="N1156">
        <v>1</v>
      </c>
      <c r="O1156">
        <v>1</v>
      </c>
      <c r="P1156" t="str">
        <f>"10"</f>
        <v>10</v>
      </c>
      <c r="Q1156" t="s">
        <v>835</v>
      </c>
      <c r="S1156" t="s">
        <v>836</v>
      </c>
      <c r="T1156" t="s">
        <v>836</v>
      </c>
      <c r="U1156" t="str">
        <f t="shared" si="316"/>
        <v>2500-12-31 00:00:00.0</v>
      </c>
      <c r="V1156" t="s">
        <v>837</v>
      </c>
      <c r="W1156" t="str">
        <f>"048314-004796-**-**"</f>
        <v>048314-004796-**-**</v>
      </c>
      <c r="X1156" t="s">
        <v>838</v>
      </c>
      <c r="Y1156">
        <v>1254.5</v>
      </c>
      <c r="Z1156">
        <v>1254.5</v>
      </c>
      <c r="AA1156" t="str">
        <f t="shared" si="321"/>
        <v>06/08/2016</v>
      </c>
    </row>
    <row r="1157" spans="1:27" x14ac:dyDescent="0.3">
      <c r="A1157" t="str">
        <f t="shared" si="319"/>
        <v>048314</v>
      </c>
      <c r="B1157" t="str">
        <f t="shared" si="315"/>
        <v>004796</v>
      </c>
      <c r="C1157" t="s">
        <v>1153</v>
      </c>
      <c r="D1157" t="s">
        <v>3839</v>
      </c>
      <c r="E1157" t="s">
        <v>3840</v>
      </c>
      <c r="F1157" t="s">
        <v>3841</v>
      </c>
      <c r="G1157" t="s">
        <v>3842</v>
      </c>
      <c r="H1157" t="str">
        <f t="shared" si="320"/>
        <v>048314</v>
      </c>
      <c r="I1157" t="s">
        <v>833</v>
      </c>
      <c r="J1157" t="str">
        <f t="shared" si="318"/>
        <v>2015-07-01 00:00:00.0</v>
      </c>
      <c r="K1157" t="s">
        <v>834</v>
      </c>
      <c r="L1157" t="s">
        <v>0</v>
      </c>
      <c r="M1157" t="str">
        <f t="shared" si="310"/>
        <v>048314</v>
      </c>
      <c r="N1157">
        <v>1</v>
      </c>
      <c r="O1157">
        <v>1</v>
      </c>
      <c r="P1157" t="str">
        <f>"12"</f>
        <v>12</v>
      </c>
      <c r="Q1157" t="s">
        <v>835</v>
      </c>
      <c r="S1157" t="s">
        <v>836</v>
      </c>
      <c r="T1157" t="s">
        <v>836</v>
      </c>
      <c r="U1157" t="str">
        <f t="shared" si="316"/>
        <v>2500-12-31 00:00:00.0</v>
      </c>
      <c r="V1157" t="s">
        <v>837</v>
      </c>
      <c r="W1157" t="str">
        <f>"048314-004796-12-SE"</f>
        <v>048314-004796-12-SE</v>
      </c>
      <c r="X1157" t="s">
        <v>838</v>
      </c>
      <c r="Y1157">
        <v>1254.5</v>
      </c>
      <c r="Z1157">
        <v>1254.5</v>
      </c>
      <c r="AA1157" t="str">
        <f t="shared" si="321"/>
        <v>06/08/2016</v>
      </c>
    </row>
    <row r="1158" spans="1:27" x14ac:dyDescent="0.3">
      <c r="A1158" t="str">
        <f t="shared" si="319"/>
        <v>048314</v>
      </c>
      <c r="B1158" t="str">
        <f t="shared" si="315"/>
        <v>004796</v>
      </c>
      <c r="C1158" t="s">
        <v>1783</v>
      </c>
      <c r="D1158" t="s">
        <v>3839</v>
      </c>
      <c r="E1158" t="s">
        <v>3840</v>
      </c>
      <c r="F1158" t="s">
        <v>3841</v>
      </c>
      <c r="G1158" t="s">
        <v>3842</v>
      </c>
      <c r="H1158" t="str">
        <f t="shared" si="320"/>
        <v>048314</v>
      </c>
      <c r="I1158" t="s">
        <v>833</v>
      </c>
      <c r="J1158" t="str">
        <f t="shared" si="318"/>
        <v>2015-07-01 00:00:00.0</v>
      </c>
      <c r="K1158" t="s">
        <v>834</v>
      </c>
      <c r="L1158" t="s">
        <v>0</v>
      </c>
      <c r="M1158" t="str">
        <f t="shared" si="310"/>
        <v>048314</v>
      </c>
      <c r="N1158">
        <v>1</v>
      </c>
      <c r="O1158">
        <v>1</v>
      </c>
      <c r="P1158" t="str">
        <f>"10"</f>
        <v>10</v>
      </c>
      <c r="Q1158" t="s">
        <v>835</v>
      </c>
      <c r="S1158" t="s">
        <v>836</v>
      </c>
      <c r="T1158" t="s">
        <v>836</v>
      </c>
      <c r="U1158" t="str">
        <f t="shared" si="316"/>
        <v>2500-12-31 00:00:00.0</v>
      </c>
      <c r="V1158" t="s">
        <v>837</v>
      </c>
      <c r="W1158" t="str">
        <f>"048314-004796-**-**"</f>
        <v>048314-004796-**-**</v>
      </c>
      <c r="X1158" t="s">
        <v>838</v>
      </c>
      <c r="Y1158">
        <v>1254.5</v>
      </c>
      <c r="Z1158">
        <v>1254.5</v>
      </c>
      <c r="AA1158" t="str">
        <f t="shared" si="321"/>
        <v>06/08/2016</v>
      </c>
    </row>
    <row r="1159" spans="1:27" x14ac:dyDescent="0.3">
      <c r="A1159" t="str">
        <f t="shared" si="319"/>
        <v>048314</v>
      </c>
      <c r="B1159" t="str">
        <f t="shared" si="315"/>
        <v>004796</v>
      </c>
      <c r="C1159" t="s">
        <v>1673</v>
      </c>
      <c r="D1159" t="s">
        <v>3839</v>
      </c>
      <c r="E1159" t="s">
        <v>3840</v>
      </c>
      <c r="F1159" t="s">
        <v>3841</v>
      </c>
      <c r="G1159" t="s">
        <v>3842</v>
      </c>
      <c r="H1159" t="str">
        <f t="shared" si="320"/>
        <v>048314</v>
      </c>
      <c r="I1159" t="s">
        <v>833</v>
      </c>
      <c r="J1159" t="str">
        <f t="shared" si="318"/>
        <v>2015-07-01 00:00:00.0</v>
      </c>
      <c r="K1159" t="s">
        <v>834</v>
      </c>
      <c r="L1159" t="s">
        <v>0</v>
      </c>
      <c r="M1159" t="str">
        <f t="shared" si="310"/>
        <v>048314</v>
      </c>
      <c r="N1159">
        <v>1</v>
      </c>
      <c r="O1159">
        <v>1</v>
      </c>
      <c r="P1159" t="str">
        <f>"10"</f>
        <v>10</v>
      </c>
      <c r="Q1159" t="s">
        <v>835</v>
      </c>
      <c r="S1159" t="s">
        <v>836</v>
      </c>
      <c r="T1159" t="s">
        <v>836</v>
      </c>
      <c r="U1159" t="str">
        <f t="shared" si="316"/>
        <v>2500-12-31 00:00:00.0</v>
      </c>
      <c r="V1159" t="s">
        <v>837</v>
      </c>
      <c r="W1159" t="str">
        <f>"048314-004796-**-**"</f>
        <v>048314-004796-**-**</v>
      </c>
      <c r="X1159" t="s">
        <v>838</v>
      </c>
      <c r="Y1159">
        <v>1254.5</v>
      </c>
      <c r="Z1159">
        <v>1254.5</v>
      </c>
      <c r="AA1159" t="str">
        <f t="shared" si="321"/>
        <v>06/08/2016</v>
      </c>
    </row>
    <row r="1160" spans="1:27" x14ac:dyDescent="0.3">
      <c r="A1160" t="str">
        <f t="shared" si="319"/>
        <v>048314</v>
      </c>
      <c r="B1160" t="str">
        <f t="shared" si="315"/>
        <v>004796</v>
      </c>
      <c r="C1160" t="s">
        <v>3113</v>
      </c>
      <c r="D1160" t="s">
        <v>3839</v>
      </c>
      <c r="E1160" t="s">
        <v>3840</v>
      </c>
      <c r="F1160" t="s">
        <v>3841</v>
      </c>
      <c r="G1160" t="s">
        <v>3842</v>
      </c>
      <c r="H1160" t="str">
        <f t="shared" si="320"/>
        <v>048314</v>
      </c>
      <c r="I1160" t="s">
        <v>833</v>
      </c>
      <c r="J1160" t="str">
        <f t="shared" si="318"/>
        <v>2015-07-01 00:00:00.0</v>
      </c>
      <c r="K1160" t="s">
        <v>834</v>
      </c>
      <c r="L1160" t="s">
        <v>0</v>
      </c>
      <c r="M1160" t="str">
        <f t="shared" si="310"/>
        <v>048314</v>
      </c>
      <c r="N1160">
        <v>1</v>
      </c>
      <c r="O1160">
        <v>1</v>
      </c>
      <c r="P1160" t="str">
        <f>"11"</f>
        <v>11</v>
      </c>
      <c r="Q1160" t="s">
        <v>835</v>
      </c>
      <c r="S1160" t="s">
        <v>836</v>
      </c>
      <c r="T1160" t="s">
        <v>836</v>
      </c>
      <c r="U1160" t="str">
        <f t="shared" si="316"/>
        <v>2500-12-31 00:00:00.0</v>
      </c>
      <c r="V1160" t="s">
        <v>837</v>
      </c>
      <c r="W1160" t="str">
        <f>"048314-004796-**-**"</f>
        <v>048314-004796-**-**</v>
      </c>
      <c r="X1160" t="s">
        <v>838</v>
      </c>
      <c r="Y1160">
        <v>1254.5</v>
      </c>
      <c r="Z1160">
        <v>1254.5</v>
      </c>
      <c r="AA1160" t="str">
        <f t="shared" si="321"/>
        <v>06/08/2016</v>
      </c>
    </row>
    <row r="1161" spans="1:27" x14ac:dyDescent="0.3">
      <c r="A1161" t="str">
        <f t="shared" si="319"/>
        <v>048314</v>
      </c>
      <c r="B1161" t="str">
        <f t="shared" si="315"/>
        <v>004796</v>
      </c>
      <c r="C1161" t="s">
        <v>1154</v>
      </c>
      <c r="D1161" t="s">
        <v>3839</v>
      </c>
      <c r="E1161" t="s">
        <v>3840</v>
      </c>
      <c r="F1161" t="s">
        <v>3841</v>
      </c>
      <c r="G1161" t="s">
        <v>3842</v>
      </c>
      <c r="H1161" t="str">
        <f t="shared" si="320"/>
        <v>048314</v>
      </c>
      <c r="I1161" t="s">
        <v>833</v>
      </c>
      <c r="J1161" t="str">
        <f t="shared" si="318"/>
        <v>2015-07-01 00:00:00.0</v>
      </c>
      <c r="K1161" t="s">
        <v>834</v>
      </c>
      <c r="L1161" t="s">
        <v>0</v>
      </c>
      <c r="M1161" t="str">
        <f t="shared" si="310"/>
        <v>048314</v>
      </c>
      <c r="N1161">
        <v>0.36</v>
      </c>
      <c r="O1161">
        <v>0.36</v>
      </c>
      <c r="P1161" t="str">
        <f>"12"</f>
        <v>12</v>
      </c>
      <c r="Q1161" t="s">
        <v>835</v>
      </c>
      <c r="S1161" t="s">
        <v>836</v>
      </c>
      <c r="T1161" t="s">
        <v>836</v>
      </c>
      <c r="U1161" t="str">
        <f t="shared" si="316"/>
        <v>2500-12-31 00:00:00.0</v>
      </c>
      <c r="V1161" t="s">
        <v>837</v>
      </c>
      <c r="W1161" t="str">
        <f>"048314-004796-12-PM"</f>
        <v>048314-004796-12-PM</v>
      </c>
      <c r="X1161" t="s">
        <v>838</v>
      </c>
      <c r="Y1161">
        <v>451.62</v>
      </c>
      <c r="Z1161">
        <v>1254.5</v>
      </c>
      <c r="AA1161" t="str">
        <f t="shared" si="321"/>
        <v>06/08/2016</v>
      </c>
    </row>
    <row r="1162" spans="1:27" x14ac:dyDescent="0.3">
      <c r="A1162" t="str">
        <f t="shared" si="319"/>
        <v>048314</v>
      </c>
      <c r="B1162" t="str">
        <f t="shared" si="315"/>
        <v>004796</v>
      </c>
      <c r="C1162" t="s">
        <v>1154</v>
      </c>
      <c r="D1162" t="s">
        <v>3839</v>
      </c>
      <c r="E1162" t="s">
        <v>3840</v>
      </c>
      <c r="F1162" t="s">
        <v>3841</v>
      </c>
      <c r="G1162" t="s">
        <v>3842</v>
      </c>
      <c r="H1162" t="str">
        <f>"051243"</f>
        <v>051243</v>
      </c>
      <c r="I1162" t="s">
        <v>833</v>
      </c>
      <c r="J1162" t="str">
        <f t="shared" si="318"/>
        <v>2015-07-01 00:00:00.0</v>
      </c>
      <c r="K1162" t="s">
        <v>834</v>
      </c>
      <c r="L1162" t="s">
        <v>0</v>
      </c>
      <c r="M1162" t="str">
        <f t="shared" si="310"/>
        <v>048314</v>
      </c>
      <c r="N1162">
        <v>0.64</v>
      </c>
      <c r="O1162">
        <v>0.64</v>
      </c>
      <c r="P1162" t="str">
        <f>"12"</f>
        <v>12</v>
      </c>
      <c r="Q1162" t="s">
        <v>835</v>
      </c>
      <c r="S1162" t="s">
        <v>836</v>
      </c>
      <c r="T1162" t="s">
        <v>836</v>
      </c>
      <c r="U1162" t="str">
        <f t="shared" si="316"/>
        <v>2500-12-31 00:00:00.0</v>
      </c>
      <c r="V1162" t="s">
        <v>886</v>
      </c>
      <c r="W1162" t="str">
        <f>"051243-051250-12-SA"</f>
        <v>051243-051250-12-SA</v>
      </c>
      <c r="X1162" t="s">
        <v>838</v>
      </c>
      <c r="Y1162">
        <v>707.2</v>
      </c>
      <c r="Z1162">
        <v>1105</v>
      </c>
      <c r="AA1162" t="str">
        <f>"05/21/2016"</f>
        <v>05/21/2016</v>
      </c>
    </row>
    <row r="1163" spans="1:27" x14ac:dyDescent="0.3">
      <c r="A1163" t="str">
        <f t="shared" si="319"/>
        <v>048314</v>
      </c>
      <c r="B1163" t="str">
        <f t="shared" si="315"/>
        <v>004796</v>
      </c>
      <c r="C1163" t="s">
        <v>1470</v>
      </c>
      <c r="D1163" t="s">
        <v>3839</v>
      </c>
      <c r="E1163" t="s">
        <v>3840</v>
      </c>
      <c r="F1163" t="s">
        <v>3841</v>
      </c>
      <c r="G1163" t="s">
        <v>3842</v>
      </c>
      <c r="H1163" t="str">
        <f>"048314"</f>
        <v>048314</v>
      </c>
      <c r="I1163" t="s">
        <v>833</v>
      </c>
      <c r="J1163" t="str">
        <f t="shared" si="318"/>
        <v>2015-07-01 00:00:00.0</v>
      </c>
      <c r="K1163" t="s">
        <v>834</v>
      </c>
      <c r="L1163" t="s">
        <v>0</v>
      </c>
      <c r="M1163" t="str">
        <f t="shared" si="310"/>
        <v>048314</v>
      </c>
      <c r="N1163">
        <v>1</v>
      </c>
      <c r="O1163">
        <v>1</v>
      </c>
      <c r="P1163" t="str">
        <f>"11"</f>
        <v>11</v>
      </c>
      <c r="Q1163" t="s">
        <v>835</v>
      </c>
      <c r="S1163" t="s">
        <v>836</v>
      </c>
      <c r="T1163" t="s">
        <v>836</v>
      </c>
      <c r="U1163" t="str">
        <f t="shared" si="316"/>
        <v>2500-12-31 00:00:00.0</v>
      </c>
      <c r="V1163" t="s">
        <v>837</v>
      </c>
      <c r="W1163" t="str">
        <f>"048314-004796-**-**"</f>
        <v>048314-004796-**-**</v>
      </c>
      <c r="X1163" t="s">
        <v>838</v>
      </c>
      <c r="Y1163">
        <v>1254.5</v>
      </c>
      <c r="Z1163">
        <v>1254.5</v>
      </c>
      <c r="AA1163" t="str">
        <f>"06/08/2016"</f>
        <v>06/08/2016</v>
      </c>
    </row>
    <row r="1164" spans="1:27" x14ac:dyDescent="0.3">
      <c r="A1164" t="str">
        <f t="shared" si="319"/>
        <v>048314</v>
      </c>
      <c r="B1164" t="str">
        <f t="shared" si="315"/>
        <v>004796</v>
      </c>
      <c r="C1164" t="s">
        <v>2034</v>
      </c>
      <c r="D1164" t="s">
        <v>3839</v>
      </c>
      <c r="E1164" t="s">
        <v>3840</v>
      </c>
      <c r="F1164" t="s">
        <v>3841</v>
      </c>
      <c r="G1164" t="s">
        <v>3842</v>
      </c>
      <c r="H1164" t="str">
        <f>"048397"</f>
        <v>048397</v>
      </c>
      <c r="I1164" t="s">
        <v>833</v>
      </c>
      <c r="J1164" t="str">
        <f t="shared" si="318"/>
        <v>2015-07-01 00:00:00.0</v>
      </c>
      <c r="K1164" t="s">
        <v>834</v>
      </c>
      <c r="L1164" t="s">
        <v>1</v>
      </c>
      <c r="M1164" t="str">
        <f t="shared" si="310"/>
        <v>048314</v>
      </c>
      <c r="N1164">
        <v>1</v>
      </c>
      <c r="O1164">
        <v>1</v>
      </c>
      <c r="P1164" t="str">
        <f>"10"</f>
        <v>10</v>
      </c>
      <c r="Q1164" t="s">
        <v>835</v>
      </c>
      <c r="S1164" t="s">
        <v>836</v>
      </c>
      <c r="T1164" t="s">
        <v>836</v>
      </c>
      <c r="U1164" t="str">
        <f t="shared" si="316"/>
        <v>2500-12-31 00:00:00.0</v>
      </c>
      <c r="V1164" t="s">
        <v>837</v>
      </c>
      <c r="W1164" t="str">
        <f>"048397-042333-**-**"</f>
        <v>048397-042333-**-**</v>
      </c>
      <c r="X1164" t="s">
        <v>838</v>
      </c>
      <c r="Y1164">
        <v>1113.0999999999999</v>
      </c>
      <c r="Z1164">
        <v>1113.0999999999999</v>
      </c>
      <c r="AA1164" t="str">
        <f>"06/08/2016"</f>
        <v>06/08/2016</v>
      </c>
    </row>
    <row r="1165" spans="1:27" x14ac:dyDescent="0.3">
      <c r="A1165" t="str">
        <f t="shared" si="319"/>
        <v>048314</v>
      </c>
      <c r="B1165" t="str">
        <f t="shared" si="315"/>
        <v>004796</v>
      </c>
      <c r="C1165" t="s">
        <v>1344</v>
      </c>
      <c r="D1165" t="s">
        <v>3839</v>
      </c>
      <c r="E1165" t="s">
        <v>3840</v>
      </c>
      <c r="F1165" t="s">
        <v>3841</v>
      </c>
      <c r="G1165" t="s">
        <v>3842</v>
      </c>
      <c r="H1165" t="str">
        <f>"048314"</f>
        <v>048314</v>
      </c>
      <c r="I1165" t="s">
        <v>833</v>
      </c>
      <c r="J1165" t="str">
        <f t="shared" si="318"/>
        <v>2015-07-01 00:00:00.0</v>
      </c>
      <c r="K1165" t="s">
        <v>834</v>
      </c>
      <c r="L1165" t="s">
        <v>0</v>
      </c>
      <c r="M1165" t="str">
        <f t="shared" si="310"/>
        <v>048314</v>
      </c>
      <c r="N1165">
        <v>1</v>
      </c>
      <c r="O1165">
        <v>1</v>
      </c>
      <c r="P1165" t="str">
        <f>"11"</f>
        <v>11</v>
      </c>
      <c r="Q1165" t="s">
        <v>835</v>
      </c>
      <c r="S1165" t="s">
        <v>836</v>
      </c>
      <c r="T1165" t="s">
        <v>836</v>
      </c>
      <c r="U1165" t="str">
        <f t="shared" si="316"/>
        <v>2500-12-31 00:00:00.0</v>
      </c>
      <c r="V1165" t="s">
        <v>837</v>
      </c>
      <c r="W1165" t="str">
        <f>"048314-004796-**-**"</f>
        <v>048314-004796-**-**</v>
      </c>
      <c r="X1165" t="s">
        <v>838</v>
      </c>
      <c r="Y1165">
        <v>1254.5</v>
      </c>
      <c r="Z1165">
        <v>1254.5</v>
      </c>
      <c r="AA1165" t="str">
        <f>"06/08/2016"</f>
        <v>06/08/2016</v>
      </c>
    </row>
    <row r="1166" spans="1:27" x14ac:dyDescent="0.3">
      <c r="A1166" t="str">
        <f t="shared" si="319"/>
        <v>048314</v>
      </c>
      <c r="B1166" t="str">
        <f t="shared" si="315"/>
        <v>004796</v>
      </c>
      <c r="C1166" t="s">
        <v>1155</v>
      </c>
      <c r="D1166" t="s">
        <v>3839</v>
      </c>
      <c r="E1166" t="s">
        <v>3840</v>
      </c>
      <c r="F1166" t="s">
        <v>3841</v>
      </c>
      <c r="G1166" t="s">
        <v>3842</v>
      </c>
      <c r="H1166" t="str">
        <f>"044735"</f>
        <v>044735</v>
      </c>
      <c r="I1166" t="s">
        <v>833</v>
      </c>
      <c r="J1166" t="str">
        <f t="shared" si="318"/>
        <v>2015-07-01 00:00:00.0</v>
      </c>
      <c r="K1166" t="s">
        <v>834</v>
      </c>
      <c r="L1166" t="s">
        <v>1</v>
      </c>
      <c r="M1166" t="str">
        <f t="shared" si="310"/>
        <v>048314</v>
      </c>
      <c r="N1166">
        <v>1</v>
      </c>
      <c r="O1166">
        <v>1</v>
      </c>
      <c r="P1166" t="str">
        <f>"12"</f>
        <v>12</v>
      </c>
      <c r="Q1166" t="s">
        <v>835</v>
      </c>
      <c r="S1166" t="s">
        <v>836</v>
      </c>
      <c r="T1166" t="s">
        <v>836</v>
      </c>
      <c r="U1166" t="str">
        <f t="shared" si="316"/>
        <v>2500-12-31 00:00:00.0</v>
      </c>
      <c r="V1166" t="s">
        <v>837</v>
      </c>
      <c r="W1166" t="str">
        <f>"044735-033472-12-SE"</f>
        <v>044735-033472-12-SE</v>
      </c>
      <c r="X1166" t="s">
        <v>838</v>
      </c>
      <c r="Y1166">
        <v>1089.75</v>
      </c>
      <c r="Z1166">
        <v>1089.75</v>
      </c>
      <c r="AA1166" t="str">
        <f>"06/16/2016"</f>
        <v>06/16/2016</v>
      </c>
    </row>
    <row r="1167" spans="1:27" x14ac:dyDescent="0.3">
      <c r="A1167" t="str">
        <f t="shared" si="319"/>
        <v>048314</v>
      </c>
      <c r="B1167" t="str">
        <f t="shared" si="315"/>
        <v>004796</v>
      </c>
      <c r="C1167" t="s">
        <v>1710</v>
      </c>
      <c r="D1167" t="s">
        <v>3839</v>
      </c>
      <c r="E1167" t="s">
        <v>3840</v>
      </c>
      <c r="F1167" t="s">
        <v>3841</v>
      </c>
      <c r="G1167" t="s">
        <v>3842</v>
      </c>
      <c r="H1167" t="str">
        <f>"048314"</f>
        <v>048314</v>
      </c>
      <c r="I1167" t="s">
        <v>833</v>
      </c>
      <c r="J1167" t="str">
        <f t="shared" si="318"/>
        <v>2015-07-01 00:00:00.0</v>
      </c>
      <c r="K1167" t="s">
        <v>834</v>
      </c>
      <c r="L1167" t="s">
        <v>0</v>
      </c>
      <c r="M1167" t="str">
        <f t="shared" si="310"/>
        <v>048314</v>
      </c>
      <c r="N1167">
        <v>1</v>
      </c>
      <c r="O1167">
        <v>1</v>
      </c>
      <c r="P1167" t="str">
        <f>"10"</f>
        <v>10</v>
      </c>
      <c r="Q1167" t="s">
        <v>835</v>
      </c>
      <c r="S1167" t="s">
        <v>836</v>
      </c>
      <c r="T1167" t="s">
        <v>836</v>
      </c>
      <c r="U1167" t="str">
        <f t="shared" si="316"/>
        <v>2500-12-31 00:00:00.0</v>
      </c>
      <c r="V1167" t="s">
        <v>837</v>
      </c>
      <c r="W1167" t="str">
        <f>"048314-004796-**-**"</f>
        <v>048314-004796-**-**</v>
      </c>
      <c r="X1167" t="s">
        <v>838</v>
      </c>
      <c r="Y1167">
        <v>1254.5</v>
      </c>
      <c r="Z1167">
        <v>1254.5</v>
      </c>
      <c r="AA1167" t="str">
        <f>"06/08/2016"</f>
        <v>06/08/2016</v>
      </c>
    </row>
    <row r="1168" spans="1:27" x14ac:dyDescent="0.3">
      <c r="A1168" t="str">
        <f t="shared" si="319"/>
        <v>048314</v>
      </c>
      <c r="B1168" t="str">
        <f t="shared" si="315"/>
        <v>004796</v>
      </c>
      <c r="C1168" t="s">
        <v>1447</v>
      </c>
      <c r="D1168" t="s">
        <v>3839</v>
      </c>
      <c r="E1168" t="s">
        <v>3840</v>
      </c>
      <c r="F1168" t="s">
        <v>3841</v>
      </c>
      <c r="G1168" t="s">
        <v>3842</v>
      </c>
      <c r="H1168" t="str">
        <f>"048314"</f>
        <v>048314</v>
      </c>
      <c r="I1168" t="s">
        <v>833</v>
      </c>
      <c r="J1168" t="str">
        <f t="shared" si="318"/>
        <v>2015-07-01 00:00:00.0</v>
      </c>
      <c r="K1168" t="s">
        <v>834</v>
      </c>
      <c r="L1168" t="s">
        <v>0</v>
      </c>
      <c r="M1168" t="str">
        <f t="shared" si="310"/>
        <v>048314</v>
      </c>
      <c r="N1168">
        <v>1</v>
      </c>
      <c r="O1168">
        <v>1</v>
      </c>
      <c r="P1168" t="str">
        <f>"10"</f>
        <v>10</v>
      </c>
      <c r="Q1168" t="s">
        <v>835</v>
      </c>
      <c r="S1168" t="s">
        <v>836</v>
      </c>
      <c r="T1168" t="s">
        <v>836</v>
      </c>
      <c r="U1168" t="str">
        <f t="shared" si="316"/>
        <v>2500-12-31 00:00:00.0</v>
      </c>
      <c r="V1168" t="s">
        <v>837</v>
      </c>
      <c r="W1168" t="str">
        <f>"048314-004796-**-**"</f>
        <v>048314-004796-**-**</v>
      </c>
      <c r="X1168" t="s">
        <v>838</v>
      </c>
      <c r="Y1168">
        <v>1254.5</v>
      </c>
      <c r="Z1168">
        <v>1254.5</v>
      </c>
      <c r="AA1168" t="str">
        <f>"06/08/2016"</f>
        <v>06/08/2016</v>
      </c>
    </row>
    <row r="1169" spans="1:27" x14ac:dyDescent="0.3">
      <c r="A1169" t="str">
        <f t="shared" si="319"/>
        <v>048314</v>
      </c>
      <c r="B1169" t="str">
        <f t="shared" si="315"/>
        <v>004796</v>
      </c>
      <c r="C1169" t="s">
        <v>1445</v>
      </c>
      <c r="D1169" t="s">
        <v>3839</v>
      </c>
      <c r="E1169" t="s">
        <v>3840</v>
      </c>
      <c r="F1169" t="s">
        <v>3841</v>
      </c>
      <c r="G1169" t="s">
        <v>3842</v>
      </c>
      <c r="H1169" t="str">
        <f>"048314"</f>
        <v>048314</v>
      </c>
      <c r="I1169" t="s">
        <v>833</v>
      </c>
      <c r="J1169" t="str">
        <f t="shared" si="318"/>
        <v>2015-07-01 00:00:00.0</v>
      </c>
      <c r="K1169" t="s">
        <v>834</v>
      </c>
      <c r="L1169" t="s">
        <v>0</v>
      </c>
      <c r="M1169" t="str">
        <f t="shared" si="310"/>
        <v>048314</v>
      </c>
      <c r="N1169">
        <v>1</v>
      </c>
      <c r="O1169">
        <v>1</v>
      </c>
      <c r="P1169" t="str">
        <f>"11"</f>
        <v>11</v>
      </c>
      <c r="Q1169" t="s">
        <v>835</v>
      </c>
      <c r="S1169" t="s">
        <v>836</v>
      </c>
      <c r="T1169" t="s">
        <v>836</v>
      </c>
      <c r="U1169" t="str">
        <f t="shared" si="316"/>
        <v>2500-12-31 00:00:00.0</v>
      </c>
      <c r="V1169" t="s">
        <v>837</v>
      </c>
      <c r="W1169" t="str">
        <f>"048314-004796-**-**"</f>
        <v>048314-004796-**-**</v>
      </c>
      <c r="X1169" t="s">
        <v>838</v>
      </c>
      <c r="Y1169">
        <v>1254.5</v>
      </c>
      <c r="Z1169">
        <v>1254.5</v>
      </c>
      <c r="AA1169" t="str">
        <f>"06/08/2016"</f>
        <v>06/08/2016</v>
      </c>
    </row>
    <row r="1170" spans="1:27" x14ac:dyDescent="0.3">
      <c r="A1170" t="str">
        <f t="shared" si="319"/>
        <v>048314</v>
      </c>
      <c r="B1170" t="str">
        <f t="shared" si="315"/>
        <v>004796</v>
      </c>
      <c r="C1170" t="s">
        <v>2587</v>
      </c>
      <c r="D1170" t="s">
        <v>3839</v>
      </c>
      <c r="E1170" t="s">
        <v>3840</v>
      </c>
      <c r="F1170" t="s">
        <v>3841</v>
      </c>
      <c r="G1170" t="s">
        <v>3842</v>
      </c>
      <c r="H1170" t="str">
        <f>"048314"</f>
        <v>048314</v>
      </c>
      <c r="I1170" t="s">
        <v>833</v>
      </c>
      <c r="J1170" t="str">
        <f t="shared" si="318"/>
        <v>2015-07-01 00:00:00.0</v>
      </c>
      <c r="K1170" t="s">
        <v>834</v>
      </c>
      <c r="L1170" t="s">
        <v>0</v>
      </c>
      <c r="M1170" t="str">
        <f t="shared" si="310"/>
        <v>048314</v>
      </c>
      <c r="N1170">
        <v>1</v>
      </c>
      <c r="O1170">
        <v>1</v>
      </c>
      <c r="P1170" t="str">
        <f>"10"</f>
        <v>10</v>
      </c>
      <c r="Q1170" t="s">
        <v>835</v>
      </c>
      <c r="S1170" t="s">
        <v>836</v>
      </c>
      <c r="T1170" t="s">
        <v>836</v>
      </c>
      <c r="U1170" t="str">
        <f t="shared" si="316"/>
        <v>2500-12-31 00:00:00.0</v>
      </c>
      <c r="V1170" t="s">
        <v>837</v>
      </c>
      <c r="W1170" t="str">
        <f>"048314-004796-**-**"</f>
        <v>048314-004796-**-**</v>
      </c>
      <c r="X1170" t="s">
        <v>838</v>
      </c>
      <c r="Y1170">
        <v>1254.5</v>
      </c>
      <c r="Z1170">
        <v>1254.5</v>
      </c>
      <c r="AA1170" t="str">
        <f>"06/08/2016"</f>
        <v>06/08/2016</v>
      </c>
    </row>
    <row r="1171" spans="1:27" x14ac:dyDescent="0.3">
      <c r="A1171" t="str">
        <f t="shared" si="319"/>
        <v>048314</v>
      </c>
      <c r="B1171" t="str">
        <f t="shared" si="315"/>
        <v>004796</v>
      </c>
      <c r="C1171" t="s">
        <v>2035</v>
      </c>
      <c r="D1171" t="s">
        <v>3839</v>
      </c>
      <c r="E1171" t="s">
        <v>3840</v>
      </c>
      <c r="F1171" t="s">
        <v>3841</v>
      </c>
      <c r="G1171" t="s">
        <v>3842</v>
      </c>
      <c r="H1171" t="str">
        <f>"048314"</f>
        <v>048314</v>
      </c>
      <c r="I1171" t="s">
        <v>833</v>
      </c>
      <c r="J1171" t="str">
        <f t="shared" si="318"/>
        <v>2015-07-01 00:00:00.0</v>
      </c>
      <c r="K1171" t="s">
        <v>834</v>
      </c>
      <c r="L1171" t="s">
        <v>0</v>
      </c>
      <c r="M1171" t="str">
        <f t="shared" si="310"/>
        <v>048314</v>
      </c>
      <c r="N1171">
        <v>1</v>
      </c>
      <c r="O1171">
        <v>1</v>
      </c>
      <c r="P1171" t="str">
        <f>"11"</f>
        <v>11</v>
      </c>
      <c r="Q1171" t="s">
        <v>835</v>
      </c>
      <c r="S1171" t="s">
        <v>836</v>
      </c>
      <c r="T1171" t="s">
        <v>836</v>
      </c>
      <c r="U1171" t="str">
        <f t="shared" si="316"/>
        <v>2500-12-31 00:00:00.0</v>
      </c>
      <c r="V1171" t="s">
        <v>837</v>
      </c>
      <c r="W1171" t="str">
        <f>"048314-004796-**-**"</f>
        <v>048314-004796-**-**</v>
      </c>
      <c r="X1171" t="s">
        <v>838</v>
      </c>
      <c r="Y1171">
        <v>1254.5</v>
      </c>
      <c r="Z1171">
        <v>1254.5</v>
      </c>
      <c r="AA1171" t="str">
        <f>"06/08/2016"</f>
        <v>06/08/2016</v>
      </c>
    </row>
    <row r="1172" spans="1:27" x14ac:dyDescent="0.3">
      <c r="A1172" t="str">
        <f t="shared" si="319"/>
        <v>048314</v>
      </c>
      <c r="B1172" t="str">
        <f t="shared" si="315"/>
        <v>004796</v>
      </c>
      <c r="C1172" t="s">
        <v>2008</v>
      </c>
      <c r="D1172" t="s">
        <v>3839</v>
      </c>
      <c r="E1172" t="s">
        <v>3840</v>
      </c>
      <c r="F1172" t="s">
        <v>3841</v>
      </c>
      <c r="G1172" t="s">
        <v>3842</v>
      </c>
      <c r="H1172" t="str">
        <f>"051243"</f>
        <v>051243</v>
      </c>
      <c r="I1172" t="s">
        <v>833</v>
      </c>
      <c r="J1172" t="str">
        <f t="shared" si="318"/>
        <v>2015-07-01 00:00:00.0</v>
      </c>
      <c r="K1172" t="s">
        <v>834</v>
      </c>
      <c r="L1172" t="s">
        <v>0</v>
      </c>
      <c r="M1172" t="str">
        <f t="shared" si="310"/>
        <v>048314</v>
      </c>
      <c r="N1172">
        <v>1</v>
      </c>
      <c r="O1172">
        <v>1</v>
      </c>
      <c r="P1172" t="str">
        <f>"12"</f>
        <v>12</v>
      </c>
      <c r="Q1172" t="s">
        <v>835</v>
      </c>
      <c r="S1172" t="s">
        <v>836</v>
      </c>
      <c r="T1172" t="s">
        <v>836</v>
      </c>
      <c r="U1172" t="str">
        <f t="shared" si="316"/>
        <v>2500-12-31 00:00:00.0</v>
      </c>
      <c r="V1172" t="s">
        <v>886</v>
      </c>
      <c r="W1172" t="str">
        <f>"051243-051250-12-SE"</f>
        <v>051243-051250-12-SE</v>
      </c>
      <c r="X1172" t="s">
        <v>838</v>
      </c>
      <c r="Y1172">
        <v>1105</v>
      </c>
      <c r="Z1172">
        <v>1105</v>
      </c>
      <c r="AA1172" t="str">
        <f>"05/21/2016"</f>
        <v>05/21/2016</v>
      </c>
    </row>
    <row r="1173" spans="1:27" x14ac:dyDescent="0.3">
      <c r="A1173" t="str">
        <f t="shared" si="319"/>
        <v>048314</v>
      </c>
      <c r="B1173" t="str">
        <f t="shared" si="315"/>
        <v>004796</v>
      </c>
      <c r="C1173" t="s">
        <v>3140</v>
      </c>
      <c r="D1173" t="s">
        <v>3839</v>
      </c>
      <c r="E1173" t="s">
        <v>3840</v>
      </c>
      <c r="F1173" t="s">
        <v>3841</v>
      </c>
      <c r="G1173" t="s">
        <v>3842</v>
      </c>
      <c r="H1173" t="str">
        <f>"048314"</f>
        <v>048314</v>
      </c>
      <c r="I1173" t="s">
        <v>833</v>
      </c>
      <c r="J1173" t="str">
        <f t="shared" si="318"/>
        <v>2015-07-01 00:00:00.0</v>
      </c>
      <c r="K1173" t="s">
        <v>834</v>
      </c>
      <c r="L1173" t="s">
        <v>0</v>
      </c>
      <c r="M1173" t="str">
        <f t="shared" si="310"/>
        <v>048314</v>
      </c>
      <c r="N1173">
        <v>1</v>
      </c>
      <c r="O1173">
        <v>1</v>
      </c>
      <c r="P1173" t="str">
        <f>"12"</f>
        <v>12</v>
      </c>
      <c r="Q1173" t="s">
        <v>835</v>
      </c>
      <c r="S1173" t="s">
        <v>836</v>
      </c>
      <c r="T1173" t="s">
        <v>836</v>
      </c>
      <c r="U1173" t="str">
        <f t="shared" si="316"/>
        <v>2500-12-31 00:00:00.0</v>
      </c>
      <c r="V1173" t="s">
        <v>837</v>
      </c>
      <c r="W1173" t="str">
        <f>"048314-004796-12-SE"</f>
        <v>048314-004796-12-SE</v>
      </c>
      <c r="X1173" t="s">
        <v>838</v>
      </c>
      <c r="Y1173">
        <v>1254.5</v>
      </c>
      <c r="Z1173">
        <v>1254.5</v>
      </c>
      <c r="AA1173" t="str">
        <f>"06/08/2016"</f>
        <v>06/08/2016</v>
      </c>
    </row>
    <row r="1174" spans="1:27" x14ac:dyDescent="0.3">
      <c r="A1174" t="str">
        <f t="shared" si="319"/>
        <v>048314</v>
      </c>
      <c r="B1174" t="str">
        <f t="shared" si="315"/>
        <v>004796</v>
      </c>
      <c r="C1174" t="s">
        <v>1510</v>
      </c>
      <c r="D1174" t="s">
        <v>3839</v>
      </c>
      <c r="E1174" t="s">
        <v>3840</v>
      </c>
      <c r="F1174" t="s">
        <v>3841</v>
      </c>
      <c r="G1174" t="s">
        <v>3842</v>
      </c>
      <c r="H1174" t="str">
        <f>"048314"</f>
        <v>048314</v>
      </c>
      <c r="I1174" t="s">
        <v>833</v>
      </c>
      <c r="J1174" t="str">
        <f t="shared" si="318"/>
        <v>2015-07-01 00:00:00.0</v>
      </c>
      <c r="K1174" t="s">
        <v>834</v>
      </c>
      <c r="L1174" t="s">
        <v>0</v>
      </c>
      <c r="M1174" t="str">
        <f t="shared" si="310"/>
        <v>048314</v>
      </c>
      <c r="N1174">
        <v>1</v>
      </c>
      <c r="O1174">
        <v>1</v>
      </c>
      <c r="P1174" t="str">
        <f>"10"</f>
        <v>10</v>
      </c>
      <c r="Q1174" t="str">
        <f>"09"</f>
        <v>09</v>
      </c>
      <c r="R1174" t="str">
        <f>"2"</f>
        <v>2</v>
      </c>
      <c r="S1174" t="s">
        <v>860</v>
      </c>
      <c r="T1174" t="s">
        <v>836</v>
      </c>
      <c r="U1174" t="str">
        <f t="shared" si="316"/>
        <v>2500-12-31 00:00:00.0</v>
      </c>
      <c r="V1174" t="s">
        <v>837</v>
      </c>
      <c r="W1174" t="str">
        <f>"048314-004796-**-**"</f>
        <v>048314-004796-**-**</v>
      </c>
      <c r="X1174" t="s">
        <v>838</v>
      </c>
      <c r="Y1174">
        <v>1254.5</v>
      </c>
      <c r="Z1174">
        <v>1254.5</v>
      </c>
      <c r="AA1174" t="str">
        <f>"06/08/2016"</f>
        <v>06/08/2016</v>
      </c>
    </row>
    <row r="1175" spans="1:27" x14ac:dyDescent="0.3">
      <c r="A1175" t="str">
        <f t="shared" si="319"/>
        <v>048314</v>
      </c>
      <c r="B1175" t="str">
        <f t="shared" si="315"/>
        <v>004796</v>
      </c>
      <c r="C1175" t="s">
        <v>2036</v>
      </c>
      <c r="D1175" t="s">
        <v>3839</v>
      </c>
      <c r="E1175" t="s">
        <v>3840</v>
      </c>
      <c r="F1175" t="s">
        <v>3841</v>
      </c>
      <c r="G1175" t="s">
        <v>3842</v>
      </c>
      <c r="H1175" t="str">
        <f>"048314"</f>
        <v>048314</v>
      </c>
      <c r="I1175" t="s">
        <v>833</v>
      </c>
      <c r="J1175" t="str">
        <f t="shared" si="318"/>
        <v>2015-07-01 00:00:00.0</v>
      </c>
      <c r="K1175" t="s">
        <v>834</v>
      </c>
      <c r="L1175" t="s">
        <v>0</v>
      </c>
      <c r="M1175" t="str">
        <f t="shared" si="310"/>
        <v>048314</v>
      </c>
      <c r="N1175">
        <v>1</v>
      </c>
      <c r="O1175">
        <v>1</v>
      </c>
      <c r="P1175" t="str">
        <f>"10"</f>
        <v>10</v>
      </c>
      <c r="Q1175" t="s">
        <v>835</v>
      </c>
      <c r="S1175" t="s">
        <v>836</v>
      </c>
      <c r="T1175" t="s">
        <v>836</v>
      </c>
      <c r="U1175" t="str">
        <f t="shared" si="316"/>
        <v>2500-12-31 00:00:00.0</v>
      </c>
      <c r="V1175" t="s">
        <v>837</v>
      </c>
      <c r="W1175" t="str">
        <f>"048314-004796-**-**"</f>
        <v>048314-004796-**-**</v>
      </c>
      <c r="X1175" t="s">
        <v>838</v>
      </c>
      <c r="Y1175">
        <v>1254.5</v>
      </c>
      <c r="Z1175">
        <v>1254.5</v>
      </c>
      <c r="AA1175" t="str">
        <f>"06/08/2016"</f>
        <v>06/08/2016</v>
      </c>
    </row>
    <row r="1176" spans="1:27" x14ac:dyDescent="0.3">
      <c r="A1176" t="str">
        <f t="shared" si="319"/>
        <v>048314</v>
      </c>
      <c r="B1176" t="str">
        <f t="shared" si="315"/>
        <v>004796</v>
      </c>
      <c r="C1176" t="s">
        <v>1088</v>
      </c>
      <c r="D1176" t="s">
        <v>3839</v>
      </c>
      <c r="E1176" t="s">
        <v>3840</v>
      </c>
      <c r="F1176" t="s">
        <v>3841</v>
      </c>
      <c r="G1176" t="s">
        <v>3842</v>
      </c>
      <c r="H1176" t="str">
        <f>"048298"</f>
        <v>048298</v>
      </c>
      <c r="I1176" t="s">
        <v>833</v>
      </c>
      <c r="J1176" t="str">
        <f>"2015-08-24 00:00:00.0"</f>
        <v>2015-08-24 00:00:00.0</v>
      </c>
      <c r="K1176" t="s">
        <v>834</v>
      </c>
      <c r="L1176" t="s">
        <v>1</v>
      </c>
      <c r="M1176" t="str">
        <f t="shared" si="310"/>
        <v>048314</v>
      </c>
      <c r="N1176">
        <v>1</v>
      </c>
      <c r="O1176">
        <v>1</v>
      </c>
      <c r="P1176" t="str">
        <f>"12"</f>
        <v>12</v>
      </c>
      <c r="Q1176" t="s">
        <v>835</v>
      </c>
      <c r="S1176" t="s">
        <v>836</v>
      </c>
      <c r="T1176" t="s">
        <v>836</v>
      </c>
      <c r="U1176" t="str">
        <f t="shared" si="316"/>
        <v>2500-12-31 00:00:00.0</v>
      </c>
      <c r="V1176" t="s">
        <v>837</v>
      </c>
      <c r="W1176" t="str">
        <f>"048298-011791-**-**"</f>
        <v>048298-011791-**-**</v>
      </c>
      <c r="X1176" t="s">
        <v>838</v>
      </c>
      <c r="Y1176">
        <v>1163.5</v>
      </c>
      <c r="Z1176">
        <v>1163.5</v>
      </c>
      <c r="AA1176" t="str">
        <f>"06/15/2016"</f>
        <v>06/15/2016</v>
      </c>
    </row>
    <row r="1177" spans="1:27" x14ac:dyDescent="0.3">
      <c r="A1177" t="str">
        <f t="shared" si="319"/>
        <v>048314</v>
      </c>
      <c r="B1177" t="str">
        <f t="shared" si="315"/>
        <v>004796</v>
      </c>
      <c r="C1177" t="s">
        <v>1156</v>
      </c>
      <c r="D1177" t="s">
        <v>3839</v>
      </c>
      <c r="E1177" t="s">
        <v>3840</v>
      </c>
      <c r="F1177" t="s">
        <v>3841</v>
      </c>
      <c r="G1177" t="s">
        <v>3842</v>
      </c>
      <c r="H1177" t="str">
        <f t="shared" ref="H1177:H1197" si="322">"048314"</f>
        <v>048314</v>
      </c>
      <c r="I1177" t="s">
        <v>833</v>
      </c>
      <c r="J1177" t="str">
        <f t="shared" ref="J1177:J1186" si="323">"2015-07-01 00:00:00.0"</f>
        <v>2015-07-01 00:00:00.0</v>
      </c>
      <c r="K1177" t="s">
        <v>834</v>
      </c>
      <c r="L1177" t="s">
        <v>0</v>
      </c>
      <c r="M1177" t="str">
        <f t="shared" si="310"/>
        <v>048314</v>
      </c>
      <c r="N1177">
        <v>1</v>
      </c>
      <c r="O1177">
        <v>1</v>
      </c>
      <c r="P1177" t="str">
        <f>"12"</f>
        <v>12</v>
      </c>
      <c r="Q1177" t="s">
        <v>835</v>
      </c>
      <c r="S1177" t="s">
        <v>836</v>
      </c>
      <c r="T1177" t="s">
        <v>836</v>
      </c>
      <c r="U1177" t="str">
        <f t="shared" si="316"/>
        <v>2500-12-31 00:00:00.0</v>
      </c>
      <c r="V1177" t="s">
        <v>837</v>
      </c>
      <c r="W1177" t="str">
        <f>"048314-004796-12-SE"</f>
        <v>048314-004796-12-SE</v>
      </c>
      <c r="X1177" t="s">
        <v>838</v>
      </c>
      <c r="Y1177">
        <v>1254.5</v>
      </c>
      <c r="Z1177">
        <v>1254.5</v>
      </c>
      <c r="AA1177" t="str">
        <f t="shared" ref="AA1177:AA1197" si="324">"06/08/2016"</f>
        <v>06/08/2016</v>
      </c>
    </row>
    <row r="1178" spans="1:27" x14ac:dyDescent="0.3">
      <c r="A1178" t="str">
        <f t="shared" si="319"/>
        <v>048314</v>
      </c>
      <c r="B1178" t="str">
        <f t="shared" si="315"/>
        <v>004796</v>
      </c>
      <c r="C1178" t="s">
        <v>1456</v>
      </c>
      <c r="D1178" t="s">
        <v>3839</v>
      </c>
      <c r="E1178" t="s">
        <v>3840</v>
      </c>
      <c r="F1178" t="s">
        <v>3841</v>
      </c>
      <c r="G1178" t="s">
        <v>3842</v>
      </c>
      <c r="H1178" t="str">
        <f t="shared" si="322"/>
        <v>048314</v>
      </c>
      <c r="I1178" t="s">
        <v>833</v>
      </c>
      <c r="J1178" t="str">
        <f t="shared" si="323"/>
        <v>2015-07-01 00:00:00.0</v>
      </c>
      <c r="K1178" t="s">
        <v>834</v>
      </c>
      <c r="L1178" t="s">
        <v>0</v>
      </c>
      <c r="M1178" t="str">
        <f t="shared" si="310"/>
        <v>048314</v>
      </c>
      <c r="N1178">
        <v>1</v>
      </c>
      <c r="O1178">
        <v>1</v>
      </c>
      <c r="P1178" t="str">
        <f>"11"</f>
        <v>11</v>
      </c>
      <c r="Q1178" t="s">
        <v>835</v>
      </c>
      <c r="S1178" t="s">
        <v>836</v>
      </c>
      <c r="T1178" t="s">
        <v>836</v>
      </c>
      <c r="U1178" t="str">
        <f t="shared" si="316"/>
        <v>2500-12-31 00:00:00.0</v>
      </c>
      <c r="V1178" t="s">
        <v>837</v>
      </c>
      <c r="W1178" t="str">
        <f>"048314-004796-**-**"</f>
        <v>048314-004796-**-**</v>
      </c>
      <c r="X1178" t="s">
        <v>838</v>
      </c>
      <c r="Y1178">
        <v>1254.5</v>
      </c>
      <c r="Z1178">
        <v>1254.5</v>
      </c>
      <c r="AA1178" t="str">
        <f t="shared" si="324"/>
        <v>06/08/2016</v>
      </c>
    </row>
    <row r="1179" spans="1:27" x14ac:dyDescent="0.3">
      <c r="A1179" t="str">
        <f t="shared" si="319"/>
        <v>048314</v>
      </c>
      <c r="B1179" t="str">
        <f t="shared" si="315"/>
        <v>004796</v>
      </c>
      <c r="C1179" t="s">
        <v>1223</v>
      </c>
      <c r="D1179" t="s">
        <v>3839</v>
      </c>
      <c r="E1179" t="s">
        <v>3840</v>
      </c>
      <c r="F1179" t="s">
        <v>3841</v>
      </c>
      <c r="G1179" t="s">
        <v>3842</v>
      </c>
      <c r="H1179" t="str">
        <f t="shared" si="322"/>
        <v>048314</v>
      </c>
      <c r="I1179" t="s">
        <v>833</v>
      </c>
      <c r="J1179" t="str">
        <f t="shared" si="323"/>
        <v>2015-07-01 00:00:00.0</v>
      </c>
      <c r="K1179" t="s">
        <v>834</v>
      </c>
      <c r="L1179" t="s">
        <v>0</v>
      </c>
      <c r="M1179" t="str">
        <f t="shared" si="310"/>
        <v>048314</v>
      </c>
      <c r="N1179">
        <v>1</v>
      </c>
      <c r="O1179">
        <v>1</v>
      </c>
      <c r="P1179" t="str">
        <f>"11"</f>
        <v>11</v>
      </c>
      <c r="Q1179" t="s">
        <v>835</v>
      </c>
      <c r="S1179" t="s">
        <v>836</v>
      </c>
      <c r="T1179" t="s">
        <v>836</v>
      </c>
      <c r="U1179" t="str">
        <f t="shared" si="316"/>
        <v>2500-12-31 00:00:00.0</v>
      </c>
      <c r="V1179" t="s">
        <v>837</v>
      </c>
      <c r="W1179" t="str">
        <f>"048314-004796-**-**"</f>
        <v>048314-004796-**-**</v>
      </c>
      <c r="X1179" t="s">
        <v>838</v>
      </c>
      <c r="Y1179">
        <v>1254.5</v>
      </c>
      <c r="Z1179">
        <v>1254.5</v>
      </c>
      <c r="AA1179" t="str">
        <f t="shared" si="324"/>
        <v>06/08/2016</v>
      </c>
    </row>
    <row r="1180" spans="1:27" x14ac:dyDescent="0.3">
      <c r="A1180" t="str">
        <f t="shared" si="319"/>
        <v>048314</v>
      </c>
      <c r="B1180" t="str">
        <f t="shared" si="315"/>
        <v>004796</v>
      </c>
      <c r="C1180" t="s">
        <v>1737</v>
      </c>
      <c r="D1180" t="s">
        <v>3839</v>
      </c>
      <c r="E1180" t="s">
        <v>3840</v>
      </c>
      <c r="F1180" t="s">
        <v>3841</v>
      </c>
      <c r="G1180" t="s">
        <v>3842</v>
      </c>
      <c r="H1180" t="str">
        <f t="shared" si="322"/>
        <v>048314</v>
      </c>
      <c r="I1180" t="s">
        <v>833</v>
      </c>
      <c r="J1180" t="str">
        <f t="shared" si="323"/>
        <v>2015-07-01 00:00:00.0</v>
      </c>
      <c r="K1180" t="s">
        <v>834</v>
      </c>
      <c r="L1180" t="s">
        <v>0</v>
      </c>
      <c r="M1180" t="str">
        <f t="shared" ref="M1180:M1243" si="325">"048314"</f>
        <v>048314</v>
      </c>
      <c r="N1180">
        <v>1</v>
      </c>
      <c r="O1180">
        <v>1</v>
      </c>
      <c r="P1180" t="str">
        <f>"11"</f>
        <v>11</v>
      </c>
      <c r="Q1180" t="s">
        <v>835</v>
      </c>
      <c r="S1180" t="s">
        <v>836</v>
      </c>
      <c r="T1180" t="s">
        <v>836</v>
      </c>
      <c r="U1180" t="str">
        <f t="shared" si="316"/>
        <v>2500-12-31 00:00:00.0</v>
      </c>
      <c r="V1180" t="s">
        <v>837</v>
      </c>
      <c r="W1180" t="str">
        <f>"048314-004796-**-**"</f>
        <v>048314-004796-**-**</v>
      </c>
      <c r="X1180" t="s">
        <v>838</v>
      </c>
      <c r="Y1180">
        <v>1254.5</v>
      </c>
      <c r="Z1180">
        <v>1254.5</v>
      </c>
      <c r="AA1180" t="str">
        <f t="shared" si="324"/>
        <v>06/08/2016</v>
      </c>
    </row>
    <row r="1181" spans="1:27" x14ac:dyDescent="0.3">
      <c r="A1181" t="str">
        <f t="shared" si="319"/>
        <v>048314</v>
      </c>
      <c r="B1181" t="str">
        <f t="shared" si="315"/>
        <v>004796</v>
      </c>
      <c r="C1181" t="s">
        <v>1427</v>
      </c>
      <c r="D1181" t="s">
        <v>3839</v>
      </c>
      <c r="E1181" t="s">
        <v>3840</v>
      </c>
      <c r="F1181" t="s">
        <v>3841</v>
      </c>
      <c r="G1181" t="s">
        <v>3842</v>
      </c>
      <c r="H1181" t="str">
        <f t="shared" si="322"/>
        <v>048314</v>
      </c>
      <c r="I1181" t="s">
        <v>833</v>
      </c>
      <c r="J1181" t="str">
        <f t="shared" si="323"/>
        <v>2015-07-01 00:00:00.0</v>
      </c>
      <c r="K1181" t="s">
        <v>834</v>
      </c>
      <c r="L1181" t="s">
        <v>0</v>
      </c>
      <c r="M1181" t="str">
        <f t="shared" si="325"/>
        <v>048314</v>
      </c>
      <c r="N1181">
        <v>1</v>
      </c>
      <c r="O1181">
        <v>1</v>
      </c>
      <c r="P1181" t="str">
        <f>"12"</f>
        <v>12</v>
      </c>
      <c r="Q1181" t="s">
        <v>835</v>
      </c>
      <c r="S1181" t="s">
        <v>836</v>
      </c>
      <c r="T1181" t="s">
        <v>836</v>
      </c>
      <c r="U1181" t="str">
        <f t="shared" si="316"/>
        <v>2500-12-31 00:00:00.0</v>
      </c>
      <c r="V1181" t="s">
        <v>837</v>
      </c>
      <c r="W1181" t="str">
        <f>"048314-004796-12-SE"</f>
        <v>048314-004796-12-SE</v>
      </c>
      <c r="X1181" t="s">
        <v>838</v>
      </c>
      <c r="Y1181">
        <v>1254.5</v>
      </c>
      <c r="Z1181">
        <v>1254.5</v>
      </c>
      <c r="AA1181" t="str">
        <f t="shared" si="324"/>
        <v>06/08/2016</v>
      </c>
    </row>
    <row r="1182" spans="1:27" x14ac:dyDescent="0.3">
      <c r="A1182" t="str">
        <f t="shared" si="319"/>
        <v>048314</v>
      </c>
      <c r="B1182" t="str">
        <f t="shared" si="315"/>
        <v>004796</v>
      </c>
      <c r="C1182" t="s">
        <v>1388</v>
      </c>
      <c r="D1182" t="s">
        <v>3839</v>
      </c>
      <c r="E1182" t="s">
        <v>3840</v>
      </c>
      <c r="F1182" t="s">
        <v>3841</v>
      </c>
      <c r="G1182" t="s">
        <v>3842</v>
      </c>
      <c r="H1182" t="str">
        <f t="shared" si="322"/>
        <v>048314</v>
      </c>
      <c r="I1182" t="s">
        <v>833</v>
      </c>
      <c r="J1182" t="str">
        <f t="shared" si="323"/>
        <v>2015-07-01 00:00:00.0</v>
      </c>
      <c r="K1182" t="s">
        <v>834</v>
      </c>
      <c r="L1182" t="s">
        <v>0</v>
      </c>
      <c r="M1182" t="str">
        <f t="shared" si="325"/>
        <v>048314</v>
      </c>
      <c r="N1182">
        <v>1</v>
      </c>
      <c r="O1182">
        <v>1</v>
      </c>
      <c r="P1182" t="str">
        <f>"11"</f>
        <v>11</v>
      </c>
      <c r="Q1182" t="s">
        <v>835</v>
      </c>
      <c r="S1182" t="s">
        <v>836</v>
      </c>
      <c r="T1182" t="s">
        <v>836</v>
      </c>
      <c r="U1182" t="str">
        <f t="shared" si="316"/>
        <v>2500-12-31 00:00:00.0</v>
      </c>
      <c r="V1182" t="s">
        <v>837</v>
      </c>
      <c r="W1182" t="str">
        <f>"048314-004796-**-**"</f>
        <v>048314-004796-**-**</v>
      </c>
      <c r="X1182" t="s">
        <v>838</v>
      </c>
      <c r="Y1182">
        <v>1254.5</v>
      </c>
      <c r="Z1182">
        <v>1254.5</v>
      </c>
      <c r="AA1182" t="str">
        <f t="shared" si="324"/>
        <v>06/08/2016</v>
      </c>
    </row>
    <row r="1183" spans="1:27" x14ac:dyDescent="0.3">
      <c r="A1183" t="str">
        <f t="shared" si="319"/>
        <v>048314</v>
      </c>
      <c r="B1183" t="str">
        <f t="shared" si="315"/>
        <v>004796</v>
      </c>
      <c r="C1183" t="s">
        <v>1610</v>
      </c>
      <c r="D1183" t="s">
        <v>3839</v>
      </c>
      <c r="E1183" t="s">
        <v>3840</v>
      </c>
      <c r="F1183" t="s">
        <v>3841</v>
      </c>
      <c r="G1183" t="s">
        <v>3842</v>
      </c>
      <c r="H1183" t="str">
        <f t="shared" si="322"/>
        <v>048314</v>
      </c>
      <c r="I1183" t="s">
        <v>833</v>
      </c>
      <c r="J1183" t="str">
        <f t="shared" si="323"/>
        <v>2015-07-01 00:00:00.0</v>
      </c>
      <c r="K1183" t="s">
        <v>834</v>
      </c>
      <c r="L1183" t="s">
        <v>0</v>
      </c>
      <c r="M1183" t="str">
        <f t="shared" si="325"/>
        <v>048314</v>
      </c>
      <c r="N1183">
        <v>1</v>
      </c>
      <c r="O1183">
        <v>1</v>
      </c>
      <c r="P1183" t="str">
        <f>"10"</f>
        <v>10</v>
      </c>
      <c r="Q1183" t="s">
        <v>835</v>
      </c>
      <c r="S1183" t="s">
        <v>836</v>
      </c>
      <c r="T1183" t="s">
        <v>836</v>
      </c>
      <c r="U1183" t="str">
        <f t="shared" si="316"/>
        <v>2500-12-31 00:00:00.0</v>
      </c>
      <c r="V1183" t="s">
        <v>837</v>
      </c>
      <c r="W1183" t="str">
        <f>"048314-004796-**-**"</f>
        <v>048314-004796-**-**</v>
      </c>
      <c r="X1183" t="s">
        <v>838</v>
      </c>
      <c r="Y1183">
        <v>1254.5</v>
      </c>
      <c r="Z1183">
        <v>1254.5</v>
      </c>
      <c r="AA1183" t="str">
        <f t="shared" si="324"/>
        <v>06/08/2016</v>
      </c>
    </row>
    <row r="1184" spans="1:27" x14ac:dyDescent="0.3">
      <c r="A1184" t="str">
        <f t="shared" si="319"/>
        <v>048314</v>
      </c>
      <c r="B1184" t="str">
        <f t="shared" si="315"/>
        <v>004796</v>
      </c>
      <c r="C1184" t="s">
        <v>1199</v>
      </c>
      <c r="D1184" t="s">
        <v>3839</v>
      </c>
      <c r="E1184" t="s">
        <v>3840</v>
      </c>
      <c r="F1184" t="s">
        <v>3841</v>
      </c>
      <c r="G1184" t="s">
        <v>3842</v>
      </c>
      <c r="H1184" t="str">
        <f t="shared" si="322"/>
        <v>048314</v>
      </c>
      <c r="I1184" t="s">
        <v>833</v>
      </c>
      <c r="J1184" t="str">
        <f t="shared" si="323"/>
        <v>2015-07-01 00:00:00.0</v>
      </c>
      <c r="K1184" t="s">
        <v>834</v>
      </c>
      <c r="L1184" t="s">
        <v>0</v>
      </c>
      <c r="M1184" t="str">
        <f t="shared" si="325"/>
        <v>048314</v>
      </c>
      <c r="N1184">
        <v>1</v>
      </c>
      <c r="O1184">
        <v>1</v>
      </c>
      <c r="P1184" t="str">
        <f>"12"</f>
        <v>12</v>
      </c>
      <c r="Q1184" t="s">
        <v>835</v>
      </c>
      <c r="S1184" t="s">
        <v>836</v>
      </c>
      <c r="T1184" t="s">
        <v>836</v>
      </c>
      <c r="U1184" t="str">
        <f t="shared" si="316"/>
        <v>2500-12-31 00:00:00.0</v>
      </c>
      <c r="V1184" t="s">
        <v>837</v>
      </c>
      <c r="W1184" t="str">
        <f>"048314-004796-12-SE"</f>
        <v>048314-004796-12-SE</v>
      </c>
      <c r="X1184" t="s">
        <v>838</v>
      </c>
      <c r="Y1184">
        <v>1254.5</v>
      </c>
      <c r="Z1184">
        <v>1254.5</v>
      </c>
      <c r="AA1184" t="str">
        <f t="shared" si="324"/>
        <v>06/08/2016</v>
      </c>
    </row>
    <row r="1185" spans="1:27" x14ac:dyDescent="0.3">
      <c r="A1185" t="str">
        <f t="shared" si="319"/>
        <v>048314</v>
      </c>
      <c r="B1185" t="str">
        <f t="shared" si="315"/>
        <v>004796</v>
      </c>
      <c r="C1185" t="s">
        <v>1611</v>
      </c>
      <c r="D1185" t="s">
        <v>3839</v>
      </c>
      <c r="E1185" t="s">
        <v>3840</v>
      </c>
      <c r="F1185" t="s">
        <v>3841</v>
      </c>
      <c r="G1185" t="s">
        <v>3842</v>
      </c>
      <c r="H1185" t="str">
        <f t="shared" si="322"/>
        <v>048314</v>
      </c>
      <c r="I1185" t="s">
        <v>833</v>
      </c>
      <c r="J1185" t="str">
        <f t="shared" si="323"/>
        <v>2015-07-01 00:00:00.0</v>
      </c>
      <c r="K1185" t="s">
        <v>834</v>
      </c>
      <c r="L1185" t="s">
        <v>0</v>
      </c>
      <c r="M1185" t="str">
        <f t="shared" si="325"/>
        <v>048314</v>
      </c>
      <c r="N1185">
        <v>1</v>
      </c>
      <c r="O1185">
        <v>1</v>
      </c>
      <c r="P1185" t="str">
        <f>"10"</f>
        <v>10</v>
      </c>
      <c r="Q1185" t="s">
        <v>835</v>
      </c>
      <c r="S1185" t="s">
        <v>836</v>
      </c>
      <c r="T1185" t="s">
        <v>836</v>
      </c>
      <c r="U1185" t="str">
        <f t="shared" si="316"/>
        <v>2500-12-31 00:00:00.0</v>
      </c>
      <c r="V1185" t="s">
        <v>837</v>
      </c>
      <c r="W1185" t="str">
        <f>"048314-004796-**-**"</f>
        <v>048314-004796-**-**</v>
      </c>
      <c r="X1185" t="s">
        <v>838</v>
      </c>
      <c r="Y1185">
        <v>1254.5</v>
      </c>
      <c r="Z1185">
        <v>1254.5</v>
      </c>
      <c r="AA1185" t="str">
        <f t="shared" si="324"/>
        <v>06/08/2016</v>
      </c>
    </row>
    <row r="1186" spans="1:27" x14ac:dyDescent="0.3">
      <c r="A1186" t="str">
        <f t="shared" si="319"/>
        <v>048314</v>
      </c>
      <c r="B1186" t="str">
        <f t="shared" si="315"/>
        <v>004796</v>
      </c>
      <c r="C1186" t="s">
        <v>1345</v>
      </c>
      <c r="D1186" t="s">
        <v>3839</v>
      </c>
      <c r="E1186" t="s">
        <v>3840</v>
      </c>
      <c r="F1186" t="s">
        <v>3841</v>
      </c>
      <c r="G1186" t="s">
        <v>3842</v>
      </c>
      <c r="H1186" t="str">
        <f t="shared" si="322"/>
        <v>048314</v>
      </c>
      <c r="I1186" t="s">
        <v>833</v>
      </c>
      <c r="J1186" t="str">
        <f t="shared" si="323"/>
        <v>2015-07-01 00:00:00.0</v>
      </c>
      <c r="K1186" t="s">
        <v>834</v>
      </c>
      <c r="L1186" t="s">
        <v>0</v>
      </c>
      <c r="M1186" t="str">
        <f t="shared" si="325"/>
        <v>048314</v>
      </c>
      <c r="N1186">
        <v>0.51295299999999999</v>
      </c>
      <c r="O1186">
        <v>0.51295299999999999</v>
      </c>
      <c r="P1186" t="str">
        <f>"11"</f>
        <v>11</v>
      </c>
      <c r="Q1186" t="s">
        <v>835</v>
      </c>
      <c r="S1186" t="s">
        <v>836</v>
      </c>
      <c r="T1186" t="s">
        <v>836</v>
      </c>
      <c r="U1186" t="str">
        <f>"2016-01-24 00:00:00.0"</f>
        <v>2016-01-24 00:00:00.0</v>
      </c>
      <c r="V1186" t="s">
        <v>837</v>
      </c>
      <c r="W1186" t="str">
        <f>"048314-004796-**-**"</f>
        <v>048314-004796-**-**</v>
      </c>
      <c r="X1186" t="s">
        <v>838</v>
      </c>
      <c r="Y1186">
        <v>643.5</v>
      </c>
      <c r="Z1186">
        <v>1254.5</v>
      </c>
      <c r="AA1186" t="str">
        <f t="shared" si="324"/>
        <v>06/08/2016</v>
      </c>
    </row>
    <row r="1187" spans="1:27" x14ac:dyDescent="0.3">
      <c r="A1187" t="str">
        <f t="shared" si="319"/>
        <v>048314</v>
      </c>
      <c r="B1187" t="str">
        <f t="shared" si="315"/>
        <v>004796</v>
      </c>
      <c r="C1187" t="s">
        <v>1345</v>
      </c>
      <c r="D1187" t="s">
        <v>3839</v>
      </c>
      <c r="E1187" t="s">
        <v>3840</v>
      </c>
      <c r="F1187" t="s">
        <v>3841</v>
      </c>
      <c r="G1187" t="s">
        <v>3842</v>
      </c>
      <c r="H1187" t="str">
        <f t="shared" si="322"/>
        <v>048314</v>
      </c>
      <c r="I1187" t="s">
        <v>833</v>
      </c>
      <c r="J1187" t="str">
        <f>"2016-01-25 00:00:00.0"</f>
        <v>2016-01-25 00:00:00.0</v>
      </c>
      <c r="K1187" t="s">
        <v>834</v>
      </c>
      <c r="L1187" t="s">
        <v>0</v>
      </c>
      <c r="M1187" t="str">
        <f t="shared" si="325"/>
        <v>048314</v>
      </c>
      <c r="N1187">
        <v>0.48704700000000001</v>
      </c>
      <c r="O1187">
        <v>0.48704700000000001</v>
      </c>
      <c r="P1187" t="str">
        <f>"11"</f>
        <v>11</v>
      </c>
      <c r="Q1187" t="s">
        <v>835</v>
      </c>
      <c r="S1187" t="s">
        <v>836</v>
      </c>
      <c r="T1187" t="s">
        <v>836</v>
      </c>
      <c r="U1187" t="str">
        <f t="shared" ref="U1187:U1192" si="326">"2500-12-31 00:00:00.0"</f>
        <v>2500-12-31 00:00:00.0</v>
      </c>
      <c r="V1187" t="s">
        <v>837</v>
      </c>
      <c r="W1187" t="str">
        <f>"048314-004796-**-**"</f>
        <v>048314-004796-**-**</v>
      </c>
      <c r="X1187" t="s">
        <v>838</v>
      </c>
      <c r="Y1187">
        <v>611</v>
      </c>
      <c r="Z1187">
        <v>1254.5</v>
      </c>
      <c r="AA1187" t="str">
        <f t="shared" si="324"/>
        <v>06/08/2016</v>
      </c>
    </row>
    <row r="1188" spans="1:27" x14ac:dyDescent="0.3">
      <c r="A1188" t="str">
        <f t="shared" si="319"/>
        <v>048314</v>
      </c>
      <c r="B1188" t="str">
        <f t="shared" si="315"/>
        <v>004796</v>
      </c>
      <c r="C1188" t="s">
        <v>1389</v>
      </c>
      <c r="D1188" t="s">
        <v>3839</v>
      </c>
      <c r="E1188" t="s">
        <v>3840</v>
      </c>
      <c r="F1188" t="s">
        <v>3841</v>
      </c>
      <c r="G1188" t="s">
        <v>3842</v>
      </c>
      <c r="H1188" t="str">
        <f t="shared" si="322"/>
        <v>048314</v>
      </c>
      <c r="I1188" t="s">
        <v>833</v>
      </c>
      <c r="J1188" t="str">
        <f t="shared" ref="J1188:J1193" si="327">"2015-07-01 00:00:00.0"</f>
        <v>2015-07-01 00:00:00.0</v>
      </c>
      <c r="K1188" t="s">
        <v>834</v>
      </c>
      <c r="L1188" t="s">
        <v>0</v>
      </c>
      <c r="M1188" t="str">
        <f t="shared" si="325"/>
        <v>048314</v>
      </c>
      <c r="N1188">
        <v>1</v>
      </c>
      <c r="O1188">
        <v>1</v>
      </c>
      <c r="P1188" t="str">
        <f>"11"</f>
        <v>11</v>
      </c>
      <c r="Q1188" t="s">
        <v>835</v>
      </c>
      <c r="S1188" t="s">
        <v>836</v>
      </c>
      <c r="T1188" t="s">
        <v>836</v>
      </c>
      <c r="U1188" t="str">
        <f t="shared" si="326"/>
        <v>2500-12-31 00:00:00.0</v>
      </c>
      <c r="V1188" t="s">
        <v>837</v>
      </c>
      <c r="W1188" t="str">
        <f>"048314-004796-**-**"</f>
        <v>048314-004796-**-**</v>
      </c>
      <c r="X1188" t="s">
        <v>838</v>
      </c>
      <c r="Y1188">
        <v>1254.5</v>
      </c>
      <c r="Z1188">
        <v>1254.5</v>
      </c>
      <c r="AA1188" t="str">
        <f t="shared" si="324"/>
        <v>06/08/2016</v>
      </c>
    </row>
    <row r="1189" spans="1:27" x14ac:dyDescent="0.3">
      <c r="A1189" t="str">
        <f t="shared" si="319"/>
        <v>048314</v>
      </c>
      <c r="B1189" t="str">
        <f t="shared" si="315"/>
        <v>004796</v>
      </c>
      <c r="C1189" t="s">
        <v>1157</v>
      </c>
      <c r="D1189" t="s">
        <v>3839</v>
      </c>
      <c r="E1189" t="s">
        <v>3840</v>
      </c>
      <c r="F1189" t="s">
        <v>3841</v>
      </c>
      <c r="G1189" t="s">
        <v>3842</v>
      </c>
      <c r="H1189" t="str">
        <f t="shared" si="322"/>
        <v>048314</v>
      </c>
      <c r="I1189" t="s">
        <v>833</v>
      </c>
      <c r="J1189" t="str">
        <f t="shared" si="327"/>
        <v>2015-07-01 00:00:00.0</v>
      </c>
      <c r="K1189" t="s">
        <v>834</v>
      </c>
      <c r="L1189" t="s">
        <v>0</v>
      </c>
      <c r="M1189" t="str">
        <f t="shared" si="325"/>
        <v>048314</v>
      </c>
      <c r="N1189">
        <v>1</v>
      </c>
      <c r="O1189">
        <v>1</v>
      </c>
      <c r="P1189" t="str">
        <f>"12"</f>
        <v>12</v>
      </c>
      <c r="Q1189" t="s">
        <v>835</v>
      </c>
      <c r="S1189" t="s">
        <v>836</v>
      </c>
      <c r="T1189" t="s">
        <v>836</v>
      </c>
      <c r="U1189" t="str">
        <f t="shared" si="326"/>
        <v>2500-12-31 00:00:00.0</v>
      </c>
      <c r="V1189" t="s">
        <v>837</v>
      </c>
      <c r="W1189" t="str">
        <f>"048314-004796-12-SE"</f>
        <v>048314-004796-12-SE</v>
      </c>
      <c r="X1189" t="s">
        <v>838</v>
      </c>
      <c r="Y1189">
        <v>1254.5</v>
      </c>
      <c r="Z1189">
        <v>1254.5</v>
      </c>
      <c r="AA1189" t="str">
        <f t="shared" si="324"/>
        <v>06/08/2016</v>
      </c>
    </row>
    <row r="1190" spans="1:27" x14ac:dyDescent="0.3">
      <c r="A1190" t="str">
        <f t="shared" si="319"/>
        <v>048314</v>
      </c>
      <c r="B1190" t="str">
        <f t="shared" si="315"/>
        <v>004796</v>
      </c>
      <c r="C1190" t="s">
        <v>1738</v>
      </c>
      <c r="D1190" t="s">
        <v>3839</v>
      </c>
      <c r="E1190" t="s">
        <v>3840</v>
      </c>
      <c r="F1190" t="s">
        <v>3841</v>
      </c>
      <c r="G1190" t="s">
        <v>3842</v>
      </c>
      <c r="H1190" t="str">
        <f t="shared" si="322"/>
        <v>048314</v>
      </c>
      <c r="I1190" t="s">
        <v>833</v>
      </c>
      <c r="J1190" t="str">
        <f t="shared" si="327"/>
        <v>2015-07-01 00:00:00.0</v>
      </c>
      <c r="K1190" t="s">
        <v>834</v>
      </c>
      <c r="L1190" t="s">
        <v>0</v>
      </c>
      <c r="M1190" t="str">
        <f t="shared" si="325"/>
        <v>048314</v>
      </c>
      <c r="N1190">
        <v>1</v>
      </c>
      <c r="O1190">
        <v>1</v>
      </c>
      <c r="P1190" t="str">
        <f>"11"</f>
        <v>11</v>
      </c>
      <c r="Q1190" t="s">
        <v>835</v>
      </c>
      <c r="S1190" t="s">
        <v>836</v>
      </c>
      <c r="T1190" t="s">
        <v>836</v>
      </c>
      <c r="U1190" t="str">
        <f t="shared" si="326"/>
        <v>2500-12-31 00:00:00.0</v>
      </c>
      <c r="V1190" t="s">
        <v>837</v>
      </c>
      <c r="W1190" t="str">
        <f>"048314-004796-**-**"</f>
        <v>048314-004796-**-**</v>
      </c>
      <c r="X1190" t="s">
        <v>838</v>
      </c>
      <c r="Y1190">
        <v>1254.5</v>
      </c>
      <c r="Z1190">
        <v>1254.5</v>
      </c>
      <c r="AA1190" t="str">
        <f t="shared" si="324"/>
        <v>06/08/2016</v>
      </c>
    </row>
    <row r="1191" spans="1:27" x14ac:dyDescent="0.3">
      <c r="A1191" t="str">
        <f t="shared" si="319"/>
        <v>048314</v>
      </c>
      <c r="B1191" t="str">
        <f t="shared" si="315"/>
        <v>004796</v>
      </c>
      <c r="C1191" t="s">
        <v>1428</v>
      </c>
      <c r="D1191" t="s">
        <v>3839</v>
      </c>
      <c r="E1191" t="s">
        <v>3840</v>
      </c>
      <c r="F1191" t="s">
        <v>3841</v>
      </c>
      <c r="G1191" t="s">
        <v>3842</v>
      </c>
      <c r="H1191" t="str">
        <f t="shared" si="322"/>
        <v>048314</v>
      </c>
      <c r="I1191" t="s">
        <v>833</v>
      </c>
      <c r="J1191" t="str">
        <f t="shared" si="327"/>
        <v>2015-07-01 00:00:00.0</v>
      </c>
      <c r="K1191" t="s">
        <v>834</v>
      </c>
      <c r="L1191" t="s">
        <v>0</v>
      </c>
      <c r="M1191" t="str">
        <f t="shared" si="325"/>
        <v>048314</v>
      </c>
      <c r="N1191">
        <v>1</v>
      </c>
      <c r="O1191">
        <v>1</v>
      </c>
      <c r="P1191" t="str">
        <f>"12"</f>
        <v>12</v>
      </c>
      <c r="Q1191" t="s">
        <v>835</v>
      </c>
      <c r="S1191" t="s">
        <v>836</v>
      </c>
      <c r="T1191" t="s">
        <v>836</v>
      </c>
      <c r="U1191" t="str">
        <f t="shared" si="326"/>
        <v>2500-12-31 00:00:00.0</v>
      </c>
      <c r="V1191" t="s">
        <v>837</v>
      </c>
      <c r="W1191" t="str">
        <f>"048314-004796-12-SE"</f>
        <v>048314-004796-12-SE</v>
      </c>
      <c r="X1191" t="s">
        <v>838</v>
      </c>
      <c r="Y1191">
        <v>1254.5</v>
      </c>
      <c r="Z1191">
        <v>1254.5</v>
      </c>
      <c r="AA1191" t="str">
        <f t="shared" si="324"/>
        <v>06/08/2016</v>
      </c>
    </row>
    <row r="1192" spans="1:27" x14ac:dyDescent="0.3">
      <c r="A1192" t="str">
        <f t="shared" si="319"/>
        <v>048314</v>
      </c>
      <c r="B1192" t="str">
        <f t="shared" si="315"/>
        <v>004796</v>
      </c>
      <c r="C1192" t="s">
        <v>2037</v>
      </c>
      <c r="D1192" t="s">
        <v>3839</v>
      </c>
      <c r="E1192" t="s">
        <v>3840</v>
      </c>
      <c r="F1192" t="s">
        <v>3841</v>
      </c>
      <c r="G1192" t="s">
        <v>3842</v>
      </c>
      <c r="H1192" t="str">
        <f t="shared" si="322"/>
        <v>048314</v>
      </c>
      <c r="I1192" t="s">
        <v>833</v>
      </c>
      <c r="J1192" t="str">
        <f t="shared" si="327"/>
        <v>2015-07-01 00:00:00.0</v>
      </c>
      <c r="K1192" t="s">
        <v>834</v>
      </c>
      <c r="L1192" t="s">
        <v>0</v>
      </c>
      <c r="M1192" t="str">
        <f t="shared" si="325"/>
        <v>048314</v>
      </c>
      <c r="N1192">
        <v>1</v>
      </c>
      <c r="O1192">
        <v>1</v>
      </c>
      <c r="P1192" t="str">
        <f>"10"</f>
        <v>10</v>
      </c>
      <c r="Q1192" t="str">
        <f>"10"</f>
        <v>10</v>
      </c>
      <c r="R1192" t="str">
        <f>"2"</f>
        <v>2</v>
      </c>
      <c r="S1192" t="s">
        <v>836</v>
      </c>
      <c r="T1192" t="s">
        <v>836</v>
      </c>
      <c r="U1192" t="str">
        <f t="shared" si="326"/>
        <v>2500-12-31 00:00:00.0</v>
      </c>
      <c r="V1192" t="s">
        <v>837</v>
      </c>
      <c r="W1192" t="str">
        <f>"048314-004796-**-**"</f>
        <v>048314-004796-**-**</v>
      </c>
      <c r="X1192" t="s">
        <v>838</v>
      </c>
      <c r="Y1192">
        <v>1254.5</v>
      </c>
      <c r="Z1192">
        <v>1254.5</v>
      </c>
      <c r="AA1192" t="str">
        <f t="shared" si="324"/>
        <v>06/08/2016</v>
      </c>
    </row>
    <row r="1193" spans="1:27" x14ac:dyDescent="0.3">
      <c r="A1193" t="str">
        <f t="shared" si="319"/>
        <v>048314</v>
      </c>
      <c r="B1193" t="str">
        <f t="shared" si="315"/>
        <v>004796</v>
      </c>
      <c r="C1193" t="s">
        <v>1230</v>
      </c>
      <c r="D1193" t="s">
        <v>3839</v>
      </c>
      <c r="E1193" t="s">
        <v>3840</v>
      </c>
      <c r="F1193" t="s">
        <v>3841</v>
      </c>
      <c r="G1193" t="s">
        <v>3842</v>
      </c>
      <c r="H1193" t="str">
        <f t="shared" si="322"/>
        <v>048314</v>
      </c>
      <c r="I1193" t="s">
        <v>833</v>
      </c>
      <c r="J1193" t="str">
        <f t="shared" si="327"/>
        <v>2015-07-01 00:00:00.0</v>
      </c>
      <c r="K1193" t="s">
        <v>834</v>
      </c>
      <c r="L1193" t="s">
        <v>0</v>
      </c>
      <c r="M1193" t="str">
        <f t="shared" si="325"/>
        <v>048314</v>
      </c>
      <c r="N1193">
        <v>0.24870500000000001</v>
      </c>
      <c r="O1193">
        <v>0.24870500000000001</v>
      </c>
      <c r="P1193" t="str">
        <f>"12"</f>
        <v>12</v>
      </c>
      <c r="Q1193" t="s">
        <v>835</v>
      </c>
      <c r="S1193" t="s">
        <v>836</v>
      </c>
      <c r="T1193" t="s">
        <v>836</v>
      </c>
      <c r="U1193" t="str">
        <f>"2015-11-05 00:00:00.0"</f>
        <v>2015-11-05 00:00:00.0</v>
      </c>
      <c r="V1193" t="s">
        <v>837</v>
      </c>
      <c r="W1193" t="str">
        <f>"048314-004796-12-SE"</f>
        <v>048314-004796-12-SE</v>
      </c>
      <c r="X1193" t="s">
        <v>838</v>
      </c>
      <c r="Y1193">
        <v>312</v>
      </c>
      <c r="Z1193">
        <v>1254.5</v>
      </c>
      <c r="AA1193" t="str">
        <f t="shared" si="324"/>
        <v>06/08/2016</v>
      </c>
    </row>
    <row r="1194" spans="1:27" x14ac:dyDescent="0.3">
      <c r="A1194" t="str">
        <f t="shared" si="319"/>
        <v>048314</v>
      </c>
      <c r="B1194" t="str">
        <f t="shared" si="315"/>
        <v>004796</v>
      </c>
      <c r="C1194" t="s">
        <v>1230</v>
      </c>
      <c r="D1194" t="s">
        <v>3839</v>
      </c>
      <c r="E1194" t="s">
        <v>3840</v>
      </c>
      <c r="F1194" t="s">
        <v>3841</v>
      </c>
      <c r="G1194" t="s">
        <v>3842</v>
      </c>
      <c r="H1194" t="str">
        <f t="shared" si="322"/>
        <v>048314</v>
      </c>
      <c r="I1194" t="s">
        <v>833</v>
      </c>
      <c r="J1194" t="str">
        <f>"2015-11-06 00:00:00.0"</f>
        <v>2015-11-06 00:00:00.0</v>
      </c>
      <c r="K1194" t="s">
        <v>834</v>
      </c>
      <c r="L1194" t="s">
        <v>0</v>
      </c>
      <c r="M1194" t="str">
        <f t="shared" si="325"/>
        <v>048314</v>
      </c>
      <c r="N1194">
        <v>0.75129500000000005</v>
      </c>
      <c r="O1194">
        <v>0.75129500000000005</v>
      </c>
      <c r="P1194" t="str">
        <f>"12"</f>
        <v>12</v>
      </c>
      <c r="Q1194" t="s">
        <v>835</v>
      </c>
      <c r="S1194" t="s">
        <v>860</v>
      </c>
      <c r="T1194" t="s">
        <v>836</v>
      </c>
      <c r="U1194" t="str">
        <f>"2500-12-31 00:00:00.0"</f>
        <v>2500-12-31 00:00:00.0</v>
      </c>
      <c r="V1194" t="s">
        <v>837</v>
      </c>
      <c r="W1194" t="str">
        <f>"048314-004796-12-SE"</f>
        <v>048314-004796-12-SE</v>
      </c>
      <c r="X1194" t="s">
        <v>838</v>
      </c>
      <c r="Y1194">
        <v>942.5</v>
      </c>
      <c r="Z1194">
        <v>1254.5</v>
      </c>
      <c r="AA1194" t="str">
        <f t="shared" si="324"/>
        <v>06/08/2016</v>
      </c>
    </row>
    <row r="1195" spans="1:27" x14ac:dyDescent="0.3">
      <c r="A1195" t="str">
        <f t="shared" si="319"/>
        <v>048314</v>
      </c>
      <c r="B1195" t="str">
        <f t="shared" si="315"/>
        <v>004796</v>
      </c>
      <c r="C1195" t="s">
        <v>1815</v>
      </c>
      <c r="D1195" t="s">
        <v>3839</v>
      </c>
      <c r="E1195" t="s">
        <v>3840</v>
      </c>
      <c r="F1195" t="s">
        <v>3841</v>
      </c>
      <c r="G1195" t="s">
        <v>3842</v>
      </c>
      <c r="H1195" t="str">
        <f t="shared" si="322"/>
        <v>048314</v>
      </c>
      <c r="I1195" t="s">
        <v>833</v>
      </c>
      <c r="J1195" t="str">
        <f t="shared" ref="J1195:J1222" si="328">"2015-07-01 00:00:00.0"</f>
        <v>2015-07-01 00:00:00.0</v>
      </c>
      <c r="K1195" t="s">
        <v>834</v>
      </c>
      <c r="L1195" t="s">
        <v>0</v>
      </c>
      <c r="M1195" t="str">
        <f t="shared" si="325"/>
        <v>048314</v>
      </c>
      <c r="N1195">
        <v>1</v>
      </c>
      <c r="O1195">
        <v>1</v>
      </c>
      <c r="P1195" t="str">
        <f>"12"</f>
        <v>12</v>
      </c>
      <c r="Q1195" t="s">
        <v>835</v>
      </c>
      <c r="S1195" t="s">
        <v>836</v>
      </c>
      <c r="T1195" t="s">
        <v>836</v>
      </c>
      <c r="U1195" t="str">
        <f>"2500-12-31 00:00:00.0"</f>
        <v>2500-12-31 00:00:00.0</v>
      </c>
      <c r="V1195" t="s">
        <v>837</v>
      </c>
      <c r="W1195" t="str">
        <f>"048314-004796-12-SE"</f>
        <v>048314-004796-12-SE</v>
      </c>
      <c r="X1195" t="s">
        <v>838</v>
      </c>
      <c r="Y1195">
        <v>1254.5</v>
      </c>
      <c r="Z1195">
        <v>1254.5</v>
      </c>
      <c r="AA1195" t="str">
        <f t="shared" si="324"/>
        <v>06/08/2016</v>
      </c>
    </row>
    <row r="1196" spans="1:27" x14ac:dyDescent="0.3">
      <c r="A1196" t="str">
        <f t="shared" si="319"/>
        <v>048314</v>
      </c>
      <c r="B1196" t="str">
        <f t="shared" si="315"/>
        <v>004796</v>
      </c>
      <c r="C1196" t="s">
        <v>1816</v>
      </c>
      <c r="D1196" t="s">
        <v>3839</v>
      </c>
      <c r="E1196" t="s">
        <v>3840</v>
      </c>
      <c r="F1196" t="s">
        <v>3841</v>
      </c>
      <c r="G1196" t="s">
        <v>3842</v>
      </c>
      <c r="H1196" t="str">
        <f t="shared" si="322"/>
        <v>048314</v>
      </c>
      <c r="I1196" t="s">
        <v>833</v>
      </c>
      <c r="J1196" t="str">
        <f t="shared" si="328"/>
        <v>2015-07-01 00:00:00.0</v>
      </c>
      <c r="K1196" t="s">
        <v>834</v>
      </c>
      <c r="L1196" t="s">
        <v>0</v>
      </c>
      <c r="M1196" t="str">
        <f t="shared" si="325"/>
        <v>048314</v>
      </c>
      <c r="N1196">
        <v>1</v>
      </c>
      <c r="O1196">
        <v>1</v>
      </c>
      <c r="P1196" t="str">
        <f>"10"</f>
        <v>10</v>
      </c>
      <c r="Q1196" t="s">
        <v>835</v>
      </c>
      <c r="S1196" t="s">
        <v>836</v>
      </c>
      <c r="T1196" t="s">
        <v>836</v>
      </c>
      <c r="U1196" t="str">
        <f>"2500-12-31 00:00:00.0"</f>
        <v>2500-12-31 00:00:00.0</v>
      </c>
      <c r="V1196" t="s">
        <v>837</v>
      </c>
      <c r="W1196" t="str">
        <f>"048314-004796-**-**"</f>
        <v>048314-004796-**-**</v>
      </c>
      <c r="X1196" t="s">
        <v>838</v>
      </c>
      <c r="Y1196">
        <v>1254.5</v>
      </c>
      <c r="Z1196">
        <v>1254.5</v>
      </c>
      <c r="AA1196" t="str">
        <f t="shared" si="324"/>
        <v>06/08/2016</v>
      </c>
    </row>
    <row r="1197" spans="1:27" x14ac:dyDescent="0.3">
      <c r="A1197" t="str">
        <f t="shared" si="319"/>
        <v>048314</v>
      </c>
      <c r="B1197" t="str">
        <f t="shared" ref="B1197:B1260" si="329">"004796"</f>
        <v>004796</v>
      </c>
      <c r="C1197" t="s">
        <v>1791</v>
      </c>
      <c r="D1197" t="s">
        <v>3839</v>
      </c>
      <c r="E1197" t="s">
        <v>3840</v>
      </c>
      <c r="F1197" t="s">
        <v>3841</v>
      </c>
      <c r="G1197" t="s">
        <v>3842</v>
      </c>
      <c r="H1197" t="str">
        <f t="shared" si="322"/>
        <v>048314</v>
      </c>
      <c r="I1197" t="s">
        <v>833</v>
      </c>
      <c r="J1197" t="str">
        <f t="shared" si="328"/>
        <v>2015-07-01 00:00:00.0</v>
      </c>
      <c r="K1197" t="s">
        <v>834</v>
      </c>
      <c r="L1197" t="s">
        <v>0</v>
      </c>
      <c r="M1197" t="str">
        <f t="shared" si="325"/>
        <v>048314</v>
      </c>
      <c r="N1197">
        <v>1</v>
      </c>
      <c r="O1197">
        <v>1</v>
      </c>
      <c r="P1197" t="str">
        <f>"11"</f>
        <v>11</v>
      </c>
      <c r="Q1197" t="s">
        <v>835</v>
      </c>
      <c r="S1197" t="s">
        <v>836</v>
      </c>
      <c r="T1197" t="s">
        <v>836</v>
      </c>
      <c r="U1197" t="str">
        <f>"2500-12-31 00:00:00.0"</f>
        <v>2500-12-31 00:00:00.0</v>
      </c>
      <c r="V1197" t="s">
        <v>837</v>
      </c>
      <c r="W1197" t="str">
        <f>"048314-004796-**-**"</f>
        <v>048314-004796-**-**</v>
      </c>
      <c r="X1197" t="s">
        <v>838</v>
      </c>
      <c r="Y1197">
        <v>1254.5</v>
      </c>
      <c r="Z1197">
        <v>1254.5</v>
      </c>
      <c r="AA1197" t="str">
        <f t="shared" si="324"/>
        <v>06/08/2016</v>
      </c>
    </row>
    <row r="1198" spans="1:27" x14ac:dyDescent="0.3">
      <c r="A1198" t="str">
        <f t="shared" si="319"/>
        <v>048314</v>
      </c>
      <c r="B1198" t="str">
        <f t="shared" si="329"/>
        <v>004796</v>
      </c>
      <c r="C1198" t="s">
        <v>914</v>
      </c>
      <c r="D1198" t="s">
        <v>3839</v>
      </c>
      <c r="E1198" t="s">
        <v>3840</v>
      </c>
      <c r="F1198" t="s">
        <v>3841</v>
      </c>
      <c r="G1198" t="s">
        <v>3842</v>
      </c>
      <c r="H1198" t="str">
        <f>"048363"</f>
        <v>048363</v>
      </c>
      <c r="I1198" t="s">
        <v>833</v>
      </c>
      <c r="J1198" t="str">
        <f t="shared" si="328"/>
        <v>2015-07-01 00:00:00.0</v>
      </c>
      <c r="K1198" t="s">
        <v>834</v>
      </c>
      <c r="L1198" t="s">
        <v>1</v>
      </c>
      <c r="M1198" t="str">
        <f t="shared" si="325"/>
        <v>048314</v>
      </c>
      <c r="N1198">
        <v>0.22493299999999999</v>
      </c>
      <c r="O1198">
        <v>0.22493299999999999</v>
      </c>
      <c r="P1198" t="str">
        <f>"10"</f>
        <v>10</v>
      </c>
      <c r="Q1198" t="s">
        <v>835</v>
      </c>
      <c r="S1198" t="s">
        <v>836</v>
      </c>
      <c r="T1198" t="s">
        <v>836</v>
      </c>
      <c r="U1198" t="str">
        <f>"2015-10-25 00:00:00.0"</f>
        <v>2015-10-25 00:00:00.0</v>
      </c>
      <c r="V1198" t="s">
        <v>837</v>
      </c>
      <c r="W1198" t="str">
        <f>"048363-026229-**-**"</f>
        <v>048363-026229-**-**</v>
      </c>
      <c r="X1198" t="s">
        <v>838</v>
      </c>
      <c r="Y1198">
        <v>253.5</v>
      </c>
      <c r="Z1198">
        <v>1127</v>
      </c>
      <c r="AA1198" t="str">
        <f>"06/15/2016"</f>
        <v>06/15/2016</v>
      </c>
    </row>
    <row r="1199" spans="1:27" x14ac:dyDescent="0.3">
      <c r="A1199" t="str">
        <f t="shared" si="319"/>
        <v>048314</v>
      </c>
      <c r="B1199" t="str">
        <f t="shared" si="329"/>
        <v>004796</v>
      </c>
      <c r="C1199" t="s">
        <v>3146</v>
      </c>
      <c r="D1199" t="s">
        <v>3839</v>
      </c>
      <c r="E1199" t="s">
        <v>3840</v>
      </c>
      <c r="F1199" t="s">
        <v>3841</v>
      </c>
      <c r="G1199" t="s">
        <v>3842</v>
      </c>
      <c r="H1199" t="str">
        <f t="shared" ref="H1199:H1205" si="330">"048314"</f>
        <v>048314</v>
      </c>
      <c r="I1199" t="s">
        <v>833</v>
      </c>
      <c r="J1199" t="str">
        <f t="shared" si="328"/>
        <v>2015-07-01 00:00:00.0</v>
      </c>
      <c r="K1199" t="s">
        <v>834</v>
      </c>
      <c r="L1199" t="s">
        <v>0</v>
      </c>
      <c r="M1199" t="str">
        <f t="shared" si="325"/>
        <v>048314</v>
      </c>
      <c r="N1199">
        <v>1</v>
      </c>
      <c r="O1199">
        <v>1</v>
      </c>
      <c r="P1199" t="str">
        <f>"11"</f>
        <v>11</v>
      </c>
      <c r="Q1199" t="s">
        <v>835</v>
      </c>
      <c r="S1199" t="s">
        <v>836</v>
      </c>
      <c r="T1199" t="s">
        <v>836</v>
      </c>
      <c r="U1199" t="str">
        <f t="shared" ref="U1199:U1205" si="331">"2500-12-31 00:00:00.0"</f>
        <v>2500-12-31 00:00:00.0</v>
      </c>
      <c r="V1199" t="s">
        <v>837</v>
      </c>
      <c r="W1199" t="str">
        <f t="shared" ref="W1199:W1205" si="332">"048314-004796-**-**"</f>
        <v>048314-004796-**-**</v>
      </c>
      <c r="X1199" t="s">
        <v>838</v>
      </c>
      <c r="Y1199">
        <v>1254.5</v>
      </c>
      <c r="Z1199">
        <v>1254.5</v>
      </c>
      <c r="AA1199" t="str">
        <f t="shared" ref="AA1199:AA1205" si="333">"06/08/2016"</f>
        <v>06/08/2016</v>
      </c>
    </row>
    <row r="1200" spans="1:27" x14ac:dyDescent="0.3">
      <c r="A1200" t="str">
        <f t="shared" si="319"/>
        <v>048314</v>
      </c>
      <c r="B1200" t="str">
        <f t="shared" si="329"/>
        <v>004796</v>
      </c>
      <c r="C1200" t="s">
        <v>1612</v>
      </c>
      <c r="D1200" t="s">
        <v>3839</v>
      </c>
      <c r="E1200" t="s">
        <v>3840</v>
      </c>
      <c r="F1200" t="s">
        <v>3841</v>
      </c>
      <c r="G1200" t="s">
        <v>3842</v>
      </c>
      <c r="H1200" t="str">
        <f t="shared" si="330"/>
        <v>048314</v>
      </c>
      <c r="I1200" t="s">
        <v>833</v>
      </c>
      <c r="J1200" t="str">
        <f t="shared" si="328"/>
        <v>2015-07-01 00:00:00.0</v>
      </c>
      <c r="K1200" t="s">
        <v>834</v>
      </c>
      <c r="L1200" t="s">
        <v>0</v>
      </c>
      <c r="M1200" t="str">
        <f t="shared" si="325"/>
        <v>048314</v>
      </c>
      <c r="N1200">
        <v>1</v>
      </c>
      <c r="O1200">
        <v>1</v>
      </c>
      <c r="P1200" t="str">
        <f>"10"</f>
        <v>10</v>
      </c>
      <c r="Q1200" t="s">
        <v>835</v>
      </c>
      <c r="S1200" t="s">
        <v>836</v>
      </c>
      <c r="T1200" t="s">
        <v>836</v>
      </c>
      <c r="U1200" t="str">
        <f t="shared" si="331"/>
        <v>2500-12-31 00:00:00.0</v>
      </c>
      <c r="V1200" t="s">
        <v>837</v>
      </c>
      <c r="W1200" t="str">
        <f t="shared" si="332"/>
        <v>048314-004796-**-**</v>
      </c>
      <c r="X1200" t="s">
        <v>838</v>
      </c>
      <c r="Y1200">
        <v>1254.5</v>
      </c>
      <c r="Z1200">
        <v>1254.5</v>
      </c>
      <c r="AA1200" t="str">
        <f t="shared" si="333"/>
        <v>06/08/2016</v>
      </c>
    </row>
    <row r="1201" spans="1:27" x14ac:dyDescent="0.3">
      <c r="A1201" t="str">
        <f t="shared" si="319"/>
        <v>048314</v>
      </c>
      <c r="B1201" t="str">
        <f t="shared" si="329"/>
        <v>004796</v>
      </c>
      <c r="C1201" t="s">
        <v>1245</v>
      </c>
      <c r="D1201" t="s">
        <v>3839</v>
      </c>
      <c r="E1201" t="s">
        <v>3840</v>
      </c>
      <c r="F1201" t="s">
        <v>3841</v>
      </c>
      <c r="G1201" t="s">
        <v>3842</v>
      </c>
      <c r="H1201" t="str">
        <f t="shared" si="330"/>
        <v>048314</v>
      </c>
      <c r="I1201" t="s">
        <v>833</v>
      </c>
      <c r="J1201" t="str">
        <f t="shared" si="328"/>
        <v>2015-07-01 00:00:00.0</v>
      </c>
      <c r="K1201" t="s">
        <v>834</v>
      </c>
      <c r="L1201" t="s">
        <v>0</v>
      </c>
      <c r="M1201" t="str">
        <f t="shared" si="325"/>
        <v>048314</v>
      </c>
      <c r="N1201">
        <v>1</v>
      </c>
      <c r="O1201">
        <v>1</v>
      </c>
      <c r="P1201" t="str">
        <f>"10"</f>
        <v>10</v>
      </c>
      <c r="Q1201" t="s">
        <v>835</v>
      </c>
      <c r="S1201" t="s">
        <v>836</v>
      </c>
      <c r="T1201" t="s">
        <v>836</v>
      </c>
      <c r="U1201" t="str">
        <f t="shared" si="331"/>
        <v>2500-12-31 00:00:00.0</v>
      </c>
      <c r="V1201" t="s">
        <v>837</v>
      </c>
      <c r="W1201" t="str">
        <f t="shared" si="332"/>
        <v>048314-004796-**-**</v>
      </c>
      <c r="X1201" t="s">
        <v>838</v>
      </c>
      <c r="Y1201">
        <v>1254.5</v>
      </c>
      <c r="Z1201">
        <v>1254.5</v>
      </c>
      <c r="AA1201" t="str">
        <f t="shared" si="333"/>
        <v>06/08/2016</v>
      </c>
    </row>
    <row r="1202" spans="1:27" x14ac:dyDescent="0.3">
      <c r="A1202" t="str">
        <f t="shared" si="319"/>
        <v>048314</v>
      </c>
      <c r="B1202" t="str">
        <f t="shared" si="329"/>
        <v>004796</v>
      </c>
      <c r="C1202" t="s">
        <v>1674</v>
      </c>
      <c r="D1202" t="s">
        <v>3839</v>
      </c>
      <c r="E1202" t="s">
        <v>3840</v>
      </c>
      <c r="F1202" t="s">
        <v>3841</v>
      </c>
      <c r="G1202" t="s">
        <v>3842</v>
      </c>
      <c r="H1202" t="str">
        <f t="shared" si="330"/>
        <v>048314</v>
      </c>
      <c r="I1202" t="s">
        <v>833</v>
      </c>
      <c r="J1202" t="str">
        <f t="shared" si="328"/>
        <v>2015-07-01 00:00:00.0</v>
      </c>
      <c r="K1202" t="s">
        <v>834</v>
      </c>
      <c r="L1202" t="s">
        <v>0</v>
      </c>
      <c r="M1202" t="str">
        <f t="shared" si="325"/>
        <v>048314</v>
      </c>
      <c r="N1202">
        <v>1</v>
      </c>
      <c r="O1202">
        <v>1</v>
      </c>
      <c r="P1202" t="str">
        <f>"10"</f>
        <v>10</v>
      </c>
      <c r="Q1202" t="s">
        <v>835</v>
      </c>
      <c r="S1202" t="s">
        <v>836</v>
      </c>
      <c r="T1202" t="s">
        <v>836</v>
      </c>
      <c r="U1202" t="str">
        <f t="shared" si="331"/>
        <v>2500-12-31 00:00:00.0</v>
      </c>
      <c r="V1202" t="s">
        <v>837</v>
      </c>
      <c r="W1202" t="str">
        <f t="shared" si="332"/>
        <v>048314-004796-**-**</v>
      </c>
      <c r="X1202" t="s">
        <v>838</v>
      </c>
      <c r="Y1202">
        <v>1254.5</v>
      </c>
      <c r="Z1202">
        <v>1254.5</v>
      </c>
      <c r="AA1202" t="str">
        <f t="shared" si="333"/>
        <v>06/08/2016</v>
      </c>
    </row>
    <row r="1203" spans="1:27" x14ac:dyDescent="0.3">
      <c r="A1203" t="str">
        <f t="shared" si="319"/>
        <v>048314</v>
      </c>
      <c r="B1203" t="str">
        <f t="shared" si="329"/>
        <v>004796</v>
      </c>
      <c r="C1203" t="s">
        <v>1675</v>
      </c>
      <c r="D1203" t="s">
        <v>3839</v>
      </c>
      <c r="E1203" t="s">
        <v>3840</v>
      </c>
      <c r="F1203" t="s">
        <v>3841</v>
      </c>
      <c r="G1203" t="s">
        <v>3842</v>
      </c>
      <c r="H1203" t="str">
        <f t="shared" si="330"/>
        <v>048314</v>
      </c>
      <c r="I1203" t="s">
        <v>833</v>
      </c>
      <c r="J1203" t="str">
        <f t="shared" si="328"/>
        <v>2015-07-01 00:00:00.0</v>
      </c>
      <c r="K1203" t="s">
        <v>834</v>
      </c>
      <c r="L1203" t="s">
        <v>0</v>
      </c>
      <c r="M1203" t="str">
        <f t="shared" si="325"/>
        <v>048314</v>
      </c>
      <c r="N1203">
        <v>1</v>
      </c>
      <c r="O1203">
        <v>1</v>
      </c>
      <c r="P1203" t="str">
        <f>"10"</f>
        <v>10</v>
      </c>
      <c r="Q1203" t="s">
        <v>835</v>
      </c>
      <c r="S1203" t="s">
        <v>836</v>
      </c>
      <c r="T1203" t="s">
        <v>836</v>
      </c>
      <c r="U1203" t="str">
        <f t="shared" si="331"/>
        <v>2500-12-31 00:00:00.0</v>
      </c>
      <c r="V1203" t="s">
        <v>837</v>
      </c>
      <c r="W1203" t="str">
        <f t="shared" si="332"/>
        <v>048314-004796-**-**</v>
      </c>
      <c r="X1203" t="s">
        <v>838</v>
      </c>
      <c r="Y1203">
        <v>1254.5</v>
      </c>
      <c r="Z1203">
        <v>1254.5</v>
      </c>
      <c r="AA1203" t="str">
        <f t="shared" si="333"/>
        <v>06/08/2016</v>
      </c>
    </row>
    <row r="1204" spans="1:27" x14ac:dyDescent="0.3">
      <c r="A1204" t="str">
        <f t="shared" si="319"/>
        <v>048314</v>
      </c>
      <c r="B1204" t="str">
        <f t="shared" si="329"/>
        <v>004796</v>
      </c>
      <c r="C1204" t="s">
        <v>1889</v>
      </c>
      <c r="D1204" t="s">
        <v>3839</v>
      </c>
      <c r="E1204" t="s">
        <v>3840</v>
      </c>
      <c r="F1204" t="s">
        <v>3841</v>
      </c>
      <c r="G1204" t="s">
        <v>3842</v>
      </c>
      <c r="H1204" t="str">
        <f t="shared" si="330"/>
        <v>048314</v>
      </c>
      <c r="I1204" t="s">
        <v>833</v>
      </c>
      <c r="J1204" t="str">
        <f t="shared" si="328"/>
        <v>2015-07-01 00:00:00.0</v>
      </c>
      <c r="K1204" t="s">
        <v>834</v>
      </c>
      <c r="L1204" t="s">
        <v>0</v>
      </c>
      <c r="M1204" t="str">
        <f t="shared" si="325"/>
        <v>048314</v>
      </c>
      <c r="N1204">
        <v>1</v>
      </c>
      <c r="O1204">
        <v>1</v>
      </c>
      <c r="P1204" t="str">
        <f>"11"</f>
        <v>11</v>
      </c>
      <c r="Q1204" t="s">
        <v>835</v>
      </c>
      <c r="S1204" t="s">
        <v>836</v>
      </c>
      <c r="T1204" t="s">
        <v>836</v>
      </c>
      <c r="U1204" t="str">
        <f t="shared" si="331"/>
        <v>2500-12-31 00:00:00.0</v>
      </c>
      <c r="V1204" t="s">
        <v>837</v>
      </c>
      <c r="W1204" t="str">
        <f t="shared" si="332"/>
        <v>048314-004796-**-**</v>
      </c>
      <c r="X1204" t="s">
        <v>838</v>
      </c>
      <c r="Y1204">
        <v>1254.5</v>
      </c>
      <c r="Z1204">
        <v>1254.5</v>
      </c>
      <c r="AA1204" t="str">
        <f t="shared" si="333"/>
        <v>06/08/2016</v>
      </c>
    </row>
    <row r="1205" spans="1:27" x14ac:dyDescent="0.3">
      <c r="A1205" t="str">
        <f t="shared" si="319"/>
        <v>048314</v>
      </c>
      <c r="B1205" t="str">
        <f t="shared" si="329"/>
        <v>004796</v>
      </c>
      <c r="C1205" t="s">
        <v>1613</v>
      </c>
      <c r="D1205" t="s">
        <v>3839</v>
      </c>
      <c r="E1205" t="s">
        <v>3840</v>
      </c>
      <c r="F1205" t="s">
        <v>3841</v>
      </c>
      <c r="G1205" t="s">
        <v>3842</v>
      </c>
      <c r="H1205" t="str">
        <f t="shared" si="330"/>
        <v>048314</v>
      </c>
      <c r="I1205" t="s">
        <v>833</v>
      </c>
      <c r="J1205" t="str">
        <f t="shared" si="328"/>
        <v>2015-07-01 00:00:00.0</v>
      </c>
      <c r="K1205" t="s">
        <v>834</v>
      </c>
      <c r="L1205" t="s">
        <v>0</v>
      </c>
      <c r="M1205" t="str">
        <f t="shared" si="325"/>
        <v>048314</v>
      </c>
      <c r="N1205">
        <v>1</v>
      </c>
      <c r="O1205">
        <v>1</v>
      </c>
      <c r="P1205" t="str">
        <f>"10"</f>
        <v>10</v>
      </c>
      <c r="Q1205" t="s">
        <v>835</v>
      </c>
      <c r="S1205" t="s">
        <v>836</v>
      </c>
      <c r="T1205" t="s">
        <v>836</v>
      </c>
      <c r="U1205" t="str">
        <f t="shared" si="331"/>
        <v>2500-12-31 00:00:00.0</v>
      </c>
      <c r="V1205" t="s">
        <v>837</v>
      </c>
      <c r="W1205" t="str">
        <f t="shared" si="332"/>
        <v>048314-004796-**-**</v>
      </c>
      <c r="X1205" t="s">
        <v>838</v>
      </c>
      <c r="Y1205">
        <v>1254.5</v>
      </c>
      <c r="Z1205">
        <v>1254.5</v>
      </c>
      <c r="AA1205" t="str">
        <f t="shared" si="333"/>
        <v>06/08/2016</v>
      </c>
    </row>
    <row r="1206" spans="1:27" x14ac:dyDescent="0.3">
      <c r="A1206" t="str">
        <f t="shared" si="319"/>
        <v>048314</v>
      </c>
      <c r="B1206" t="str">
        <f t="shared" si="329"/>
        <v>004796</v>
      </c>
      <c r="C1206" t="s">
        <v>1216</v>
      </c>
      <c r="D1206" t="s">
        <v>3839</v>
      </c>
      <c r="E1206" t="s">
        <v>3840</v>
      </c>
      <c r="F1206" t="s">
        <v>3841</v>
      </c>
      <c r="G1206" t="s">
        <v>3842</v>
      </c>
      <c r="H1206" t="str">
        <f>"048363"</f>
        <v>048363</v>
      </c>
      <c r="I1206" t="s">
        <v>833</v>
      </c>
      <c r="J1206" t="str">
        <f t="shared" si="328"/>
        <v>2015-07-01 00:00:00.0</v>
      </c>
      <c r="K1206" t="s">
        <v>834</v>
      </c>
      <c r="L1206" t="s">
        <v>1</v>
      </c>
      <c r="M1206" t="str">
        <f t="shared" si="325"/>
        <v>048314</v>
      </c>
      <c r="N1206">
        <v>1</v>
      </c>
      <c r="O1206">
        <v>1</v>
      </c>
      <c r="P1206" t="str">
        <f>"12"</f>
        <v>12</v>
      </c>
      <c r="Q1206" t="s">
        <v>835</v>
      </c>
      <c r="S1206" t="s">
        <v>860</v>
      </c>
      <c r="T1206" t="s">
        <v>836</v>
      </c>
      <c r="U1206" t="str">
        <f>"2016-05-27 00:00:00.0"</f>
        <v>2016-05-27 00:00:00.0</v>
      </c>
      <c r="V1206" t="s">
        <v>837</v>
      </c>
      <c r="W1206" t="str">
        <f>"048363-026229-12-SR"</f>
        <v>048363-026229-12-SR</v>
      </c>
      <c r="X1206" t="s">
        <v>838</v>
      </c>
      <c r="Y1206">
        <v>1114</v>
      </c>
      <c r="Z1206">
        <v>1114</v>
      </c>
      <c r="AA1206" t="str">
        <f>"06/15/2016"</f>
        <v>06/15/2016</v>
      </c>
    </row>
    <row r="1207" spans="1:27" x14ac:dyDescent="0.3">
      <c r="A1207" t="str">
        <f t="shared" si="319"/>
        <v>048314</v>
      </c>
      <c r="B1207" t="str">
        <f t="shared" si="329"/>
        <v>004796</v>
      </c>
      <c r="C1207" t="s">
        <v>862</v>
      </c>
      <c r="D1207" t="s">
        <v>3839</v>
      </c>
      <c r="E1207" t="s">
        <v>3840</v>
      </c>
      <c r="F1207" t="s">
        <v>3841</v>
      </c>
      <c r="G1207" t="s">
        <v>3842</v>
      </c>
      <c r="H1207" t="str">
        <f t="shared" ref="H1207:H1212" si="334">"048314"</f>
        <v>048314</v>
      </c>
      <c r="I1207" t="s">
        <v>833</v>
      </c>
      <c r="J1207" t="str">
        <f t="shared" si="328"/>
        <v>2015-07-01 00:00:00.0</v>
      </c>
      <c r="K1207" t="s">
        <v>834</v>
      </c>
      <c r="L1207" t="s">
        <v>0</v>
      </c>
      <c r="M1207" t="str">
        <f t="shared" si="325"/>
        <v>048314</v>
      </c>
      <c r="N1207">
        <v>1</v>
      </c>
      <c r="O1207">
        <v>1</v>
      </c>
      <c r="P1207" t="str">
        <f>"23"</f>
        <v>23</v>
      </c>
      <c r="Q1207" t="str">
        <f>"01"</f>
        <v>01</v>
      </c>
      <c r="R1207" t="str">
        <f>"5"</f>
        <v>5</v>
      </c>
      <c r="S1207" t="s">
        <v>860</v>
      </c>
      <c r="T1207" t="s">
        <v>836</v>
      </c>
      <c r="U1207" t="str">
        <f t="shared" ref="U1207:U1212" si="335">"2500-12-31 00:00:00.0"</f>
        <v>2500-12-31 00:00:00.0</v>
      </c>
      <c r="V1207" t="s">
        <v>837</v>
      </c>
      <c r="W1207" t="str">
        <f t="shared" ref="W1207:W1212" si="336">"048314-004796-**-**"</f>
        <v>048314-004796-**-**</v>
      </c>
      <c r="X1207" t="s">
        <v>838</v>
      </c>
      <c r="Y1207">
        <v>1254.5</v>
      </c>
      <c r="Z1207">
        <v>1254.5</v>
      </c>
      <c r="AA1207" t="str">
        <f t="shared" ref="AA1207:AA1212" si="337">"06/08/2016"</f>
        <v>06/08/2016</v>
      </c>
    </row>
    <row r="1208" spans="1:27" x14ac:dyDescent="0.3">
      <c r="A1208" t="str">
        <f t="shared" si="319"/>
        <v>048314</v>
      </c>
      <c r="B1208" t="str">
        <f t="shared" si="329"/>
        <v>004796</v>
      </c>
      <c r="C1208" t="s">
        <v>1676</v>
      </c>
      <c r="D1208" t="s">
        <v>3839</v>
      </c>
      <c r="E1208" t="s">
        <v>3840</v>
      </c>
      <c r="F1208" t="s">
        <v>3841</v>
      </c>
      <c r="G1208" t="s">
        <v>3842</v>
      </c>
      <c r="H1208" t="str">
        <f t="shared" si="334"/>
        <v>048314</v>
      </c>
      <c r="I1208" t="s">
        <v>833</v>
      </c>
      <c r="J1208" t="str">
        <f t="shared" si="328"/>
        <v>2015-07-01 00:00:00.0</v>
      </c>
      <c r="K1208" t="s">
        <v>834</v>
      </c>
      <c r="L1208" t="s">
        <v>0</v>
      </c>
      <c r="M1208" t="str">
        <f t="shared" si="325"/>
        <v>048314</v>
      </c>
      <c r="N1208">
        <v>1</v>
      </c>
      <c r="O1208">
        <v>1</v>
      </c>
      <c r="P1208" t="str">
        <f>"10"</f>
        <v>10</v>
      </c>
      <c r="Q1208" t="s">
        <v>835</v>
      </c>
      <c r="S1208" t="s">
        <v>836</v>
      </c>
      <c r="T1208" t="s">
        <v>836</v>
      </c>
      <c r="U1208" t="str">
        <f t="shared" si="335"/>
        <v>2500-12-31 00:00:00.0</v>
      </c>
      <c r="V1208" t="s">
        <v>837</v>
      </c>
      <c r="W1208" t="str">
        <f t="shared" si="336"/>
        <v>048314-004796-**-**</v>
      </c>
      <c r="X1208" t="s">
        <v>838</v>
      </c>
      <c r="Y1208">
        <v>1254.5</v>
      </c>
      <c r="Z1208">
        <v>1254.5</v>
      </c>
      <c r="AA1208" t="str">
        <f t="shared" si="337"/>
        <v>06/08/2016</v>
      </c>
    </row>
    <row r="1209" spans="1:27" x14ac:dyDescent="0.3">
      <c r="A1209" t="str">
        <f t="shared" si="319"/>
        <v>048314</v>
      </c>
      <c r="B1209" t="str">
        <f t="shared" si="329"/>
        <v>004796</v>
      </c>
      <c r="C1209" t="s">
        <v>1346</v>
      </c>
      <c r="D1209" t="s">
        <v>3839</v>
      </c>
      <c r="E1209" t="s">
        <v>3840</v>
      </c>
      <c r="F1209" t="s">
        <v>3841</v>
      </c>
      <c r="G1209" t="s">
        <v>3842</v>
      </c>
      <c r="H1209" t="str">
        <f t="shared" si="334"/>
        <v>048314</v>
      </c>
      <c r="I1209" t="s">
        <v>833</v>
      </c>
      <c r="J1209" t="str">
        <f t="shared" si="328"/>
        <v>2015-07-01 00:00:00.0</v>
      </c>
      <c r="K1209" t="s">
        <v>834</v>
      </c>
      <c r="L1209" t="s">
        <v>0</v>
      </c>
      <c r="M1209" t="str">
        <f t="shared" si="325"/>
        <v>048314</v>
      </c>
      <c r="N1209">
        <v>1</v>
      </c>
      <c r="O1209">
        <v>1</v>
      </c>
      <c r="P1209" t="str">
        <f>"11"</f>
        <v>11</v>
      </c>
      <c r="Q1209" t="s">
        <v>835</v>
      </c>
      <c r="S1209" t="s">
        <v>836</v>
      </c>
      <c r="T1209" t="s">
        <v>836</v>
      </c>
      <c r="U1209" t="str">
        <f t="shared" si="335"/>
        <v>2500-12-31 00:00:00.0</v>
      </c>
      <c r="V1209" t="s">
        <v>837</v>
      </c>
      <c r="W1209" t="str">
        <f t="shared" si="336"/>
        <v>048314-004796-**-**</v>
      </c>
      <c r="X1209" t="s">
        <v>838</v>
      </c>
      <c r="Y1209">
        <v>1254.5</v>
      </c>
      <c r="Z1209">
        <v>1254.5</v>
      </c>
      <c r="AA1209" t="str">
        <f t="shared" si="337"/>
        <v>06/08/2016</v>
      </c>
    </row>
    <row r="1210" spans="1:27" x14ac:dyDescent="0.3">
      <c r="A1210" t="str">
        <f t="shared" si="319"/>
        <v>048314</v>
      </c>
      <c r="B1210" t="str">
        <f t="shared" si="329"/>
        <v>004796</v>
      </c>
      <c r="C1210" t="s">
        <v>1531</v>
      </c>
      <c r="D1210" t="s">
        <v>3839</v>
      </c>
      <c r="E1210" t="s">
        <v>3840</v>
      </c>
      <c r="F1210" t="s">
        <v>3841</v>
      </c>
      <c r="G1210" t="s">
        <v>3842</v>
      </c>
      <c r="H1210" t="str">
        <f t="shared" si="334"/>
        <v>048314</v>
      </c>
      <c r="I1210" t="s">
        <v>833</v>
      </c>
      <c r="J1210" t="str">
        <f t="shared" si="328"/>
        <v>2015-07-01 00:00:00.0</v>
      </c>
      <c r="K1210" t="s">
        <v>834</v>
      </c>
      <c r="L1210" t="s">
        <v>0</v>
      </c>
      <c r="M1210" t="str">
        <f t="shared" si="325"/>
        <v>048314</v>
      </c>
      <c r="N1210">
        <v>1</v>
      </c>
      <c r="O1210">
        <v>1</v>
      </c>
      <c r="P1210" t="str">
        <f>"10"</f>
        <v>10</v>
      </c>
      <c r="Q1210" t="s">
        <v>835</v>
      </c>
      <c r="S1210" t="s">
        <v>860</v>
      </c>
      <c r="T1210" t="s">
        <v>836</v>
      </c>
      <c r="U1210" t="str">
        <f t="shared" si="335"/>
        <v>2500-12-31 00:00:00.0</v>
      </c>
      <c r="V1210" t="s">
        <v>837</v>
      </c>
      <c r="W1210" t="str">
        <f t="shared" si="336"/>
        <v>048314-004796-**-**</v>
      </c>
      <c r="X1210" t="s">
        <v>838</v>
      </c>
      <c r="Y1210">
        <v>1254.5</v>
      </c>
      <c r="Z1210">
        <v>1254.5</v>
      </c>
      <c r="AA1210" t="str">
        <f t="shared" si="337"/>
        <v>06/08/2016</v>
      </c>
    </row>
    <row r="1211" spans="1:27" x14ac:dyDescent="0.3">
      <c r="A1211" t="str">
        <f t="shared" si="319"/>
        <v>048314</v>
      </c>
      <c r="B1211" t="str">
        <f t="shared" si="329"/>
        <v>004796</v>
      </c>
      <c r="C1211" t="s">
        <v>903</v>
      </c>
      <c r="D1211" t="s">
        <v>3839</v>
      </c>
      <c r="E1211" t="s">
        <v>3840</v>
      </c>
      <c r="F1211" t="s">
        <v>3841</v>
      </c>
      <c r="G1211" t="s">
        <v>3842</v>
      </c>
      <c r="H1211" t="str">
        <f t="shared" si="334"/>
        <v>048314</v>
      </c>
      <c r="I1211" t="s">
        <v>833</v>
      </c>
      <c r="J1211" t="str">
        <f t="shared" si="328"/>
        <v>2015-07-01 00:00:00.0</v>
      </c>
      <c r="K1211" t="s">
        <v>834</v>
      </c>
      <c r="L1211" t="s">
        <v>0</v>
      </c>
      <c r="M1211" t="str">
        <f t="shared" si="325"/>
        <v>048314</v>
      </c>
      <c r="N1211">
        <v>1</v>
      </c>
      <c r="O1211">
        <v>1</v>
      </c>
      <c r="P1211" t="str">
        <f>"11"</f>
        <v>11</v>
      </c>
      <c r="Q1211" t="str">
        <f>"12"</f>
        <v>12</v>
      </c>
      <c r="R1211" t="str">
        <f>"6"</f>
        <v>6</v>
      </c>
      <c r="S1211" t="s">
        <v>836</v>
      </c>
      <c r="T1211" t="s">
        <v>836</v>
      </c>
      <c r="U1211" t="str">
        <f t="shared" si="335"/>
        <v>2500-12-31 00:00:00.0</v>
      </c>
      <c r="V1211" t="s">
        <v>837</v>
      </c>
      <c r="W1211" t="str">
        <f t="shared" si="336"/>
        <v>048314-004796-**-**</v>
      </c>
      <c r="X1211" t="s">
        <v>838</v>
      </c>
      <c r="Y1211">
        <v>1254.5</v>
      </c>
      <c r="Z1211">
        <v>1254.5</v>
      </c>
      <c r="AA1211" t="str">
        <f t="shared" si="337"/>
        <v>06/08/2016</v>
      </c>
    </row>
    <row r="1212" spans="1:27" x14ac:dyDescent="0.3">
      <c r="A1212" t="str">
        <f t="shared" si="319"/>
        <v>048314</v>
      </c>
      <c r="B1212" t="str">
        <f t="shared" si="329"/>
        <v>004796</v>
      </c>
      <c r="C1212" t="s">
        <v>1614</v>
      </c>
      <c r="D1212" t="s">
        <v>3839</v>
      </c>
      <c r="E1212" t="s">
        <v>3840</v>
      </c>
      <c r="F1212" t="s">
        <v>3841</v>
      </c>
      <c r="G1212" t="s">
        <v>3842</v>
      </c>
      <c r="H1212" t="str">
        <f t="shared" si="334"/>
        <v>048314</v>
      </c>
      <c r="I1212" t="s">
        <v>833</v>
      </c>
      <c r="J1212" t="str">
        <f t="shared" si="328"/>
        <v>2015-07-01 00:00:00.0</v>
      </c>
      <c r="K1212" t="s">
        <v>834</v>
      </c>
      <c r="L1212" t="s">
        <v>0</v>
      </c>
      <c r="M1212" t="str">
        <f t="shared" si="325"/>
        <v>048314</v>
      </c>
      <c r="N1212">
        <v>1</v>
      </c>
      <c r="O1212">
        <v>1</v>
      </c>
      <c r="P1212" t="str">
        <f>"10"</f>
        <v>10</v>
      </c>
      <c r="Q1212" t="s">
        <v>835</v>
      </c>
      <c r="S1212" t="s">
        <v>836</v>
      </c>
      <c r="T1212" t="s">
        <v>836</v>
      </c>
      <c r="U1212" t="str">
        <f t="shared" si="335"/>
        <v>2500-12-31 00:00:00.0</v>
      </c>
      <c r="V1212" t="s">
        <v>837</v>
      </c>
      <c r="W1212" t="str">
        <f t="shared" si="336"/>
        <v>048314-004796-**-**</v>
      </c>
      <c r="X1212" t="s">
        <v>838</v>
      </c>
      <c r="Y1212">
        <v>1254.5</v>
      </c>
      <c r="Z1212">
        <v>1254.5</v>
      </c>
      <c r="AA1212" t="str">
        <f t="shared" si="337"/>
        <v>06/08/2016</v>
      </c>
    </row>
    <row r="1213" spans="1:27" x14ac:dyDescent="0.3">
      <c r="A1213" t="str">
        <f t="shared" si="319"/>
        <v>048314</v>
      </c>
      <c r="B1213" t="str">
        <f t="shared" si="329"/>
        <v>004796</v>
      </c>
      <c r="C1213" t="s">
        <v>1158</v>
      </c>
      <c r="D1213" t="s">
        <v>3839</v>
      </c>
      <c r="E1213" t="s">
        <v>3840</v>
      </c>
      <c r="F1213" t="s">
        <v>3841</v>
      </c>
      <c r="G1213" t="s">
        <v>3842</v>
      </c>
      <c r="H1213" t="str">
        <f>"046425"</f>
        <v>046425</v>
      </c>
      <c r="I1213" t="s">
        <v>833</v>
      </c>
      <c r="J1213" t="str">
        <f t="shared" si="328"/>
        <v>2015-07-01 00:00:00.0</v>
      </c>
      <c r="K1213" t="s">
        <v>834</v>
      </c>
      <c r="L1213" t="s">
        <v>1</v>
      </c>
      <c r="M1213" t="str">
        <f t="shared" si="325"/>
        <v>048314</v>
      </c>
      <c r="N1213">
        <v>1</v>
      </c>
      <c r="O1213">
        <v>1</v>
      </c>
      <c r="P1213" t="str">
        <f>"12"</f>
        <v>12</v>
      </c>
      <c r="Q1213" t="s">
        <v>835</v>
      </c>
      <c r="S1213" t="s">
        <v>836</v>
      </c>
      <c r="T1213" t="s">
        <v>836</v>
      </c>
      <c r="U1213" t="str">
        <f>"2016-05-27 00:00:00.0"</f>
        <v>2016-05-27 00:00:00.0</v>
      </c>
      <c r="V1213" t="s">
        <v>837</v>
      </c>
      <c r="W1213" t="str">
        <f>"046425-001958-12-SR"</f>
        <v>046425-001958-12-SR</v>
      </c>
      <c r="X1213" t="s">
        <v>838</v>
      </c>
      <c r="Y1213">
        <v>1106</v>
      </c>
      <c r="Z1213">
        <v>1106</v>
      </c>
      <c r="AA1213" t="str">
        <f>"06/15/2016"</f>
        <v>06/15/2016</v>
      </c>
    </row>
    <row r="1214" spans="1:27" x14ac:dyDescent="0.3">
      <c r="A1214" t="str">
        <f t="shared" si="319"/>
        <v>048314</v>
      </c>
      <c r="B1214" t="str">
        <f t="shared" si="329"/>
        <v>004796</v>
      </c>
      <c r="C1214" t="s">
        <v>1776</v>
      </c>
      <c r="D1214" t="s">
        <v>3839</v>
      </c>
      <c r="E1214" t="s">
        <v>3840</v>
      </c>
      <c r="F1214" t="s">
        <v>3841</v>
      </c>
      <c r="G1214" t="s">
        <v>3842</v>
      </c>
      <c r="H1214" t="str">
        <f>"048397"</f>
        <v>048397</v>
      </c>
      <c r="I1214" t="s">
        <v>833</v>
      </c>
      <c r="J1214" t="str">
        <f t="shared" si="328"/>
        <v>2015-07-01 00:00:00.0</v>
      </c>
      <c r="K1214" t="s">
        <v>834</v>
      </c>
      <c r="L1214" t="s">
        <v>1</v>
      </c>
      <c r="M1214" t="str">
        <f t="shared" si="325"/>
        <v>048314</v>
      </c>
      <c r="N1214">
        <v>1</v>
      </c>
      <c r="O1214">
        <v>1</v>
      </c>
      <c r="P1214" t="str">
        <f>"10"</f>
        <v>10</v>
      </c>
      <c r="Q1214" t="s">
        <v>835</v>
      </c>
      <c r="S1214" t="s">
        <v>836</v>
      </c>
      <c r="T1214" t="s">
        <v>836</v>
      </c>
      <c r="U1214" t="str">
        <f t="shared" ref="U1214:U1220" si="338">"2500-12-31 00:00:00.0"</f>
        <v>2500-12-31 00:00:00.0</v>
      </c>
      <c r="V1214" t="s">
        <v>837</v>
      </c>
      <c r="W1214" t="str">
        <f>"048397-042333-**-**"</f>
        <v>048397-042333-**-**</v>
      </c>
      <c r="X1214" t="s">
        <v>838</v>
      </c>
      <c r="Y1214">
        <v>1113.0999999999999</v>
      </c>
      <c r="Z1214">
        <v>1113.0999999999999</v>
      </c>
      <c r="AA1214" t="str">
        <f t="shared" ref="AA1214:AA1220" si="339">"06/08/2016"</f>
        <v>06/08/2016</v>
      </c>
    </row>
    <row r="1215" spans="1:27" x14ac:dyDescent="0.3">
      <c r="A1215" t="str">
        <f t="shared" si="319"/>
        <v>048314</v>
      </c>
      <c r="B1215" t="str">
        <f t="shared" si="329"/>
        <v>004796</v>
      </c>
      <c r="C1215" t="s">
        <v>1775</v>
      </c>
      <c r="D1215" t="s">
        <v>3839</v>
      </c>
      <c r="E1215" t="s">
        <v>3840</v>
      </c>
      <c r="F1215" t="s">
        <v>3841</v>
      </c>
      <c r="G1215" t="s">
        <v>3842</v>
      </c>
      <c r="H1215" t="str">
        <f>"048397"</f>
        <v>048397</v>
      </c>
      <c r="I1215" t="s">
        <v>833</v>
      </c>
      <c r="J1215" t="str">
        <f t="shared" si="328"/>
        <v>2015-07-01 00:00:00.0</v>
      </c>
      <c r="K1215" t="s">
        <v>834</v>
      </c>
      <c r="L1215" t="s">
        <v>1</v>
      </c>
      <c r="M1215" t="str">
        <f t="shared" si="325"/>
        <v>048314</v>
      </c>
      <c r="N1215">
        <v>1</v>
      </c>
      <c r="O1215">
        <v>1</v>
      </c>
      <c r="P1215" t="str">
        <f>"11"</f>
        <v>11</v>
      </c>
      <c r="Q1215" t="s">
        <v>835</v>
      </c>
      <c r="S1215" t="s">
        <v>836</v>
      </c>
      <c r="T1215" t="s">
        <v>836</v>
      </c>
      <c r="U1215" t="str">
        <f t="shared" si="338"/>
        <v>2500-12-31 00:00:00.0</v>
      </c>
      <c r="V1215" t="s">
        <v>837</v>
      </c>
      <c r="W1215" t="str">
        <f>"048397-042333-**-**"</f>
        <v>048397-042333-**-**</v>
      </c>
      <c r="X1215" t="s">
        <v>838</v>
      </c>
      <c r="Y1215">
        <v>1113.0999999999999</v>
      </c>
      <c r="Z1215">
        <v>1113.0999999999999</v>
      </c>
      <c r="AA1215" t="str">
        <f t="shared" si="339"/>
        <v>06/08/2016</v>
      </c>
    </row>
    <row r="1216" spans="1:27" x14ac:dyDescent="0.3">
      <c r="A1216" t="str">
        <f t="shared" si="319"/>
        <v>048314</v>
      </c>
      <c r="B1216" t="str">
        <f t="shared" si="329"/>
        <v>004796</v>
      </c>
      <c r="C1216" t="s">
        <v>1411</v>
      </c>
      <c r="D1216" t="s">
        <v>3839</v>
      </c>
      <c r="E1216" t="s">
        <v>3840</v>
      </c>
      <c r="F1216" t="s">
        <v>3841</v>
      </c>
      <c r="G1216" t="s">
        <v>3842</v>
      </c>
      <c r="H1216" t="str">
        <f>"048314"</f>
        <v>048314</v>
      </c>
      <c r="I1216" t="s">
        <v>833</v>
      </c>
      <c r="J1216" t="str">
        <f t="shared" si="328"/>
        <v>2015-07-01 00:00:00.0</v>
      </c>
      <c r="K1216" t="s">
        <v>834</v>
      </c>
      <c r="L1216" t="s">
        <v>0</v>
      </c>
      <c r="M1216" t="str">
        <f t="shared" si="325"/>
        <v>048314</v>
      </c>
      <c r="N1216">
        <v>1</v>
      </c>
      <c r="O1216">
        <v>1</v>
      </c>
      <c r="P1216" t="str">
        <f>"11"</f>
        <v>11</v>
      </c>
      <c r="Q1216" t="str">
        <f>"10"</f>
        <v>10</v>
      </c>
      <c r="R1216" t="str">
        <f>"2"</f>
        <v>2</v>
      </c>
      <c r="S1216" t="s">
        <v>836</v>
      </c>
      <c r="T1216" t="s">
        <v>836</v>
      </c>
      <c r="U1216" t="str">
        <f t="shared" si="338"/>
        <v>2500-12-31 00:00:00.0</v>
      </c>
      <c r="V1216" t="s">
        <v>837</v>
      </c>
      <c r="W1216" t="str">
        <f>"048314-004796-**-**"</f>
        <v>048314-004796-**-**</v>
      </c>
      <c r="X1216" t="s">
        <v>838</v>
      </c>
      <c r="Y1216">
        <v>1254.5</v>
      </c>
      <c r="Z1216">
        <v>1254.5</v>
      </c>
      <c r="AA1216" t="str">
        <f t="shared" si="339"/>
        <v>06/08/2016</v>
      </c>
    </row>
    <row r="1217" spans="1:27" x14ac:dyDescent="0.3">
      <c r="A1217" t="str">
        <f t="shared" si="319"/>
        <v>048314</v>
      </c>
      <c r="B1217" t="str">
        <f t="shared" si="329"/>
        <v>004796</v>
      </c>
      <c r="C1217" t="s">
        <v>1231</v>
      </c>
      <c r="D1217" t="s">
        <v>3839</v>
      </c>
      <c r="E1217" t="s">
        <v>3840</v>
      </c>
      <c r="F1217" t="s">
        <v>3841</v>
      </c>
      <c r="G1217" t="s">
        <v>3842</v>
      </c>
      <c r="H1217" t="str">
        <f>"048314"</f>
        <v>048314</v>
      </c>
      <c r="I1217" t="s">
        <v>833</v>
      </c>
      <c r="J1217" t="str">
        <f t="shared" si="328"/>
        <v>2015-07-01 00:00:00.0</v>
      </c>
      <c r="K1217" t="s">
        <v>834</v>
      </c>
      <c r="L1217" t="s">
        <v>0</v>
      </c>
      <c r="M1217" t="str">
        <f t="shared" si="325"/>
        <v>048314</v>
      </c>
      <c r="N1217">
        <v>1</v>
      </c>
      <c r="O1217">
        <v>1</v>
      </c>
      <c r="P1217" t="str">
        <f>"11"</f>
        <v>11</v>
      </c>
      <c r="Q1217" t="str">
        <f>"10"</f>
        <v>10</v>
      </c>
      <c r="R1217" t="str">
        <f>"2"</f>
        <v>2</v>
      </c>
      <c r="S1217" t="s">
        <v>836</v>
      </c>
      <c r="T1217" t="s">
        <v>836</v>
      </c>
      <c r="U1217" t="str">
        <f t="shared" si="338"/>
        <v>2500-12-31 00:00:00.0</v>
      </c>
      <c r="V1217" t="s">
        <v>837</v>
      </c>
      <c r="W1217" t="str">
        <f>"048314-004796-**-**"</f>
        <v>048314-004796-**-**</v>
      </c>
      <c r="X1217" t="s">
        <v>838</v>
      </c>
      <c r="Y1217">
        <v>1254.5</v>
      </c>
      <c r="Z1217">
        <v>1254.5</v>
      </c>
      <c r="AA1217" t="str">
        <f t="shared" si="339"/>
        <v>06/08/2016</v>
      </c>
    </row>
    <row r="1218" spans="1:27" x14ac:dyDescent="0.3">
      <c r="A1218" t="str">
        <f t="shared" ref="A1218:A1281" si="340">"048314"</f>
        <v>048314</v>
      </c>
      <c r="B1218" t="str">
        <f t="shared" si="329"/>
        <v>004796</v>
      </c>
      <c r="C1218" t="s">
        <v>1440</v>
      </c>
      <c r="D1218" t="s">
        <v>3839</v>
      </c>
      <c r="E1218" t="s">
        <v>3840</v>
      </c>
      <c r="F1218" t="s">
        <v>3841</v>
      </c>
      <c r="G1218" t="s">
        <v>3842</v>
      </c>
      <c r="H1218" t="str">
        <f>"048314"</f>
        <v>048314</v>
      </c>
      <c r="I1218" t="s">
        <v>833</v>
      </c>
      <c r="J1218" t="str">
        <f t="shared" si="328"/>
        <v>2015-07-01 00:00:00.0</v>
      </c>
      <c r="K1218" t="s">
        <v>834</v>
      </c>
      <c r="L1218" t="s">
        <v>0</v>
      </c>
      <c r="M1218" t="str">
        <f t="shared" si="325"/>
        <v>048314</v>
      </c>
      <c r="N1218">
        <v>1</v>
      </c>
      <c r="O1218">
        <v>1</v>
      </c>
      <c r="P1218" t="str">
        <f>"10"</f>
        <v>10</v>
      </c>
      <c r="Q1218" t="s">
        <v>835</v>
      </c>
      <c r="S1218" t="s">
        <v>860</v>
      </c>
      <c r="T1218" t="s">
        <v>836</v>
      </c>
      <c r="U1218" t="str">
        <f t="shared" si="338"/>
        <v>2500-12-31 00:00:00.0</v>
      </c>
      <c r="V1218" t="s">
        <v>837</v>
      </c>
      <c r="W1218" t="str">
        <f>"048314-004796-**-**"</f>
        <v>048314-004796-**-**</v>
      </c>
      <c r="X1218" t="s">
        <v>838</v>
      </c>
      <c r="Y1218">
        <v>1254.5</v>
      </c>
      <c r="Z1218">
        <v>1254.5</v>
      </c>
      <c r="AA1218" t="str">
        <f t="shared" si="339"/>
        <v>06/08/2016</v>
      </c>
    </row>
    <row r="1219" spans="1:27" x14ac:dyDescent="0.3">
      <c r="A1219" t="str">
        <f t="shared" si="340"/>
        <v>048314</v>
      </c>
      <c r="B1219" t="str">
        <f t="shared" si="329"/>
        <v>004796</v>
      </c>
      <c r="C1219" t="s">
        <v>1347</v>
      </c>
      <c r="D1219" t="s">
        <v>3839</v>
      </c>
      <c r="E1219" t="s">
        <v>3840</v>
      </c>
      <c r="F1219" t="s">
        <v>3841</v>
      </c>
      <c r="G1219" t="s">
        <v>3842</v>
      </c>
      <c r="H1219" t="str">
        <f>"048314"</f>
        <v>048314</v>
      </c>
      <c r="I1219" t="s">
        <v>833</v>
      </c>
      <c r="J1219" t="str">
        <f t="shared" si="328"/>
        <v>2015-07-01 00:00:00.0</v>
      </c>
      <c r="K1219" t="s">
        <v>834</v>
      </c>
      <c r="L1219" t="s">
        <v>0</v>
      </c>
      <c r="M1219" t="str">
        <f t="shared" si="325"/>
        <v>048314</v>
      </c>
      <c r="N1219">
        <v>1</v>
      </c>
      <c r="O1219">
        <v>1</v>
      </c>
      <c r="P1219" t="str">
        <f>"11"</f>
        <v>11</v>
      </c>
      <c r="Q1219" t="s">
        <v>835</v>
      </c>
      <c r="S1219" t="s">
        <v>836</v>
      </c>
      <c r="T1219" t="s">
        <v>836</v>
      </c>
      <c r="U1219" t="str">
        <f t="shared" si="338"/>
        <v>2500-12-31 00:00:00.0</v>
      </c>
      <c r="V1219" t="s">
        <v>837</v>
      </c>
      <c r="W1219" t="str">
        <f>"048314-004796-**-**"</f>
        <v>048314-004796-**-**</v>
      </c>
      <c r="X1219" t="s">
        <v>838</v>
      </c>
      <c r="Y1219">
        <v>1254.5</v>
      </c>
      <c r="Z1219">
        <v>1254.5</v>
      </c>
      <c r="AA1219" t="str">
        <f t="shared" si="339"/>
        <v>06/08/2016</v>
      </c>
    </row>
    <row r="1220" spans="1:27" x14ac:dyDescent="0.3">
      <c r="A1220" t="str">
        <f t="shared" si="340"/>
        <v>048314</v>
      </c>
      <c r="B1220" t="str">
        <f t="shared" si="329"/>
        <v>004796</v>
      </c>
      <c r="C1220" t="s">
        <v>1307</v>
      </c>
      <c r="D1220" t="s">
        <v>3839</v>
      </c>
      <c r="E1220" t="s">
        <v>3840</v>
      </c>
      <c r="F1220" t="s">
        <v>3841</v>
      </c>
      <c r="G1220" t="s">
        <v>3842</v>
      </c>
      <c r="H1220" t="str">
        <f>"048314"</f>
        <v>048314</v>
      </c>
      <c r="I1220" t="s">
        <v>833</v>
      </c>
      <c r="J1220" t="str">
        <f t="shared" si="328"/>
        <v>2015-07-01 00:00:00.0</v>
      </c>
      <c r="K1220" t="s">
        <v>834</v>
      </c>
      <c r="L1220" t="s">
        <v>0</v>
      </c>
      <c r="M1220" t="str">
        <f t="shared" si="325"/>
        <v>048314</v>
      </c>
      <c r="N1220">
        <v>1</v>
      </c>
      <c r="O1220">
        <v>1</v>
      </c>
      <c r="P1220" t="str">
        <f>"11"</f>
        <v>11</v>
      </c>
      <c r="Q1220" t="s">
        <v>835</v>
      </c>
      <c r="S1220" t="s">
        <v>836</v>
      </c>
      <c r="T1220" t="s">
        <v>836</v>
      </c>
      <c r="U1220" t="str">
        <f t="shared" si="338"/>
        <v>2500-12-31 00:00:00.0</v>
      </c>
      <c r="V1220" t="s">
        <v>837</v>
      </c>
      <c r="W1220" t="str">
        <f>"048314-004796-**-**"</f>
        <v>048314-004796-**-**</v>
      </c>
      <c r="X1220" t="s">
        <v>838</v>
      </c>
      <c r="Y1220">
        <v>1254.5</v>
      </c>
      <c r="Z1220">
        <v>1254.5</v>
      </c>
      <c r="AA1220" t="str">
        <f t="shared" si="339"/>
        <v>06/08/2016</v>
      </c>
    </row>
    <row r="1221" spans="1:27" x14ac:dyDescent="0.3">
      <c r="A1221" t="str">
        <f t="shared" si="340"/>
        <v>048314</v>
      </c>
      <c r="B1221" t="str">
        <f t="shared" si="329"/>
        <v>004796</v>
      </c>
      <c r="C1221" t="s">
        <v>1252</v>
      </c>
      <c r="D1221" t="s">
        <v>3839</v>
      </c>
      <c r="E1221" t="s">
        <v>3840</v>
      </c>
      <c r="F1221" t="s">
        <v>3841</v>
      </c>
      <c r="G1221" t="s">
        <v>3842</v>
      </c>
      <c r="H1221" t="str">
        <f>"048322"</f>
        <v>048322</v>
      </c>
      <c r="I1221" t="s">
        <v>833</v>
      </c>
      <c r="J1221" t="str">
        <f t="shared" si="328"/>
        <v>2015-07-01 00:00:00.0</v>
      </c>
      <c r="K1221" t="s">
        <v>834</v>
      </c>
      <c r="L1221" t="s">
        <v>1</v>
      </c>
      <c r="M1221" t="str">
        <f t="shared" si="325"/>
        <v>048314</v>
      </c>
      <c r="N1221">
        <v>1</v>
      </c>
      <c r="O1221">
        <v>1</v>
      </c>
      <c r="P1221" t="str">
        <f>"12"</f>
        <v>12</v>
      </c>
      <c r="Q1221" t="s">
        <v>835</v>
      </c>
      <c r="S1221" t="s">
        <v>860</v>
      </c>
      <c r="T1221" t="s">
        <v>836</v>
      </c>
      <c r="U1221" t="str">
        <f>"2016-06-10 00:00:00.0"</f>
        <v>2016-06-10 00:00:00.0</v>
      </c>
      <c r="V1221" t="s">
        <v>837</v>
      </c>
      <c r="W1221" t="str">
        <f>"048322-017798-12-SR"</f>
        <v>048322-017798-12-SR</v>
      </c>
      <c r="X1221" t="s">
        <v>838</v>
      </c>
      <c r="Y1221">
        <v>1155</v>
      </c>
      <c r="Z1221">
        <v>1155</v>
      </c>
      <c r="AA1221" t="str">
        <f>"06/15/2016"</f>
        <v>06/15/2016</v>
      </c>
    </row>
    <row r="1222" spans="1:27" x14ac:dyDescent="0.3">
      <c r="A1222" t="str">
        <f t="shared" si="340"/>
        <v>048314</v>
      </c>
      <c r="B1222" t="str">
        <f t="shared" si="329"/>
        <v>004796</v>
      </c>
      <c r="C1222" t="s">
        <v>2512</v>
      </c>
      <c r="D1222" t="s">
        <v>3839</v>
      </c>
      <c r="E1222" t="s">
        <v>3840</v>
      </c>
      <c r="F1222" t="s">
        <v>3841</v>
      </c>
      <c r="G1222" t="s">
        <v>3842</v>
      </c>
      <c r="H1222" t="str">
        <f t="shared" ref="H1222:H1231" si="341">"048314"</f>
        <v>048314</v>
      </c>
      <c r="I1222" t="s">
        <v>833</v>
      </c>
      <c r="J1222" t="str">
        <f t="shared" si="328"/>
        <v>2015-07-01 00:00:00.0</v>
      </c>
      <c r="K1222" t="s">
        <v>834</v>
      </c>
      <c r="L1222" t="s">
        <v>0</v>
      </c>
      <c r="M1222" t="str">
        <f t="shared" si="325"/>
        <v>048314</v>
      </c>
      <c r="N1222">
        <v>1</v>
      </c>
      <c r="O1222">
        <v>1</v>
      </c>
      <c r="P1222" t="str">
        <f>"10"</f>
        <v>10</v>
      </c>
      <c r="Q1222" t="s">
        <v>835</v>
      </c>
      <c r="S1222" t="s">
        <v>836</v>
      </c>
      <c r="T1222" t="s">
        <v>836</v>
      </c>
      <c r="U1222" t="str">
        <f>"2500-12-31 00:00:00.0"</f>
        <v>2500-12-31 00:00:00.0</v>
      </c>
      <c r="V1222" t="s">
        <v>837</v>
      </c>
      <c r="W1222" t="str">
        <f>"048314-004796-**-**"</f>
        <v>048314-004796-**-**</v>
      </c>
      <c r="X1222" t="s">
        <v>838</v>
      </c>
      <c r="Y1222">
        <v>1254.5</v>
      </c>
      <c r="Z1222">
        <v>1254.5</v>
      </c>
      <c r="AA1222" t="str">
        <f t="shared" ref="AA1222:AA1231" si="342">"06/08/2016"</f>
        <v>06/08/2016</v>
      </c>
    </row>
    <row r="1223" spans="1:27" x14ac:dyDescent="0.3">
      <c r="A1223" t="str">
        <f t="shared" si="340"/>
        <v>048314</v>
      </c>
      <c r="B1223" t="str">
        <f t="shared" si="329"/>
        <v>004796</v>
      </c>
      <c r="C1223" t="s">
        <v>1778</v>
      </c>
      <c r="D1223" t="s">
        <v>3839</v>
      </c>
      <c r="E1223" t="s">
        <v>3840</v>
      </c>
      <c r="F1223" t="s">
        <v>3841</v>
      </c>
      <c r="G1223" t="s">
        <v>3842</v>
      </c>
      <c r="H1223" t="str">
        <f t="shared" si="341"/>
        <v>048314</v>
      </c>
      <c r="I1223" t="s">
        <v>833</v>
      </c>
      <c r="J1223" t="str">
        <f>"2016-04-11 00:00:00.0"</f>
        <v>2016-04-11 00:00:00.0</v>
      </c>
      <c r="K1223" t="s">
        <v>834</v>
      </c>
      <c r="L1223" t="s">
        <v>0</v>
      </c>
      <c r="M1223" t="str">
        <f t="shared" si="325"/>
        <v>048314</v>
      </c>
      <c r="N1223">
        <v>0.217617</v>
      </c>
      <c r="O1223">
        <v>0.217617</v>
      </c>
      <c r="P1223" t="str">
        <f>"11"</f>
        <v>11</v>
      </c>
      <c r="Q1223" t="s">
        <v>835</v>
      </c>
      <c r="S1223" t="s">
        <v>836</v>
      </c>
      <c r="T1223" t="s">
        <v>836</v>
      </c>
      <c r="U1223" t="str">
        <f>"2500-12-31 00:00:00.0"</f>
        <v>2500-12-31 00:00:00.0</v>
      </c>
      <c r="V1223" t="s">
        <v>837</v>
      </c>
      <c r="W1223" t="str">
        <f>"048314-004796-**-**"</f>
        <v>048314-004796-**-**</v>
      </c>
      <c r="X1223" t="s">
        <v>838</v>
      </c>
      <c r="Y1223">
        <v>273</v>
      </c>
      <c r="Z1223">
        <v>1254.5</v>
      </c>
      <c r="AA1223" t="str">
        <f t="shared" si="342"/>
        <v>06/08/2016</v>
      </c>
    </row>
    <row r="1224" spans="1:27" x14ac:dyDescent="0.3">
      <c r="A1224" t="str">
        <f t="shared" si="340"/>
        <v>048314</v>
      </c>
      <c r="B1224" t="str">
        <f t="shared" si="329"/>
        <v>004796</v>
      </c>
      <c r="C1224" t="s">
        <v>1778</v>
      </c>
      <c r="D1224" t="s">
        <v>3839</v>
      </c>
      <c r="E1224" t="s">
        <v>3840</v>
      </c>
      <c r="F1224" t="s">
        <v>3841</v>
      </c>
      <c r="G1224" t="s">
        <v>3842</v>
      </c>
      <c r="H1224" t="str">
        <f t="shared" si="341"/>
        <v>048314</v>
      </c>
      <c r="I1224" t="s">
        <v>833</v>
      </c>
      <c r="J1224" t="str">
        <f t="shared" ref="J1224:J1231" si="343">"2015-07-01 00:00:00.0"</f>
        <v>2015-07-01 00:00:00.0</v>
      </c>
      <c r="K1224" t="s">
        <v>834</v>
      </c>
      <c r="L1224" t="s">
        <v>0</v>
      </c>
      <c r="M1224" t="str">
        <f t="shared" si="325"/>
        <v>048314</v>
      </c>
      <c r="N1224">
        <v>0.78238300000000005</v>
      </c>
      <c r="O1224">
        <v>0.78238300000000005</v>
      </c>
      <c r="P1224" t="str">
        <f>"11"</f>
        <v>11</v>
      </c>
      <c r="Q1224" t="s">
        <v>835</v>
      </c>
      <c r="S1224" t="s">
        <v>836</v>
      </c>
      <c r="T1224" t="s">
        <v>836</v>
      </c>
      <c r="U1224" t="str">
        <f>"2016-04-10 00:00:00.0"</f>
        <v>2016-04-10 00:00:00.0</v>
      </c>
      <c r="V1224" t="s">
        <v>837</v>
      </c>
      <c r="W1224" t="str">
        <f>"048314-004796-**-**"</f>
        <v>048314-004796-**-**</v>
      </c>
      <c r="X1224" t="s">
        <v>838</v>
      </c>
      <c r="Y1224">
        <v>981.5</v>
      </c>
      <c r="Z1224">
        <v>1254.5</v>
      </c>
      <c r="AA1224" t="str">
        <f t="shared" si="342"/>
        <v>06/08/2016</v>
      </c>
    </row>
    <row r="1225" spans="1:27" x14ac:dyDescent="0.3">
      <c r="A1225" t="str">
        <f t="shared" si="340"/>
        <v>048314</v>
      </c>
      <c r="B1225" t="str">
        <f t="shared" si="329"/>
        <v>004796</v>
      </c>
      <c r="C1225" t="s">
        <v>1224</v>
      </c>
      <c r="D1225" t="s">
        <v>3839</v>
      </c>
      <c r="E1225" t="s">
        <v>3840</v>
      </c>
      <c r="F1225" t="s">
        <v>3841</v>
      </c>
      <c r="G1225" t="s">
        <v>3842</v>
      </c>
      <c r="H1225" t="str">
        <f t="shared" si="341"/>
        <v>048314</v>
      </c>
      <c r="I1225" t="s">
        <v>833</v>
      </c>
      <c r="J1225" t="str">
        <f t="shared" si="343"/>
        <v>2015-07-01 00:00:00.0</v>
      </c>
      <c r="K1225" t="s">
        <v>834</v>
      </c>
      <c r="L1225" t="s">
        <v>0</v>
      </c>
      <c r="M1225" t="str">
        <f t="shared" si="325"/>
        <v>048314</v>
      </c>
      <c r="N1225">
        <v>1</v>
      </c>
      <c r="O1225">
        <v>1</v>
      </c>
      <c r="P1225" t="str">
        <f>"12"</f>
        <v>12</v>
      </c>
      <c r="Q1225" t="s">
        <v>835</v>
      </c>
      <c r="S1225" t="s">
        <v>836</v>
      </c>
      <c r="T1225" t="s">
        <v>836</v>
      </c>
      <c r="U1225" t="str">
        <f t="shared" ref="U1225:U1288" si="344">"2500-12-31 00:00:00.0"</f>
        <v>2500-12-31 00:00:00.0</v>
      </c>
      <c r="V1225" t="s">
        <v>837</v>
      </c>
      <c r="W1225" t="str">
        <f>"048314-004796-12-SE"</f>
        <v>048314-004796-12-SE</v>
      </c>
      <c r="X1225" t="s">
        <v>838</v>
      </c>
      <c r="Y1225">
        <v>1254.5</v>
      </c>
      <c r="Z1225">
        <v>1254.5</v>
      </c>
      <c r="AA1225" t="str">
        <f t="shared" si="342"/>
        <v>06/08/2016</v>
      </c>
    </row>
    <row r="1226" spans="1:27" x14ac:dyDescent="0.3">
      <c r="A1226" t="str">
        <f t="shared" si="340"/>
        <v>048314</v>
      </c>
      <c r="B1226" t="str">
        <f t="shared" si="329"/>
        <v>004796</v>
      </c>
      <c r="C1226" t="s">
        <v>1108</v>
      </c>
      <c r="D1226" t="s">
        <v>3839</v>
      </c>
      <c r="E1226" t="s">
        <v>3840</v>
      </c>
      <c r="F1226" t="s">
        <v>3841</v>
      </c>
      <c r="G1226" t="s">
        <v>3842</v>
      </c>
      <c r="H1226" t="str">
        <f t="shared" si="341"/>
        <v>048314</v>
      </c>
      <c r="I1226" t="s">
        <v>833</v>
      </c>
      <c r="J1226" t="str">
        <f t="shared" si="343"/>
        <v>2015-07-01 00:00:00.0</v>
      </c>
      <c r="K1226" t="s">
        <v>834</v>
      </c>
      <c r="L1226" t="s">
        <v>0</v>
      </c>
      <c r="M1226" t="str">
        <f t="shared" si="325"/>
        <v>048314</v>
      </c>
      <c r="N1226">
        <v>1</v>
      </c>
      <c r="O1226">
        <v>1</v>
      </c>
      <c r="P1226" t="str">
        <f>"12"</f>
        <v>12</v>
      </c>
      <c r="Q1226" t="s">
        <v>835</v>
      </c>
      <c r="S1226" t="s">
        <v>836</v>
      </c>
      <c r="T1226" t="s">
        <v>836</v>
      </c>
      <c r="U1226" t="str">
        <f t="shared" si="344"/>
        <v>2500-12-31 00:00:00.0</v>
      </c>
      <c r="V1226" t="s">
        <v>837</v>
      </c>
      <c r="W1226" t="str">
        <f>"048314-004796-12-SE"</f>
        <v>048314-004796-12-SE</v>
      </c>
      <c r="X1226" t="s">
        <v>838</v>
      </c>
      <c r="Y1226">
        <v>1254.5</v>
      </c>
      <c r="Z1226">
        <v>1254.5</v>
      </c>
      <c r="AA1226" t="str">
        <f t="shared" si="342"/>
        <v>06/08/2016</v>
      </c>
    </row>
    <row r="1227" spans="1:27" x14ac:dyDescent="0.3">
      <c r="A1227" t="str">
        <f t="shared" si="340"/>
        <v>048314</v>
      </c>
      <c r="B1227" t="str">
        <f t="shared" si="329"/>
        <v>004796</v>
      </c>
      <c r="C1227" t="s">
        <v>1300</v>
      </c>
      <c r="D1227" t="s">
        <v>3839</v>
      </c>
      <c r="E1227" t="s">
        <v>3840</v>
      </c>
      <c r="F1227" t="s">
        <v>3841</v>
      </c>
      <c r="G1227" t="s">
        <v>3842</v>
      </c>
      <c r="H1227" t="str">
        <f t="shared" si="341"/>
        <v>048314</v>
      </c>
      <c r="I1227" t="s">
        <v>833</v>
      </c>
      <c r="J1227" t="str">
        <f t="shared" si="343"/>
        <v>2015-07-01 00:00:00.0</v>
      </c>
      <c r="K1227" t="s">
        <v>834</v>
      </c>
      <c r="L1227" t="s">
        <v>0</v>
      </c>
      <c r="M1227" t="str">
        <f t="shared" si="325"/>
        <v>048314</v>
      </c>
      <c r="N1227">
        <v>1</v>
      </c>
      <c r="O1227">
        <v>1</v>
      </c>
      <c r="P1227" t="str">
        <f>"11"</f>
        <v>11</v>
      </c>
      <c r="Q1227" t="s">
        <v>835</v>
      </c>
      <c r="S1227" t="s">
        <v>836</v>
      </c>
      <c r="T1227" t="s">
        <v>836</v>
      </c>
      <c r="U1227" t="str">
        <f t="shared" si="344"/>
        <v>2500-12-31 00:00:00.0</v>
      </c>
      <c r="V1227" t="s">
        <v>837</v>
      </c>
      <c r="W1227" t="str">
        <f>"048314-004796-**-**"</f>
        <v>048314-004796-**-**</v>
      </c>
      <c r="X1227" t="s">
        <v>838</v>
      </c>
      <c r="Y1227">
        <v>1254.5</v>
      </c>
      <c r="Z1227">
        <v>1254.5</v>
      </c>
      <c r="AA1227" t="str">
        <f t="shared" si="342"/>
        <v>06/08/2016</v>
      </c>
    </row>
    <row r="1228" spans="1:27" x14ac:dyDescent="0.3">
      <c r="A1228" t="str">
        <f t="shared" si="340"/>
        <v>048314</v>
      </c>
      <c r="B1228" t="str">
        <f t="shared" si="329"/>
        <v>004796</v>
      </c>
      <c r="C1228" t="s">
        <v>2038</v>
      </c>
      <c r="D1228" t="s">
        <v>3839</v>
      </c>
      <c r="E1228" t="s">
        <v>3840</v>
      </c>
      <c r="F1228" t="s">
        <v>3841</v>
      </c>
      <c r="G1228" t="s">
        <v>3842</v>
      </c>
      <c r="H1228" t="str">
        <f t="shared" si="341"/>
        <v>048314</v>
      </c>
      <c r="I1228" t="s">
        <v>833</v>
      </c>
      <c r="J1228" t="str">
        <f t="shared" si="343"/>
        <v>2015-07-01 00:00:00.0</v>
      </c>
      <c r="K1228" t="s">
        <v>834</v>
      </c>
      <c r="L1228" t="s">
        <v>0</v>
      </c>
      <c r="M1228" t="str">
        <f t="shared" si="325"/>
        <v>048314</v>
      </c>
      <c r="N1228">
        <v>1</v>
      </c>
      <c r="O1228">
        <v>1</v>
      </c>
      <c r="P1228" t="str">
        <f>"10"</f>
        <v>10</v>
      </c>
      <c r="Q1228" t="s">
        <v>835</v>
      </c>
      <c r="S1228" t="s">
        <v>836</v>
      </c>
      <c r="T1228" t="s">
        <v>836</v>
      </c>
      <c r="U1228" t="str">
        <f t="shared" si="344"/>
        <v>2500-12-31 00:00:00.0</v>
      </c>
      <c r="V1228" t="s">
        <v>837</v>
      </c>
      <c r="W1228" t="str">
        <f>"048314-004796-**-**"</f>
        <v>048314-004796-**-**</v>
      </c>
      <c r="X1228" t="s">
        <v>838</v>
      </c>
      <c r="Y1228">
        <v>1254.5</v>
      </c>
      <c r="Z1228">
        <v>1254.5</v>
      </c>
      <c r="AA1228" t="str">
        <f t="shared" si="342"/>
        <v>06/08/2016</v>
      </c>
    </row>
    <row r="1229" spans="1:27" x14ac:dyDescent="0.3">
      <c r="A1229" t="str">
        <f t="shared" si="340"/>
        <v>048314</v>
      </c>
      <c r="B1229" t="str">
        <f t="shared" si="329"/>
        <v>004796</v>
      </c>
      <c r="C1229" t="s">
        <v>1429</v>
      </c>
      <c r="D1229" t="s">
        <v>3839</v>
      </c>
      <c r="E1229" t="s">
        <v>3840</v>
      </c>
      <c r="F1229" t="s">
        <v>3841</v>
      </c>
      <c r="G1229" t="s">
        <v>3842</v>
      </c>
      <c r="H1229" t="str">
        <f t="shared" si="341"/>
        <v>048314</v>
      </c>
      <c r="I1229" t="s">
        <v>833</v>
      </c>
      <c r="J1229" t="str">
        <f t="shared" si="343"/>
        <v>2015-07-01 00:00:00.0</v>
      </c>
      <c r="K1229" t="s">
        <v>834</v>
      </c>
      <c r="L1229" t="s">
        <v>0</v>
      </c>
      <c r="M1229" t="str">
        <f t="shared" si="325"/>
        <v>048314</v>
      </c>
      <c r="N1229">
        <v>1</v>
      </c>
      <c r="O1229">
        <v>1</v>
      </c>
      <c r="P1229" t="str">
        <f>"12"</f>
        <v>12</v>
      </c>
      <c r="Q1229" t="s">
        <v>835</v>
      </c>
      <c r="S1229" t="s">
        <v>836</v>
      </c>
      <c r="T1229" t="s">
        <v>836</v>
      </c>
      <c r="U1229" t="str">
        <f t="shared" si="344"/>
        <v>2500-12-31 00:00:00.0</v>
      </c>
      <c r="V1229" t="s">
        <v>837</v>
      </c>
      <c r="W1229" t="str">
        <f>"048314-004796-12-SE"</f>
        <v>048314-004796-12-SE</v>
      </c>
      <c r="X1229" t="s">
        <v>838</v>
      </c>
      <c r="Y1229">
        <v>1254.5</v>
      </c>
      <c r="Z1229">
        <v>1254.5</v>
      </c>
      <c r="AA1229" t="str">
        <f t="shared" si="342"/>
        <v>06/08/2016</v>
      </c>
    </row>
    <row r="1230" spans="1:27" x14ac:dyDescent="0.3">
      <c r="A1230" t="str">
        <f t="shared" si="340"/>
        <v>048314</v>
      </c>
      <c r="B1230" t="str">
        <f t="shared" si="329"/>
        <v>004796</v>
      </c>
      <c r="C1230" t="s">
        <v>1200</v>
      </c>
      <c r="D1230" t="s">
        <v>3839</v>
      </c>
      <c r="E1230" t="s">
        <v>3840</v>
      </c>
      <c r="F1230" t="s">
        <v>3841</v>
      </c>
      <c r="G1230" t="s">
        <v>3842</v>
      </c>
      <c r="H1230" t="str">
        <f t="shared" si="341"/>
        <v>048314</v>
      </c>
      <c r="I1230" t="s">
        <v>833</v>
      </c>
      <c r="J1230" t="str">
        <f t="shared" si="343"/>
        <v>2015-07-01 00:00:00.0</v>
      </c>
      <c r="K1230" t="s">
        <v>834</v>
      </c>
      <c r="L1230" t="s">
        <v>0</v>
      </c>
      <c r="M1230" t="str">
        <f t="shared" si="325"/>
        <v>048314</v>
      </c>
      <c r="N1230">
        <v>1</v>
      </c>
      <c r="O1230">
        <v>1</v>
      </c>
      <c r="P1230" t="str">
        <f>"12"</f>
        <v>12</v>
      </c>
      <c r="Q1230" t="s">
        <v>835</v>
      </c>
      <c r="S1230" t="s">
        <v>836</v>
      </c>
      <c r="T1230" t="s">
        <v>836</v>
      </c>
      <c r="U1230" t="str">
        <f t="shared" si="344"/>
        <v>2500-12-31 00:00:00.0</v>
      </c>
      <c r="V1230" t="s">
        <v>837</v>
      </c>
      <c r="W1230" t="str">
        <f>"048314-004796-12-SE"</f>
        <v>048314-004796-12-SE</v>
      </c>
      <c r="X1230" t="s">
        <v>838</v>
      </c>
      <c r="Y1230">
        <v>1254.5</v>
      </c>
      <c r="Z1230">
        <v>1254.5</v>
      </c>
      <c r="AA1230" t="str">
        <f t="shared" si="342"/>
        <v>06/08/2016</v>
      </c>
    </row>
    <row r="1231" spans="1:27" x14ac:dyDescent="0.3">
      <c r="A1231" t="str">
        <f t="shared" si="340"/>
        <v>048314</v>
      </c>
      <c r="B1231" t="str">
        <f t="shared" si="329"/>
        <v>004796</v>
      </c>
      <c r="C1231" t="s">
        <v>2720</v>
      </c>
      <c r="D1231" t="s">
        <v>3839</v>
      </c>
      <c r="E1231" t="s">
        <v>3840</v>
      </c>
      <c r="F1231" t="s">
        <v>3841</v>
      </c>
      <c r="G1231" t="s">
        <v>3842</v>
      </c>
      <c r="H1231" t="str">
        <f t="shared" si="341"/>
        <v>048314</v>
      </c>
      <c r="I1231" t="s">
        <v>833</v>
      </c>
      <c r="J1231" t="str">
        <f t="shared" si="343"/>
        <v>2015-07-01 00:00:00.0</v>
      </c>
      <c r="K1231" t="s">
        <v>834</v>
      </c>
      <c r="L1231" t="s">
        <v>0</v>
      </c>
      <c r="M1231" t="str">
        <f t="shared" si="325"/>
        <v>048314</v>
      </c>
      <c r="N1231">
        <v>1</v>
      </c>
      <c r="O1231">
        <v>1</v>
      </c>
      <c r="P1231" t="str">
        <f>"10"</f>
        <v>10</v>
      </c>
      <c r="Q1231" t="s">
        <v>835</v>
      </c>
      <c r="S1231" t="s">
        <v>836</v>
      </c>
      <c r="T1231" t="s">
        <v>836</v>
      </c>
      <c r="U1231" t="str">
        <f t="shared" si="344"/>
        <v>2500-12-31 00:00:00.0</v>
      </c>
      <c r="V1231" t="s">
        <v>837</v>
      </c>
      <c r="W1231" t="str">
        <f>"048314-004796-**-**"</f>
        <v>048314-004796-**-**</v>
      </c>
      <c r="X1231" t="s">
        <v>838</v>
      </c>
      <c r="Y1231">
        <v>1254.5</v>
      </c>
      <c r="Z1231">
        <v>1254.5</v>
      </c>
      <c r="AA1231" t="str">
        <f t="shared" si="342"/>
        <v>06/08/2016</v>
      </c>
    </row>
    <row r="1232" spans="1:27" x14ac:dyDescent="0.3">
      <c r="A1232" t="str">
        <f t="shared" si="340"/>
        <v>048314</v>
      </c>
      <c r="B1232" t="str">
        <f t="shared" si="329"/>
        <v>004796</v>
      </c>
      <c r="C1232" t="s">
        <v>1677</v>
      </c>
      <c r="D1232" t="s">
        <v>3839</v>
      </c>
      <c r="E1232" t="s">
        <v>3840</v>
      </c>
      <c r="F1232" t="s">
        <v>3841</v>
      </c>
      <c r="G1232" t="s">
        <v>3842</v>
      </c>
      <c r="H1232" t="str">
        <f>"048363"</f>
        <v>048363</v>
      </c>
      <c r="I1232" t="s">
        <v>833</v>
      </c>
      <c r="J1232" t="str">
        <f>"2015-08-12 00:00:00.0"</f>
        <v>2015-08-12 00:00:00.0</v>
      </c>
      <c r="K1232" t="s">
        <v>834</v>
      </c>
      <c r="L1232" t="s">
        <v>1</v>
      </c>
      <c r="M1232" t="str">
        <f t="shared" si="325"/>
        <v>048314</v>
      </c>
      <c r="N1232">
        <v>1</v>
      </c>
      <c r="O1232">
        <v>1</v>
      </c>
      <c r="P1232" t="str">
        <f>"10"</f>
        <v>10</v>
      </c>
      <c r="Q1232" t="s">
        <v>835</v>
      </c>
      <c r="S1232" t="s">
        <v>836</v>
      </c>
      <c r="T1232" t="s">
        <v>836</v>
      </c>
      <c r="U1232" t="str">
        <f t="shared" si="344"/>
        <v>2500-12-31 00:00:00.0</v>
      </c>
      <c r="V1232" t="s">
        <v>837</v>
      </c>
      <c r="W1232" t="str">
        <f>"048363-026229-**-**"</f>
        <v>048363-026229-**-**</v>
      </c>
      <c r="X1232" t="s">
        <v>838</v>
      </c>
      <c r="Y1232">
        <v>1127</v>
      </c>
      <c r="Z1232">
        <v>1127</v>
      </c>
      <c r="AA1232" t="str">
        <f>"06/15/2016"</f>
        <v>06/15/2016</v>
      </c>
    </row>
    <row r="1233" spans="1:27" x14ac:dyDescent="0.3">
      <c r="A1233" t="str">
        <f t="shared" si="340"/>
        <v>048314</v>
      </c>
      <c r="B1233" t="str">
        <f t="shared" si="329"/>
        <v>004796</v>
      </c>
      <c r="C1233" t="s">
        <v>1786</v>
      </c>
      <c r="D1233" t="s">
        <v>3839</v>
      </c>
      <c r="E1233" t="s">
        <v>3840</v>
      </c>
      <c r="F1233" t="s">
        <v>3841</v>
      </c>
      <c r="G1233" t="s">
        <v>3842</v>
      </c>
      <c r="H1233" t="str">
        <f>"048314"</f>
        <v>048314</v>
      </c>
      <c r="I1233" t="s">
        <v>833</v>
      </c>
      <c r="J1233" t="str">
        <f t="shared" ref="J1233:J1246" si="345">"2015-07-01 00:00:00.0"</f>
        <v>2015-07-01 00:00:00.0</v>
      </c>
      <c r="K1233" t="s">
        <v>834</v>
      </c>
      <c r="L1233" t="s">
        <v>0</v>
      </c>
      <c r="M1233" t="str">
        <f t="shared" si="325"/>
        <v>048314</v>
      </c>
      <c r="N1233">
        <v>1</v>
      </c>
      <c r="O1233">
        <v>1</v>
      </c>
      <c r="P1233" t="str">
        <f>"10"</f>
        <v>10</v>
      </c>
      <c r="Q1233" t="s">
        <v>835</v>
      </c>
      <c r="S1233" t="s">
        <v>836</v>
      </c>
      <c r="T1233" t="s">
        <v>836</v>
      </c>
      <c r="U1233" t="str">
        <f t="shared" si="344"/>
        <v>2500-12-31 00:00:00.0</v>
      </c>
      <c r="V1233" t="s">
        <v>837</v>
      </c>
      <c r="W1233" t="str">
        <f>"048314-004796-**-**"</f>
        <v>048314-004796-**-**</v>
      </c>
      <c r="X1233" t="s">
        <v>838</v>
      </c>
      <c r="Y1233">
        <v>1254.5</v>
      </c>
      <c r="Z1233">
        <v>1254.5</v>
      </c>
      <c r="AA1233" t="str">
        <f>"06/08/2016"</f>
        <v>06/08/2016</v>
      </c>
    </row>
    <row r="1234" spans="1:27" x14ac:dyDescent="0.3">
      <c r="A1234" t="str">
        <f t="shared" si="340"/>
        <v>048314</v>
      </c>
      <c r="B1234" t="str">
        <f t="shared" si="329"/>
        <v>004796</v>
      </c>
      <c r="C1234" t="s">
        <v>1739</v>
      </c>
      <c r="D1234" t="s">
        <v>3839</v>
      </c>
      <c r="E1234" t="s">
        <v>3840</v>
      </c>
      <c r="F1234" t="s">
        <v>3841</v>
      </c>
      <c r="G1234" t="s">
        <v>3842</v>
      </c>
      <c r="H1234" t="str">
        <f>"048363"</f>
        <v>048363</v>
      </c>
      <c r="I1234" t="s">
        <v>833</v>
      </c>
      <c r="J1234" t="str">
        <f t="shared" si="345"/>
        <v>2015-07-01 00:00:00.0</v>
      </c>
      <c r="K1234" t="s">
        <v>834</v>
      </c>
      <c r="L1234" t="s">
        <v>1</v>
      </c>
      <c r="M1234" t="str">
        <f t="shared" si="325"/>
        <v>048314</v>
      </c>
      <c r="N1234">
        <v>1</v>
      </c>
      <c r="O1234">
        <v>1</v>
      </c>
      <c r="P1234" t="str">
        <f>"10"</f>
        <v>10</v>
      </c>
      <c r="Q1234" t="s">
        <v>835</v>
      </c>
      <c r="S1234" t="s">
        <v>836</v>
      </c>
      <c r="T1234" t="s">
        <v>836</v>
      </c>
      <c r="U1234" t="str">
        <f t="shared" si="344"/>
        <v>2500-12-31 00:00:00.0</v>
      </c>
      <c r="V1234" t="s">
        <v>837</v>
      </c>
      <c r="W1234" t="str">
        <f>"048363-026229-**-**"</f>
        <v>048363-026229-**-**</v>
      </c>
      <c r="X1234" t="s">
        <v>838</v>
      </c>
      <c r="Y1234">
        <v>1127</v>
      </c>
      <c r="Z1234">
        <v>1127</v>
      </c>
      <c r="AA1234" t="str">
        <f>"06/15/2016"</f>
        <v>06/15/2016</v>
      </c>
    </row>
    <row r="1235" spans="1:27" x14ac:dyDescent="0.3">
      <c r="A1235" t="str">
        <f t="shared" si="340"/>
        <v>048314</v>
      </c>
      <c r="B1235" t="str">
        <f t="shared" si="329"/>
        <v>004796</v>
      </c>
      <c r="C1235" t="s">
        <v>1159</v>
      </c>
      <c r="D1235" t="s">
        <v>3839</v>
      </c>
      <c r="E1235" t="s">
        <v>3840</v>
      </c>
      <c r="F1235" t="s">
        <v>3841</v>
      </c>
      <c r="G1235" t="s">
        <v>3842</v>
      </c>
      <c r="H1235" t="str">
        <f>"051243"</f>
        <v>051243</v>
      </c>
      <c r="I1235" t="s">
        <v>833</v>
      </c>
      <c r="J1235" t="str">
        <f t="shared" si="345"/>
        <v>2015-07-01 00:00:00.0</v>
      </c>
      <c r="K1235" t="s">
        <v>834</v>
      </c>
      <c r="L1235" t="s">
        <v>0</v>
      </c>
      <c r="M1235" t="str">
        <f t="shared" si="325"/>
        <v>048314</v>
      </c>
      <c r="N1235">
        <v>1</v>
      </c>
      <c r="O1235">
        <v>1</v>
      </c>
      <c r="P1235" t="str">
        <f>"12"</f>
        <v>12</v>
      </c>
      <c r="Q1235" t="str">
        <f>"10"</f>
        <v>10</v>
      </c>
      <c r="R1235" t="str">
        <f>"2"</f>
        <v>2</v>
      </c>
      <c r="S1235" t="s">
        <v>836</v>
      </c>
      <c r="T1235" t="s">
        <v>836</v>
      </c>
      <c r="U1235" t="str">
        <f t="shared" si="344"/>
        <v>2500-12-31 00:00:00.0</v>
      </c>
      <c r="V1235" t="s">
        <v>886</v>
      </c>
      <c r="W1235" t="str">
        <f>"051243-051250-12-SE"</f>
        <v>051243-051250-12-SE</v>
      </c>
      <c r="X1235" t="s">
        <v>838</v>
      </c>
      <c r="Y1235">
        <v>1105</v>
      </c>
      <c r="Z1235">
        <v>1105</v>
      </c>
      <c r="AA1235" t="str">
        <f>"05/21/2016"</f>
        <v>05/21/2016</v>
      </c>
    </row>
    <row r="1236" spans="1:27" x14ac:dyDescent="0.3">
      <c r="A1236" t="str">
        <f t="shared" si="340"/>
        <v>048314</v>
      </c>
      <c r="B1236" t="str">
        <f t="shared" si="329"/>
        <v>004796</v>
      </c>
      <c r="C1236" t="s">
        <v>3436</v>
      </c>
      <c r="D1236" t="s">
        <v>3839</v>
      </c>
      <c r="E1236" t="s">
        <v>3840</v>
      </c>
      <c r="F1236" t="s">
        <v>3841</v>
      </c>
      <c r="G1236" t="s">
        <v>3842</v>
      </c>
      <c r="H1236" t="str">
        <f t="shared" ref="H1236:H1256" si="346">"048314"</f>
        <v>048314</v>
      </c>
      <c r="I1236" t="s">
        <v>833</v>
      </c>
      <c r="J1236" t="str">
        <f t="shared" si="345"/>
        <v>2015-07-01 00:00:00.0</v>
      </c>
      <c r="K1236" t="s">
        <v>834</v>
      </c>
      <c r="L1236" t="s">
        <v>0</v>
      </c>
      <c r="M1236" t="str">
        <f t="shared" si="325"/>
        <v>048314</v>
      </c>
      <c r="N1236">
        <v>1</v>
      </c>
      <c r="O1236">
        <v>1</v>
      </c>
      <c r="P1236" t="str">
        <f>"10"</f>
        <v>10</v>
      </c>
      <c r="Q1236" t="s">
        <v>835</v>
      </c>
      <c r="S1236" t="s">
        <v>836</v>
      </c>
      <c r="T1236" t="s">
        <v>836</v>
      </c>
      <c r="U1236" t="str">
        <f t="shared" si="344"/>
        <v>2500-12-31 00:00:00.0</v>
      </c>
      <c r="V1236" t="s">
        <v>837</v>
      </c>
      <c r="W1236" t="str">
        <f>"048314-004796-**-**"</f>
        <v>048314-004796-**-**</v>
      </c>
      <c r="X1236" t="s">
        <v>838</v>
      </c>
      <c r="Y1236">
        <v>1254.5</v>
      </c>
      <c r="Z1236">
        <v>1254.5</v>
      </c>
      <c r="AA1236" t="str">
        <f t="shared" ref="AA1236:AA1256" si="347">"06/08/2016"</f>
        <v>06/08/2016</v>
      </c>
    </row>
    <row r="1237" spans="1:27" x14ac:dyDescent="0.3">
      <c r="A1237" t="str">
        <f t="shared" si="340"/>
        <v>048314</v>
      </c>
      <c r="B1237" t="str">
        <f t="shared" si="329"/>
        <v>004796</v>
      </c>
      <c r="C1237" t="s">
        <v>3447</v>
      </c>
      <c r="D1237" t="s">
        <v>3839</v>
      </c>
      <c r="E1237" t="s">
        <v>3840</v>
      </c>
      <c r="F1237" t="s">
        <v>3841</v>
      </c>
      <c r="G1237" t="s">
        <v>3842</v>
      </c>
      <c r="H1237" t="str">
        <f t="shared" si="346"/>
        <v>048314</v>
      </c>
      <c r="I1237" t="s">
        <v>833</v>
      </c>
      <c r="J1237" t="str">
        <f t="shared" si="345"/>
        <v>2015-07-01 00:00:00.0</v>
      </c>
      <c r="K1237" t="s">
        <v>834</v>
      </c>
      <c r="L1237" t="s">
        <v>0</v>
      </c>
      <c r="M1237" t="str">
        <f t="shared" si="325"/>
        <v>048314</v>
      </c>
      <c r="N1237">
        <v>1</v>
      </c>
      <c r="O1237">
        <v>1</v>
      </c>
      <c r="P1237" t="str">
        <f>"12"</f>
        <v>12</v>
      </c>
      <c r="Q1237" t="s">
        <v>835</v>
      </c>
      <c r="S1237" t="s">
        <v>836</v>
      </c>
      <c r="T1237" t="s">
        <v>836</v>
      </c>
      <c r="U1237" t="str">
        <f t="shared" si="344"/>
        <v>2500-12-31 00:00:00.0</v>
      </c>
      <c r="V1237" t="s">
        <v>837</v>
      </c>
      <c r="W1237" t="str">
        <f>"048314-004796-12-SE"</f>
        <v>048314-004796-12-SE</v>
      </c>
      <c r="X1237" t="s">
        <v>838</v>
      </c>
      <c r="Y1237">
        <v>1254.5</v>
      </c>
      <c r="Z1237">
        <v>1254.5</v>
      </c>
      <c r="AA1237" t="str">
        <f t="shared" si="347"/>
        <v>06/08/2016</v>
      </c>
    </row>
    <row r="1238" spans="1:27" x14ac:dyDescent="0.3">
      <c r="A1238" t="str">
        <f t="shared" si="340"/>
        <v>048314</v>
      </c>
      <c r="B1238" t="str">
        <f t="shared" si="329"/>
        <v>004796</v>
      </c>
      <c r="C1238" t="s">
        <v>1201</v>
      </c>
      <c r="D1238" t="s">
        <v>3839</v>
      </c>
      <c r="E1238" t="s">
        <v>3840</v>
      </c>
      <c r="F1238" t="s">
        <v>3841</v>
      </c>
      <c r="G1238" t="s">
        <v>3842</v>
      </c>
      <c r="H1238" t="str">
        <f t="shared" si="346"/>
        <v>048314</v>
      </c>
      <c r="I1238" t="s">
        <v>833</v>
      </c>
      <c r="J1238" t="str">
        <f t="shared" si="345"/>
        <v>2015-07-01 00:00:00.0</v>
      </c>
      <c r="K1238" t="s">
        <v>834</v>
      </c>
      <c r="L1238" t="s">
        <v>0</v>
      </c>
      <c r="M1238" t="str">
        <f t="shared" si="325"/>
        <v>048314</v>
      </c>
      <c r="N1238">
        <v>1</v>
      </c>
      <c r="O1238">
        <v>1</v>
      </c>
      <c r="P1238" t="str">
        <f>"12"</f>
        <v>12</v>
      </c>
      <c r="Q1238" t="s">
        <v>835</v>
      </c>
      <c r="S1238" t="s">
        <v>836</v>
      </c>
      <c r="T1238" t="s">
        <v>836</v>
      </c>
      <c r="U1238" t="str">
        <f t="shared" si="344"/>
        <v>2500-12-31 00:00:00.0</v>
      </c>
      <c r="V1238" t="s">
        <v>837</v>
      </c>
      <c r="W1238" t="str">
        <f>"048314-004796-12-SE"</f>
        <v>048314-004796-12-SE</v>
      </c>
      <c r="X1238" t="s">
        <v>838</v>
      </c>
      <c r="Y1238">
        <v>1254.5</v>
      </c>
      <c r="Z1238">
        <v>1254.5</v>
      </c>
      <c r="AA1238" t="str">
        <f t="shared" si="347"/>
        <v>06/08/2016</v>
      </c>
    </row>
    <row r="1239" spans="1:27" x14ac:dyDescent="0.3">
      <c r="A1239" t="str">
        <f t="shared" si="340"/>
        <v>048314</v>
      </c>
      <c r="B1239" t="str">
        <f t="shared" si="329"/>
        <v>004796</v>
      </c>
      <c r="C1239" t="s">
        <v>1348</v>
      </c>
      <c r="D1239" t="s">
        <v>3839</v>
      </c>
      <c r="E1239" t="s">
        <v>3840</v>
      </c>
      <c r="F1239" t="s">
        <v>3841</v>
      </c>
      <c r="G1239" t="s">
        <v>3842</v>
      </c>
      <c r="H1239" t="str">
        <f t="shared" si="346"/>
        <v>048314</v>
      </c>
      <c r="I1239" t="s">
        <v>833</v>
      </c>
      <c r="J1239" t="str">
        <f t="shared" si="345"/>
        <v>2015-07-01 00:00:00.0</v>
      </c>
      <c r="K1239" t="s">
        <v>834</v>
      </c>
      <c r="L1239" t="s">
        <v>0</v>
      </c>
      <c r="M1239" t="str">
        <f t="shared" si="325"/>
        <v>048314</v>
      </c>
      <c r="N1239">
        <v>1</v>
      </c>
      <c r="O1239">
        <v>1</v>
      </c>
      <c r="P1239" t="str">
        <f>"11"</f>
        <v>11</v>
      </c>
      <c r="Q1239" t="s">
        <v>835</v>
      </c>
      <c r="S1239" t="s">
        <v>836</v>
      </c>
      <c r="T1239" t="s">
        <v>836</v>
      </c>
      <c r="U1239" t="str">
        <f t="shared" si="344"/>
        <v>2500-12-31 00:00:00.0</v>
      </c>
      <c r="V1239" t="s">
        <v>837</v>
      </c>
      <c r="W1239" t="str">
        <f t="shared" ref="W1239:W1245" si="348">"048314-004796-**-**"</f>
        <v>048314-004796-**-**</v>
      </c>
      <c r="X1239" t="s">
        <v>838</v>
      </c>
      <c r="Y1239">
        <v>1254.5</v>
      </c>
      <c r="Z1239">
        <v>1254.5</v>
      </c>
      <c r="AA1239" t="str">
        <f t="shared" si="347"/>
        <v>06/08/2016</v>
      </c>
    </row>
    <row r="1240" spans="1:27" x14ac:dyDescent="0.3">
      <c r="A1240" t="str">
        <f t="shared" si="340"/>
        <v>048314</v>
      </c>
      <c r="B1240" t="str">
        <f t="shared" si="329"/>
        <v>004796</v>
      </c>
      <c r="C1240" t="s">
        <v>1349</v>
      </c>
      <c r="D1240" t="s">
        <v>3839</v>
      </c>
      <c r="E1240" t="s">
        <v>3840</v>
      </c>
      <c r="F1240" t="s">
        <v>3841</v>
      </c>
      <c r="G1240" t="s">
        <v>3842</v>
      </c>
      <c r="H1240" t="str">
        <f t="shared" si="346"/>
        <v>048314</v>
      </c>
      <c r="I1240" t="s">
        <v>833</v>
      </c>
      <c r="J1240" t="str">
        <f t="shared" si="345"/>
        <v>2015-07-01 00:00:00.0</v>
      </c>
      <c r="K1240" t="s">
        <v>834</v>
      </c>
      <c r="L1240" t="s">
        <v>0</v>
      </c>
      <c r="M1240" t="str">
        <f t="shared" si="325"/>
        <v>048314</v>
      </c>
      <c r="N1240">
        <v>1</v>
      </c>
      <c r="O1240">
        <v>1</v>
      </c>
      <c r="P1240" t="str">
        <f>"11"</f>
        <v>11</v>
      </c>
      <c r="Q1240" t="s">
        <v>835</v>
      </c>
      <c r="S1240" t="s">
        <v>836</v>
      </c>
      <c r="T1240" t="s">
        <v>836</v>
      </c>
      <c r="U1240" t="str">
        <f t="shared" si="344"/>
        <v>2500-12-31 00:00:00.0</v>
      </c>
      <c r="V1240" t="s">
        <v>837</v>
      </c>
      <c r="W1240" t="str">
        <f t="shared" si="348"/>
        <v>048314-004796-**-**</v>
      </c>
      <c r="X1240" t="s">
        <v>838</v>
      </c>
      <c r="Y1240">
        <v>1254.5</v>
      </c>
      <c r="Z1240">
        <v>1254.5</v>
      </c>
      <c r="AA1240" t="str">
        <f t="shared" si="347"/>
        <v>06/08/2016</v>
      </c>
    </row>
    <row r="1241" spans="1:27" x14ac:dyDescent="0.3">
      <c r="A1241" t="str">
        <f t="shared" si="340"/>
        <v>048314</v>
      </c>
      <c r="B1241" t="str">
        <f t="shared" si="329"/>
        <v>004796</v>
      </c>
      <c r="C1241" t="s">
        <v>1467</v>
      </c>
      <c r="D1241" t="s">
        <v>3839</v>
      </c>
      <c r="E1241" t="s">
        <v>3840</v>
      </c>
      <c r="F1241" t="s">
        <v>3841</v>
      </c>
      <c r="G1241" t="s">
        <v>3842</v>
      </c>
      <c r="H1241" t="str">
        <f t="shared" si="346"/>
        <v>048314</v>
      </c>
      <c r="I1241" t="s">
        <v>833</v>
      </c>
      <c r="J1241" t="str">
        <f t="shared" si="345"/>
        <v>2015-07-01 00:00:00.0</v>
      </c>
      <c r="K1241" t="s">
        <v>834</v>
      </c>
      <c r="L1241" t="s">
        <v>0</v>
      </c>
      <c r="M1241" t="str">
        <f t="shared" si="325"/>
        <v>048314</v>
      </c>
      <c r="N1241">
        <v>1</v>
      </c>
      <c r="O1241">
        <v>1</v>
      </c>
      <c r="P1241" t="str">
        <f>"11"</f>
        <v>11</v>
      </c>
      <c r="Q1241" t="s">
        <v>835</v>
      </c>
      <c r="S1241" t="s">
        <v>836</v>
      </c>
      <c r="T1241" t="s">
        <v>836</v>
      </c>
      <c r="U1241" t="str">
        <f t="shared" si="344"/>
        <v>2500-12-31 00:00:00.0</v>
      </c>
      <c r="V1241" t="s">
        <v>837</v>
      </c>
      <c r="W1241" t="str">
        <f t="shared" si="348"/>
        <v>048314-004796-**-**</v>
      </c>
      <c r="X1241" t="s">
        <v>838</v>
      </c>
      <c r="Y1241">
        <v>1254.5</v>
      </c>
      <c r="Z1241">
        <v>1254.5</v>
      </c>
      <c r="AA1241" t="str">
        <f t="shared" si="347"/>
        <v>06/08/2016</v>
      </c>
    </row>
    <row r="1242" spans="1:27" x14ac:dyDescent="0.3">
      <c r="A1242" t="str">
        <f t="shared" si="340"/>
        <v>048314</v>
      </c>
      <c r="B1242" t="str">
        <f t="shared" si="329"/>
        <v>004796</v>
      </c>
      <c r="C1242" t="s">
        <v>1390</v>
      </c>
      <c r="D1242" t="s">
        <v>3839</v>
      </c>
      <c r="E1242" t="s">
        <v>3840</v>
      </c>
      <c r="F1242" t="s">
        <v>3841</v>
      </c>
      <c r="G1242" t="s">
        <v>3842</v>
      </c>
      <c r="H1242" t="str">
        <f t="shared" si="346"/>
        <v>048314</v>
      </c>
      <c r="I1242" t="s">
        <v>833</v>
      </c>
      <c r="J1242" t="str">
        <f t="shared" si="345"/>
        <v>2015-07-01 00:00:00.0</v>
      </c>
      <c r="K1242" t="s">
        <v>834</v>
      </c>
      <c r="L1242" t="s">
        <v>0</v>
      </c>
      <c r="M1242" t="str">
        <f t="shared" si="325"/>
        <v>048314</v>
      </c>
      <c r="N1242">
        <v>1</v>
      </c>
      <c r="O1242">
        <v>1</v>
      </c>
      <c r="P1242" t="str">
        <f>"10"</f>
        <v>10</v>
      </c>
      <c r="Q1242" t="s">
        <v>835</v>
      </c>
      <c r="S1242" t="s">
        <v>836</v>
      </c>
      <c r="T1242" t="s">
        <v>836</v>
      </c>
      <c r="U1242" t="str">
        <f t="shared" si="344"/>
        <v>2500-12-31 00:00:00.0</v>
      </c>
      <c r="V1242" t="s">
        <v>837</v>
      </c>
      <c r="W1242" t="str">
        <f t="shared" si="348"/>
        <v>048314-004796-**-**</v>
      </c>
      <c r="X1242" t="s">
        <v>838</v>
      </c>
      <c r="Y1242">
        <v>1254.5</v>
      </c>
      <c r="Z1242">
        <v>1254.5</v>
      </c>
      <c r="AA1242" t="str">
        <f t="shared" si="347"/>
        <v>06/08/2016</v>
      </c>
    </row>
    <row r="1243" spans="1:27" x14ac:dyDescent="0.3">
      <c r="A1243" t="str">
        <f t="shared" si="340"/>
        <v>048314</v>
      </c>
      <c r="B1243" t="str">
        <f t="shared" si="329"/>
        <v>004796</v>
      </c>
      <c r="C1243" t="s">
        <v>2039</v>
      </c>
      <c r="D1243" t="s">
        <v>3839</v>
      </c>
      <c r="E1243" t="s">
        <v>3840</v>
      </c>
      <c r="F1243" t="s">
        <v>3841</v>
      </c>
      <c r="G1243" t="s">
        <v>3842</v>
      </c>
      <c r="H1243" t="str">
        <f t="shared" si="346"/>
        <v>048314</v>
      </c>
      <c r="I1243" t="s">
        <v>833</v>
      </c>
      <c r="J1243" t="str">
        <f t="shared" si="345"/>
        <v>2015-07-01 00:00:00.0</v>
      </c>
      <c r="K1243" t="s">
        <v>834</v>
      </c>
      <c r="L1243" t="s">
        <v>0</v>
      </c>
      <c r="M1243" t="str">
        <f t="shared" si="325"/>
        <v>048314</v>
      </c>
      <c r="N1243">
        <v>1</v>
      </c>
      <c r="O1243">
        <v>1</v>
      </c>
      <c r="P1243" t="str">
        <f>"10"</f>
        <v>10</v>
      </c>
      <c r="Q1243" t="s">
        <v>835</v>
      </c>
      <c r="S1243" t="s">
        <v>836</v>
      </c>
      <c r="T1243" t="s">
        <v>836</v>
      </c>
      <c r="U1243" t="str">
        <f t="shared" si="344"/>
        <v>2500-12-31 00:00:00.0</v>
      </c>
      <c r="V1243" t="s">
        <v>837</v>
      </c>
      <c r="W1243" t="str">
        <f t="shared" si="348"/>
        <v>048314-004796-**-**</v>
      </c>
      <c r="X1243" t="s">
        <v>838</v>
      </c>
      <c r="Y1243">
        <v>1254.5</v>
      </c>
      <c r="Z1243">
        <v>1254.5</v>
      </c>
      <c r="AA1243" t="str">
        <f t="shared" si="347"/>
        <v>06/08/2016</v>
      </c>
    </row>
    <row r="1244" spans="1:27" x14ac:dyDescent="0.3">
      <c r="A1244" t="str">
        <f t="shared" si="340"/>
        <v>048314</v>
      </c>
      <c r="B1244" t="str">
        <f t="shared" si="329"/>
        <v>004796</v>
      </c>
      <c r="C1244" t="s">
        <v>3256</v>
      </c>
      <c r="D1244" t="s">
        <v>3839</v>
      </c>
      <c r="E1244" t="s">
        <v>3840</v>
      </c>
      <c r="F1244" t="s">
        <v>3841</v>
      </c>
      <c r="G1244" t="s">
        <v>3842</v>
      </c>
      <c r="H1244" t="str">
        <f t="shared" si="346"/>
        <v>048314</v>
      </c>
      <c r="I1244" t="s">
        <v>833</v>
      </c>
      <c r="J1244" t="str">
        <f t="shared" si="345"/>
        <v>2015-07-01 00:00:00.0</v>
      </c>
      <c r="K1244" t="s">
        <v>834</v>
      </c>
      <c r="L1244" t="s">
        <v>0</v>
      </c>
      <c r="M1244" t="str">
        <f t="shared" ref="M1244:M1307" si="349">"048314"</f>
        <v>048314</v>
      </c>
      <c r="N1244">
        <v>1</v>
      </c>
      <c r="O1244">
        <v>1</v>
      </c>
      <c r="P1244" t="str">
        <f>"10"</f>
        <v>10</v>
      </c>
      <c r="Q1244" t="s">
        <v>835</v>
      </c>
      <c r="S1244" t="s">
        <v>836</v>
      </c>
      <c r="T1244" t="s">
        <v>836</v>
      </c>
      <c r="U1244" t="str">
        <f t="shared" si="344"/>
        <v>2500-12-31 00:00:00.0</v>
      </c>
      <c r="V1244" t="s">
        <v>837</v>
      </c>
      <c r="W1244" t="str">
        <f t="shared" si="348"/>
        <v>048314-004796-**-**</v>
      </c>
      <c r="X1244" t="s">
        <v>838</v>
      </c>
      <c r="Y1244">
        <v>1254.5</v>
      </c>
      <c r="Z1244">
        <v>1254.5</v>
      </c>
      <c r="AA1244" t="str">
        <f t="shared" si="347"/>
        <v>06/08/2016</v>
      </c>
    </row>
    <row r="1245" spans="1:27" x14ac:dyDescent="0.3">
      <c r="A1245" t="str">
        <f t="shared" si="340"/>
        <v>048314</v>
      </c>
      <c r="B1245" t="str">
        <f t="shared" si="329"/>
        <v>004796</v>
      </c>
      <c r="C1245" t="s">
        <v>1615</v>
      </c>
      <c r="D1245" t="s">
        <v>3839</v>
      </c>
      <c r="E1245" t="s">
        <v>3840</v>
      </c>
      <c r="F1245" t="s">
        <v>3841</v>
      </c>
      <c r="G1245" t="s">
        <v>3842</v>
      </c>
      <c r="H1245" t="str">
        <f t="shared" si="346"/>
        <v>048314</v>
      </c>
      <c r="I1245" t="s">
        <v>833</v>
      </c>
      <c r="J1245" t="str">
        <f t="shared" si="345"/>
        <v>2015-07-01 00:00:00.0</v>
      </c>
      <c r="K1245" t="s">
        <v>834</v>
      </c>
      <c r="L1245" t="s">
        <v>0</v>
      </c>
      <c r="M1245" t="str">
        <f t="shared" si="349"/>
        <v>048314</v>
      </c>
      <c r="N1245">
        <v>1</v>
      </c>
      <c r="O1245">
        <v>1</v>
      </c>
      <c r="P1245" t="str">
        <f>"10"</f>
        <v>10</v>
      </c>
      <c r="Q1245" t="s">
        <v>835</v>
      </c>
      <c r="S1245" t="s">
        <v>836</v>
      </c>
      <c r="T1245" t="s">
        <v>836</v>
      </c>
      <c r="U1245" t="str">
        <f t="shared" si="344"/>
        <v>2500-12-31 00:00:00.0</v>
      </c>
      <c r="V1245" t="s">
        <v>837</v>
      </c>
      <c r="W1245" t="str">
        <f t="shared" si="348"/>
        <v>048314-004796-**-**</v>
      </c>
      <c r="X1245" t="s">
        <v>838</v>
      </c>
      <c r="Y1245">
        <v>1254.5</v>
      </c>
      <c r="Z1245">
        <v>1254.5</v>
      </c>
      <c r="AA1245" t="str">
        <f t="shared" si="347"/>
        <v>06/08/2016</v>
      </c>
    </row>
    <row r="1246" spans="1:27" x14ac:dyDescent="0.3">
      <c r="A1246" t="str">
        <f t="shared" si="340"/>
        <v>048314</v>
      </c>
      <c r="B1246" t="str">
        <f t="shared" si="329"/>
        <v>004796</v>
      </c>
      <c r="C1246" t="s">
        <v>1109</v>
      </c>
      <c r="D1246" t="s">
        <v>3839</v>
      </c>
      <c r="E1246" t="s">
        <v>3840</v>
      </c>
      <c r="F1246" t="s">
        <v>3841</v>
      </c>
      <c r="G1246" t="s">
        <v>3842</v>
      </c>
      <c r="H1246" t="str">
        <f t="shared" si="346"/>
        <v>048314</v>
      </c>
      <c r="I1246" t="s">
        <v>833</v>
      </c>
      <c r="J1246" t="str">
        <f t="shared" si="345"/>
        <v>2015-07-01 00:00:00.0</v>
      </c>
      <c r="K1246" t="s">
        <v>834</v>
      </c>
      <c r="L1246" t="s">
        <v>0</v>
      </c>
      <c r="M1246" t="str">
        <f t="shared" si="349"/>
        <v>048314</v>
      </c>
      <c r="N1246">
        <v>1</v>
      </c>
      <c r="O1246">
        <v>1</v>
      </c>
      <c r="P1246" t="str">
        <f>"12"</f>
        <v>12</v>
      </c>
      <c r="Q1246" t="s">
        <v>835</v>
      </c>
      <c r="S1246" t="s">
        <v>836</v>
      </c>
      <c r="T1246" t="s">
        <v>836</v>
      </c>
      <c r="U1246" t="str">
        <f t="shared" si="344"/>
        <v>2500-12-31 00:00:00.0</v>
      </c>
      <c r="V1246" t="s">
        <v>837</v>
      </c>
      <c r="W1246" t="str">
        <f>"048314-004796-12-SE"</f>
        <v>048314-004796-12-SE</v>
      </c>
      <c r="X1246" t="s">
        <v>838</v>
      </c>
      <c r="Y1246">
        <v>1254.5</v>
      </c>
      <c r="Z1246">
        <v>1254.5</v>
      </c>
      <c r="AA1246" t="str">
        <f t="shared" si="347"/>
        <v>06/08/2016</v>
      </c>
    </row>
    <row r="1247" spans="1:27" x14ac:dyDescent="0.3">
      <c r="A1247" t="str">
        <f t="shared" si="340"/>
        <v>048314</v>
      </c>
      <c r="B1247" t="str">
        <f t="shared" si="329"/>
        <v>004796</v>
      </c>
      <c r="C1247" t="s">
        <v>3071</v>
      </c>
      <c r="D1247" t="s">
        <v>3839</v>
      </c>
      <c r="E1247" t="s">
        <v>3840</v>
      </c>
      <c r="F1247" t="s">
        <v>3841</v>
      </c>
      <c r="G1247" t="s">
        <v>3842</v>
      </c>
      <c r="H1247" t="str">
        <f t="shared" si="346"/>
        <v>048314</v>
      </c>
      <c r="I1247" t="s">
        <v>833</v>
      </c>
      <c r="J1247" t="str">
        <f>"2015-08-03 00:00:00.0"</f>
        <v>2015-08-03 00:00:00.0</v>
      </c>
      <c r="K1247" t="s">
        <v>834</v>
      </c>
      <c r="L1247" t="s">
        <v>0</v>
      </c>
      <c r="M1247" t="str">
        <f t="shared" si="349"/>
        <v>048314</v>
      </c>
      <c r="N1247">
        <v>1</v>
      </c>
      <c r="O1247">
        <v>1</v>
      </c>
      <c r="P1247" t="str">
        <f>"09"</f>
        <v>09</v>
      </c>
      <c r="Q1247" t="s">
        <v>835</v>
      </c>
      <c r="S1247" t="s">
        <v>836</v>
      </c>
      <c r="T1247" t="s">
        <v>836</v>
      </c>
      <c r="U1247" t="str">
        <f t="shared" si="344"/>
        <v>2500-12-31 00:00:00.0</v>
      </c>
      <c r="V1247" t="s">
        <v>837</v>
      </c>
      <c r="W1247" t="str">
        <f t="shared" ref="W1247:W1252" si="350">"048314-004796-**-**"</f>
        <v>048314-004796-**-**</v>
      </c>
      <c r="X1247" t="s">
        <v>838</v>
      </c>
      <c r="Y1247">
        <v>1254.5</v>
      </c>
      <c r="Z1247">
        <v>1254.5</v>
      </c>
      <c r="AA1247" t="str">
        <f t="shared" si="347"/>
        <v>06/08/2016</v>
      </c>
    </row>
    <row r="1248" spans="1:27" x14ac:dyDescent="0.3">
      <c r="A1248" t="str">
        <f t="shared" si="340"/>
        <v>048314</v>
      </c>
      <c r="B1248" t="str">
        <f t="shared" si="329"/>
        <v>004796</v>
      </c>
      <c r="C1248" t="s">
        <v>1350</v>
      </c>
      <c r="D1248" t="s">
        <v>3839</v>
      </c>
      <c r="E1248" t="s">
        <v>3840</v>
      </c>
      <c r="F1248" t="s">
        <v>3841</v>
      </c>
      <c r="G1248" t="s">
        <v>3842</v>
      </c>
      <c r="H1248" t="str">
        <f t="shared" si="346"/>
        <v>048314</v>
      </c>
      <c r="I1248" t="s">
        <v>833</v>
      </c>
      <c r="J1248" t="str">
        <f>"2015-07-01 00:00:00.0"</f>
        <v>2015-07-01 00:00:00.0</v>
      </c>
      <c r="K1248" t="s">
        <v>834</v>
      </c>
      <c r="L1248" t="s">
        <v>0</v>
      </c>
      <c r="M1248" t="str">
        <f t="shared" si="349"/>
        <v>048314</v>
      </c>
      <c r="N1248">
        <v>1</v>
      </c>
      <c r="O1248">
        <v>1</v>
      </c>
      <c r="P1248" t="str">
        <f>"11"</f>
        <v>11</v>
      </c>
      <c r="Q1248" t="s">
        <v>835</v>
      </c>
      <c r="S1248" t="s">
        <v>836</v>
      </c>
      <c r="T1248" t="s">
        <v>836</v>
      </c>
      <c r="U1248" t="str">
        <f t="shared" si="344"/>
        <v>2500-12-31 00:00:00.0</v>
      </c>
      <c r="V1248" t="s">
        <v>837</v>
      </c>
      <c r="W1248" t="str">
        <f t="shared" si="350"/>
        <v>048314-004796-**-**</v>
      </c>
      <c r="X1248" t="s">
        <v>838</v>
      </c>
      <c r="Y1248">
        <v>1254.5</v>
      </c>
      <c r="Z1248">
        <v>1254.5</v>
      </c>
      <c r="AA1248" t="str">
        <f t="shared" si="347"/>
        <v>06/08/2016</v>
      </c>
    </row>
    <row r="1249" spans="1:27" x14ac:dyDescent="0.3">
      <c r="A1249" t="str">
        <f t="shared" si="340"/>
        <v>048314</v>
      </c>
      <c r="B1249" t="str">
        <f t="shared" si="329"/>
        <v>004796</v>
      </c>
      <c r="C1249" t="s">
        <v>1351</v>
      </c>
      <c r="D1249" t="s">
        <v>3839</v>
      </c>
      <c r="E1249" t="s">
        <v>3840</v>
      </c>
      <c r="F1249" t="s">
        <v>3841</v>
      </c>
      <c r="G1249" t="s">
        <v>3842</v>
      </c>
      <c r="H1249" t="str">
        <f t="shared" si="346"/>
        <v>048314</v>
      </c>
      <c r="I1249" t="s">
        <v>833</v>
      </c>
      <c r="J1249" t="str">
        <f>"2015-08-31 00:00:00.0"</f>
        <v>2015-08-31 00:00:00.0</v>
      </c>
      <c r="K1249" t="s">
        <v>834</v>
      </c>
      <c r="L1249" t="s">
        <v>0</v>
      </c>
      <c r="M1249" t="str">
        <f t="shared" si="349"/>
        <v>048314</v>
      </c>
      <c r="N1249">
        <v>1</v>
      </c>
      <c r="O1249">
        <v>1</v>
      </c>
      <c r="P1249" t="str">
        <f>"11"</f>
        <v>11</v>
      </c>
      <c r="Q1249" t="s">
        <v>835</v>
      </c>
      <c r="S1249" t="s">
        <v>836</v>
      </c>
      <c r="T1249" t="s">
        <v>836</v>
      </c>
      <c r="U1249" t="str">
        <f t="shared" si="344"/>
        <v>2500-12-31 00:00:00.0</v>
      </c>
      <c r="V1249" t="s">
        <v>837</v>
      </c>
      <c r="W1249" t="str">
        <f t="shared" si="350"/>
        <v>048314-004796-**-**</v>
      </c>
      <c r="X1249" t="s">
        <v>838</v>
      </c>
      <c r="Y1249">
        <v>1254.5</v>
      </c>
      <c r="Z1249">
        <v>1254.5</v>
      </c>
      <c r="AA1249" t="str">
        <f t="shared" si="347"/>
        <v>06/08/2016</v>
      </c>
    </row>
    <row r="1250" spans="1:27" x14ac:dyDescent="0.3">
      <c r="A1250" t="str">
        <f t="shared" si="340"/>
        <v>048314</v>
      </c>
      <c r="B1250" t="str">
        <f t="shared" si="329"/>
        <v>004796</v>
      </c>
      <c r="C1250" t="s">
        <v>1836</v>
      </c>
      <c r="D1250" t="s">
        <v>3839</v>
      </c>
      <c r="E1250" t="s">
        <v>3840</v>
      </c>
      <c r="F1250" t="s">
        <v>3841</v>
      </c>
      <c r="G1250" t="s">
        <v>3842</v>
      </c>
      <c r="H1250" t="str">
        <f t="shared" si="346"/>
        <v>048314</v>
      </c>
      <c r="I1250" t="s">
        <v>833</v>
      </c>
      <c r="J1250" t="str">
        <f>"2015-08-31 00:00:00.0"</f>
        <v>2015-08-31 00:00:00.0</v>
      </c>
      <c r="K1250" t="s">
        <v>834</v>
      </c>
      <c r="L1250" t="s">
        <v>0</v>
      </c>
      <c r="M1250" t="str">
        <f t="shared" si="349"/>
        <v>048314</v>
      </c>
      <c r="N1250">
        <v>1</v>
      </c>
      <c r="O1250">
        <v>1</v>
      </c>
      <c r="P1250" t="str">
        <f>"09"</f>
        <v>09</v>
      </c>
      <c r="Q1250" t="s">
        <v>835</v>
      </c>
      <c r="S1250" t="s">
        <v>836</v>
      </c>
      <c r="T1250" t="s">
        <v>836</v>
      </c>
      <c r="U1250" t="str">
        <f t="shared" si="344"/>
        <v>2500-12-31 00:00:00.0</v>
      </c>
      <c r="V1250" t="s">
        <v>837</v>
      </c>
      <c r="W1250" t="str">
        <f t="shared" si="350"/>
        <v>048314-004796-**-**</v>
      </c>
      <c r="X1250" t="s">
        <v>838</v>
      </c>
      <c r="Y1250">
        <v>1254.5</v>
      </c>
      <c r="Z1250">
        <v>1254.5</v>
      </c>
      <c r="AA1250" t="str">
        <f t="shared" si="347"/>
        <v>06/08/2016</v>
      </c>
    </row>
    <row r="1251" spans="1:27" x14ac:dyDescent="0.3">
      <c r="A1251" t="str">
        <f t="shared" si="340"/>
        <v>048314</v>
      </c>
      <c r="B1251" t="str">
        <f t="shared" si="329"/>
        <v>004796</v>
      </c>
      <c r="C1251" t="s">
        <v>1740</v>
      </c>
      <c r="D1251" t="s">
        <v>3839</v>
      </c>
      <c r="E1251" t="s">
        <v>3840</v>
      </c>
      <c r="F1251" t="s">
        <v>3841</v>
      </c>
      <c r="G1251" t="s">
        <v>3842</v>
      </c>
      <c r="H1251" t="str">
        <f t="shared" si="346"/>
        <v>048314</v>
      </c>
      <c r="I1251" t="s">
        <v>833</v>
      </c>
      <c r="J1251" t="str">
        <f t="shared" ref="J1251:J1265" si="351">"2015-07-01 00:00:00.0"</f>
        <v>2015-07-01 00:00:00.0</v>
      </c>
      <c r="K1251" t="s">
        <v>834</v>
      </c>
      <c r="L1251" t="s">
        <v>0</v>
      </c>
      <c r="M1251" t="str">
        <f t="shared" si="349"/>
        <v>048314</v>
      </c>
      <c r="N1251">
        <v>1</v>
      </c>
      <c r="O1251">
        <v>1</v>
      </c>
      <c r="P1251" t="str">
        <f>"11"</f>
        <v>11</v>
      </c>
      <c r="Q1251" t="s">
        <v>835</v>
      </c>
      <c r="S1251" t="s">
        <v>836</v>
      </c>
      <c r="T1251" t="s">
        <v>836</v>
      </c>
      <c r="U1251" t="str">
        <f t="shared" si="344"/>
        <v>2500-12-31 00:00:00.0</v>
      </c>
      <c r="V1251" t="s">
        <v>837</v>
      </c>
      <c r="W1251" t="str">
        <f t="shared" si="350"/>
        <v>048314-004796-**-**</v>
      </c>
      <c r="X1251" t="s">
        <v>838</v>
      </c>
      <c r="Y1251">
        <v>1254.5</v>
      </c>
      <c r="Z1251">
        <v>1254.5</v>
      </c>
      <c r="AA1251" t="str">
        <f t="shared" si="347"/>
        <v>06/08/2016</v>
      </c>
    </row>
    <row r="1252" spans="1:27" x14ac:dyDescent="0.3">
      <c r="A1252" t="str">
        <f t="shared" si="340"/>
        <v>048314</v>
      </c>
      <c r="B1252" t="str">
        <f t="shared" si="329"/>
        <v>004796</v>
      </c>
      <c r="C1252" t="s">
        <v>1678</v>
      </c>
      <c r="D1252" t="s">
        <v>3839</v>
      </c>
      <c r="E1252" t="s">
        <v>3840</v>
      </c>
      <c r="F1252" t="s">
        <v>3841</v>
      </c>
      <c r="G1252" t="s">
        <v>3842</v>
      </c>
      <c r="H1252" t="str">
        <f t="shared" si="346"/>
        <v>048314</v>
      </c>
      <c r="I1252" t="s">
        <v>833</v>
      </c>
      <c r="J1252" t="str">
        <f t="shared" si="351"/>
        <v>2015-07-01 00:00:00.0</v>
      </c>
      <c r="K1252" t="s">
        <v>834</v>
      </c>
      <c r="L1252" t="s">
        <v>0</v>
      </c>
      <c r="M1252" t="str">
        <f t="shared" si="349"/>
        <v>048314</v>
      </c>
      <c r="N1252">
        <v>1</v>
      </c>
      <c r="O1252">
        <v>1</v>
      </c>
      <c r="P1252" t="str">
        <f>"10"</f>
        <v>10</v>
      </c>
      <c r="Q1252" t="s">
        <v>835</v>
      </c>
      <c r="S1252" t="s">
        <v>836</v>
      </c>
      <c r="T1252" t="s">
        <v>836</v>
      </c>
      <c r="U1252" t="str">
        <f t="shared" si="344"/>
        <v>2500-12-31 00:00:00.0</v>
      </c>
      <c r="V1252" t="s">
        <v>837</v>
      </c>
      <c r="W1252" t="str">
        <f t="shared" si="350"/>
        <v>048314-004796-**-**</v>
      </c>
      <c r="X1252" t="s">
        <v>838</v>
      </c>
      <c r="Y1252">
        <v>1254.5</v>
      </c>
      <c r="Z1252">
        <v>1254.5</v>
      </c>
      <c r="AA1252" t="str">
        <f t="shared" si="347"/>
        <v>06/08/2016</v>
      </c>
    </row>
    <row r="1253" spans="1:27" x14ac:dyDescent="0.3">
      <c r="A1253" t="str">
        <f t="shared" si="340"/>
        <v>048314</v>
      </c>
      <c r="B1253" t="str">
        <f t="shared" si="329"/>
        <v>004796</v>
      </c>
      <c r="C1253" t="s">
        <v>1202</v>
      </c>
      <c r="D1253" t="s">
        <v>3839</v>
      </c>
      <c r="E1253" t="s">
        <v>3840</v>
      </c>
      <c r="F1253" t="s">
        <v>3841</v>
      </c>
      <c r="G1253" t="s">
        <v>3842</v>
      </c>
      <c r="H1253" t="str">
        <f t="shared" si="346"/>
        <v>048314</v>
      </c>
      <c r="I1253" t="s">
        <v>833</v>
      </c>
      <c r="J1253" t="str">
        <f t="shared" si="351"/>
        <v>2015-07-01 00:00:00.0</v>
      </c>
      <c r="K1253" t="s">
        <v>834</v>
      </c>
      <c r="L1253" t="s">
        <v>0</v>
      </c>
      <c r="M1253" t="str">
        <f t="shared" si="349"/>
        <v>048314</v>
      </c>
      <c r="N1253">
        <v>1</v>
      </c>
      <c r="O1253">
        <v>1</v>
      </c>
      <c r="P1253" t="str">
        <f>"12"</f>
        <v>12</v>
      </c>
      <c r="Q1253" t="s">
        <v>835</v>
      </c>
      <c r="S1253" t="s">
        <v>836</v>
      </c>
      <c r="T1253" t="s">
        <v>836</v>
      </c>
      <c r="U1253" t="str">
        <f t="shared" si="344"/>
        <v>2500-12-31 00:00:00.0</v>
      </c>
      <c r="V1253" t="s">
        <v>837</v>
      </c>
      <c r="W1253" t="str">
        <f>"048314-004796-12-SE"</f>
        <v>048314-004796-12-SE</v>
      </c>
      <c r="X1253" t="s">
        <v>838</v>
      </c>
      <c r="Y1253">
        <v>1254.5</v>
      </c>
      <c r="Z1253">
        <v>1254.5</v>
      </c>
      <c r="AA1253" t="str">
        <f t="shared" si="347"/>
        <v>06/08/2016</v>
      </c>
    </row>
    <row r="1254" spans="1:27" x14ac:dyDescent="0.3">
      <c r="A1254" t="str">
        <f t="shared" si="340"/>
        <v>048314</v>
      </c>
      <c r="B1254" t="str">
        <f t="shared" si="329"/>
        <v>004796</v>
      </c>
      <c r="C1254" t="s">
        <v>1203</v>
      </c>
      <c r="D1254" t="s">
        <v>3839</v>
      </c>
      <c r="E1254" t="s">
        <v>3840</v>
      </c>
      <c r="F1254" t="s">
        <v>3841</v>
      </c>
      <c r="G1254" t="s">
        <v>3842</v>
      </c>
      <c r="H1254" t="str">
        <f t="shared" si="346"/>
        <v>048314</v>
      </c>
      <c r="I1254" t="s">
        <v>833</v>
      </c>
      <c r="J1254" t="str">
        <f t="shared" si="351"/>
        <v>2015-07-01 00:00:00.0</v>
      </c>
      <c r="K1254" t="s">
        <v>834</v>
      </c>
      <c r="L1254" t="s">
        <v>0</v>
      </c>
      <c r="M1254" t="str">
        <f t="shared" si="349"/>
        <v>048314</v>
      </c>
      <c r="N1254">
        <v>1</v>
      </c>
      <c r="O1254">
        <v>1</v>
      </c>
      <c r="P1254" t="str">
        <f>"12"</f>
        <v>12</v>
      </c>
      <c r="Q1254" t="s">
        <v>835</v>
      </c>
      <c r="S1254" t="s">
        <v>836</v>
      </c>
      <c r="T1254" t="s">
        <v>836</v>
      </c>
      <c r="U1254" t="str">
        <f t="shared" si="344"/>
        <v>2500-12-31 00:00:00.0</v>
      </c>
      <c r="V1254" t="s">
        <v>837</v>
      </c>
      <c r="W1254" t="str">
        <f>"048314-004796-12-SE"</f>
        <v>048314-004796-12-SE</v>
      </c>
      <c r="X1254" t="s">
        <v>838</v>
      </c>
      <c r="Y1254">
        <v>1254.5</v>
      </c>
      <c r="Z1254">
        <v>1254.5</v>
      </c>
      <c r="AA1254" t="str">
        <f t="shared" si="347"/>
        <v>06/08/2016</v>
      </c>
    </row>
    <row r="1255" spans="1:27" x14ac:dyDescent="0.3">
      <c r="A1255" t="str">
        <f t="shared" si="340"/>
        <v>048314</v>
      </c>
      <c r="B1255" t="str">
        <f t="shared" si="329"/>
        <v>004796</v>
      </c>
      <c r="C1255" t="s">
        <v>1679</v>
      </c>
      <c r="D1255" t="s">
        <v>3839</v>
      </c>
      <c r="E1255" t="s">
        <v>3840</v>
      </c>
      <c r="F1255" t="s">
        <v>3841</v>
      </c>
      <c r="G1255" t="s">
        <v>3842</v>
      </c>
      <c r="H1255" t="str">
        <f t="shared" si="346"/>
        <v>048314</v>
      </c>
      <c r="I1255" t="s">
        <v>833</v>
      </c>
      <c r="J1255" t="str">
        <f t="shared" si="351"/>
        <v>2015-07-01 00:00:00.0</v>
      </c>
      <c r="K1255" t="s">
        <v>834</v>
      </c>
      <c r="L1255" t="s">
        <v>0</v>
      </c>
      <c r="M1255" t="str">
        <f t="shared" si="349"/>
        <v>048314</v>
      </c>
      <c r="N1255">
        <v>1</v>
      </c>
      <c r="O1255">
        <v>1</v>
      </c>
      <c r="P1255" t="str">
        <f>"10"</f>
        <v>10</v>
      </c>
      <c r="Q1255" t="s">
        <v>835</v>
      </c>
      <c r="S1255" t="s">
        <v>836</v>
      </c>
      <c r="T1255" t="s">
        <v>836</v>
      </c>
      <c r="U1255" t="str">
        <f t="shared" si="344"/>
        <v>2500-12-31 00:00:00.0</v>
      </c>
      <c r="V1255" t="s">
        <v>837</v>
      </c>
      <c r="W1255" t="str">
        <f>"048314-004796-**-**"</f>
        <v>048314-004796-**-**</v>
      </c>
      <c r="X1255" t="s">
        <v>838</v>
      </c>
      <c r="Y1255">
        <v>1254.5</v>
      </c>
      <c r="Z1255">
        <v>1254.5</v>
      </c>
      <c r="AA1255" t="str">
        <f t="shared" si="347"/>
        <v>06/08/2016</v>
      </c>
    </row>
    <row r="1256" spans="1:27" x14ac:dyDescent="0.3">
      <c r="A1256" t="str">
        <f t="shared" si="340"/>
        <v>048314</v>
      </c>
      <c r="B1256" t="str">
        <f t="shared" si="329"/>
        <v>004796</v>
      </c>
      <c r="C1256" t="s">
        <v>1352</v>
      </c>
      <c r="D1256" t="s">
        <v>3839</v>
      </c>
      <c r="E1256" t="s">
        <v>3840</v>
      </c>
      <c r="F1256" t="s">
        <v>3841</v>
      </c>
      <c r="G1256" t="s">
        <v>3842</v>
      </c>
      <c r="H1256" t="str">
        <f t="shared" si="346"/>
        <v>048314</v>
      </c>
      <c r="I1256" t="s">
        <v>833</v>
      </c>
      <c r="J1256" t="str">
        <f t="shared" si="351"/>
        <v>2015-07-01 00:00:00.0</v>
      </c>
      <c r="K1256" t="s">
        <v>834</v>
      </c>
      <c r="L1256" t="s">
        <v>0</v>
      </c>
      <c r="M1256" t="str">
        <f t="shared" si="349"/>
        <v>048314</v>
      </c>
      <c r="N1256">
        <v>1</v>
      </c>
      <c r="O1256">
        <v>1</v>
      </c>
      <c r="P1256" t="str">
        <f>"11"</f>
        <v>11</v>
      </c>
      <c r="Q1256" t="s">
        <v>835</v>
      </c>
      <c r="S1256" t="s">
        <v>836</v>
      </c>
      <c r="T1256" t="s">
        <v>836</v>
      </c>
      <c r="U1256" t="str">
        <f t="shared" si="344"/>
        <v>2500-12-31 00:00:00.0</v>
      </c>
      <c r="V1256" t="s">
        <v>837</v>
      </c>
      <c r="W1256" t="str">
        <f>"048314-004796-**-**"</f>
        <v>048314-004796-**-**</v>
      </c>
      <c r="X1256" t="s">
        <v>838</v>
      </c>
      <c r="Y1256">
        <v>1254.5</v>
      </c>
      <c r="Z1256">
        <v>1254.5</v>
      </c>
      <c r="AA1256" t="str">
        <f t="shared" si="347"/>
        <v>06/08/2016</v>
      </c>
    </row>
    <row r="1257" spans="1:27" x14ac:dyDescent="0.3">
      <c r="A1257" t="str">
        <f t="shared" si="340"/>
        <v>048314</v>
      </c>
      <c r="B1257" t="str">
        <f t="shared" si="329"/>
        <v>004796</v>
      </c>
      <c r="C1257" t="s">
        <v>1113</v>
      </c>
      <c r="D1257" t="s">
        <v>3839</v>
      </c>
      <c r="E1257" t="s">
        <v>3840</v>
      </c>
      <c r="F1257" t="s">
        <v>3841</v>
      </c>
      <c r="G1257" t="s">
        <v>3842</v>
      </c>
      <c r="H1257" t="str">
        <f>"045328"</f>
        <v>045328</v>
      </c>
      <c r="I1257" t="s">
        <v>833</v>
      </c>
      <c r="J1257" t="str">
        <f t="shared" si="351"/>
        <v>2015-07-01 00:00:00.0</v>
      </c>
      <c r="K1257" t="s">
        <v>834</v>
      </c>
      <c r="L1257" t="s">
        <v>1</v>
      </c>
      <c r="M1257" t="str">
        <f t="shared" si="349"/>
        <v>048314</v>
      </c>
      <c r="N1257">
        <v>1</v>
      </c>
      <c r="O1257">
        <v>1</v>
      </c>
      <c r="P1257" t="str">
        <f>"12"</f>
        <v>12</v>
      </c>
      <c r="Q1257" t="s">
        <v>835</v>
      </c>
      <c r="S1257" t="s">
        <v>836</v>
      </c>
      <c r="T1257" t="s">
        <v>836</v>
      </c>
      <c r="U1257" t="str">
        <f t="shared" si="344"/>
        <v>2500-12-31 00:00:00.0</v>
      </c>
      <c r="V1257" t="s">
        <v>837</v>
      </c>
      <c r="W1257" t="str">
        <f>"045328-007062-12-SR"</f>
        <v>045328-007062-12-SR</v>
      </c>
      <c r="X1257" t="s">
        <v>838</v>
      </c>
      <c r="Y1257">
        <v>1214</v>
      </c>
      <c r="Z1257">
        <v>1214</v>
      </c>
      <c r="AA1257" t="str">
        <f>"06/04/2016"</f>
        <v>06/04/2016</v>
      </c>
    </row>
    <row r="1258" spans="1:27" x14ac:dyDescent="0.3">
      <c r="A1258" t="str">
        <f t="shared" si="340"/>
        <v>048314</v>
      </c>
      <c r="B1258" t="str">
        <f t="shared" si="329"/>
        <v>004796</v>
      </c>
      <c r="C1258" t="s">
        <v>1160</v>
      </c>
      <c r="D1258" t="s">
        <v>3839</v>
      </c>
      <c r="E1258" t="s">
        <v>3840</v>
      </c>
      <c r="F1258" t="s">
        <v>3841</v>
      </c>
      <c r="G1258" t="s">
        <v>3842</v>
      </c>
      <c r="H1258" t="str">
        <f t="shared" ref="H1258:H1275" si="352">"048314"</f>
        <v>048314</v>
      </c>
      <c r="I1258" t="s">
        <v>833</v>
      </c>
      <c r="J1258" t="str">
        <f t="shared" si="351"/>
        <v>2015-07-01 00:00:00.0</v>
      </c>
      <c r="K1258" t="s">
        <v>834</v>
      </c>
      <c r="L1258" t="s">
        <v>0</v>
      </c>
      <c r="M1258" t="str">
        <f t="shared" si="349"/>
        <v>048314</v>
      </c>
      <c r="N1258">
        <v>1</v>
      </c>
      <c r="O1258">
        <v>1</v>
      </c>
      <c r="P1258" t="str">
        <f>"12"</f>
        <v>12</v>
      </c>
      <c r="Q1258" t="s">
        <v>835</v>
      </c>
      <c r="S1258" t="s">
        <v>836</v>
      </c>
      <c r="T1258" t="s">
        <v>836</v>
      </c>
      <c r="U1258" t="str">
        <f t="shared" si="344"/>
        <v>2500-12-31 00:00:00.0</v>
      </c>
      <c r="V1258" t="s">
        <v>837</v>
      </c>
      <c r="W1258" t="str">
        <f>"048314-004796-12-SE"</f>
        <v>048314-004796-12-SE</v>
      </c>
      <c r="X1258" t="s">
        <v>838</v>
      </c>
      <c r="Y1258">
        <v>1254.5</v>
      </c>
      <c r="Z1258">
        <v>1254.5</v>
      </c>
      <c r="AA1258" t="str">
        <f t="shared" ref="AA1258:AA1275" si="353">"06/08/2016"</f>
        <v>06/08/2016</v>
      </c>
    </row>
    <row r="1259" spans="1:27" x14ac:dyDescent="0.3">
      <c r="A1259" t="str">
        <f t="shared" si="340"/>
        <v>048314</v>
      </c>
      <c r="B1259" t="str">
        <f t="shared" si="329"/>
        <v>004796</v>
      </c>
      <c r="C1259" t="s">
        <v>907</v>
      </c>
      <c r="D1259" t="s">
        <v>3839</v>
      </c>
      <c r="E1259" t="s">
        <v>3840</v>
      </c>
      <c r="F1259" t="s">
        <v>3841</v>
      </c>
      <c r="G1259" t="s">
        <v>3842</v>
      </c>
      <c r="H1259" t="str">
        <f t="shared" si="352"/>
        <v>048314</v>
      </c>
      <c r="I1259" t="s">
        <v>833</v>
      </c>
      <c r="J1259" t="str">
        <f t="shared" si="351"/>
        <v>2015-07-01 00:00:00.0</v>
      </c>
      <c r="K1259" t="s">
        <v>834</v>
      </c>
      <c r="L1259" t="s">
        <v>0</v>
      </c>
      <c r="M1259" t="str">
        <f t="shared" si="349"/>
        <v>048314</v>
      </c>
      <c r="N1259">
        <v>1</v>
      </c>
      <c r="O1259">
        <v>1</v>
      </c>
      <c r="P1259" t="str">
        <f>"11"</f>
        <v>11</v>
      </c>
      <c r="Q1259" t="str">
        <f>"01"</f>
        <v>01</v>
      </c>
      <c r="R1259" t="str">
        <f>"5"</f>
        <v>5</v>
      </c>
      <c r="S1259" t="s">
        <v>836</v>
      </c>
      <c r="T1259" t="s">
        <v>836</v>
      </c>
      <c r="U1259" t="str">
        <f t="shared" si="344"/>
        <v>2500-12-31 00:00:00.0</v>
      </c>
      <c r="V1259" t="s">
        <v>837</v>
      </c>
      <c r="W1259" t="str">
        <f>"048314-004796-**-**"</f>
        <v>048314-004796-**-**</v>
      </c>
      <c r="X1259" t="s">
        <v>838</v>
      </c>
      <c r="Y1259">
        <v>1254.5</v>
      </c>
      <c r="Z1259">
        <v>1254.5</v>
      </c>
      <c r="AA1259" t="str">
        <f t="shared" si="353"/>
        <v>06/08/2016</v>
      </c>
    </row>
    <row r="1260" spans="1:27" x14ac:dyDescent="0.3">
      <c r="A1260" t="str">
        <f t="shared" si="340"/>
        <v>048314</v>
      </c>
      <c r="B1260" t="str">
        <f t="shared" si="329"/>
        <v>004796</v>
      </c>
      <c r="C1260" t="s">
        <v>1616</v>
      </c>
      <c r="D1260" t="s">
        <v>3839</v>
      </c>
      <c r="E1260" t="s">
        <v>3840</v>
      </c>
      <c r="F1260" t="s">
        <v>3841</v>
      </c>
      <c r="G1260" t="s">
        <v>3842</v>
      </c>
      <c r="H1260" t="str">
        <f t="shared" si="352"/>
        <v>048314</v>
      </c>
      <c r="I1260" t="s">
        <v>833</v>
      </c>
      <c r="J1260" t="str">
        <f t="shared" si="351"/>
        <v>2015-07-01 00:00:00.0</v>
      </c>
      <c r="K1260" t="s">
        <v>834</v>
      </c>
      <c r="L1260" t="s">
        <v>0</v>
      </c>
      <c r="M1260" t="str">
        <f t="shared" si="349"/>
        <v>048314</v>
      </c>
      <c r="N1260">
        <v>1</v>
      </c>
      <c r="O1260">
        <v>1</v>
      </c>
      <c r="P1260" t="str">
        <f>"10"</f>
        <v>10</v>
      </c>
      <c r="Q1260" t="s">
        <v>835</v>
      </c>
      <c r="S1260" t="s">
        <v>836</v>
      </c>
      <c r="T1260" t="s">
        <v>836</v>
      </c>
      <c r="U1260" t="str">
        <f t="shared" si="344"/>
        <v>2500-12-31 00:00:00.0</v>
      </c>
      <c r="V1260" t="s">
        <v>837</v>
      </c>
      <c r="W1260" t="str">
        <f>"048314-004796-**-**"</f>
        <v>048314-004796-**-**</v>
      </c>
      <c r="X1260" t="s">
        <v>838</v>
      </c>
      <c r="Y1260">
        <v>1254.5</v>
      </c>
      <c r="Z1260">
        <v>1254.5</v>
      </c>
      <c r="AA1260" t="str">
        <f t="shared" si="353"/>
        <v>06/08/2016</v>
      </c>
    </row>
    <row r="1261" spans="1:27" x14ac:dyDescent="0.3">
      <c r="A1261" t="str">
        <f t="shared" si="340"/>
        <v>048314</v>
      </c>
      <c r="B1261" t="str">
        <f t="shared" ref="B1261:B1324" si="354">"004796"</f>
        <v>004796</v>
      </c>
      <c r="C1261" t="s">
        <v>1353</v>
      </c>
      <c r="D1261" t="s">
        <v>3839</v>
      </c>
      <c r="E1261" t="s">
        <v>3840</v>
      </c>
      <c r="F1261" t="s">
        <v>3841</v>
      </c>
      <c r="G1261" t="s">
        <v>3842</v>
      </c>
      <c r="H1261" t="str">
        <f t="shared" si="352"/>
        <v>048314</v>
      </c>
      <c r="I1261" t="s">
        <v>833</v>
      </c>
      <c r="J1261" t="str">
        <f t="shared" si="351"/>
        <v>2015-07-01 00:00:00.0</v>
      </c>
      <c r="K1261" t="s">
        <v>834</v>
      </c>
      <c r="L1261" t="s">
        <v>0</v>
      </c>
      <c r="M1261" t="str">
        <f t="shared" si="349"/>
        <v>048314</v>
      </c>
      <c r="N1261">
        <v>1</v>
      </c>
      <c r="O1261">
        <v>1</v>
      </c>
      <c r="P1261" t="str">
        <f>"11"</f>
        <v>11</v>
      </c>
      <c r="Q1261" t="s">
        <v>835</v>
      </c>
      <c r="S1261" t="s">
        <v>836</v>
      </c>
      <c r="T1261" t="s">
        <v>836</v>
      </c>
      <c r="U1261" t="str">
        <f t="shared" si="344"/>
        <v>2500-12-31 00:00:00.0</v>
      </c>
      <c r="V1261" t="s">
        <v>837</v>
      </c>
      <c r="W1261" t="str">
        <f>"048314-004796-**-**"</f>
        <v>048314-004796-**-**</v>
      </c>
      <c r="X1261" t="s">
        <v>838</v>
      </c>
      <c r="Y1261">
        <v>1254.5</v>
      </c>
      <c r="Z1261">
        <v>1254.5</v>
      </c>
      <c r="AA1261" t="str">
        <f t="shared" si="353"/>
        <v>06/08/2016</v>
      </c>
    </row>
    <row r="1262" spans="1:27" x14ac:dyDescent="0.3">
      <c r="A1262" t="str">
        <f t="shared" si="340"/>
        <v>048314</v>
      </c>
      <c r="B1262" t="str">
        <f t="shared" si="354"/>
        <v>004796</v>
      </c>
      <c r="C1262" t="s">
        <v>1204</v>
      </c>
      <c r="D1262" t="s">
        <v>3839</v>
      </c>
      <c r="E1262" t="s">
        <v>3840</v>
      </c>
      <c r="F1262" t="s">
        <v>3841</v>
      </c>
      <c r="G1262" t="s">
        <v>3842</v>
      </c>
      <c r="H1262" t="str">
        <f t="shared" si="352"/>
        <v>048314</v>
      </c>
      <c r="I1262" t="s">
        <v>833</v>
      </c>
      <c r="J1262" t="str">
        <f t="shared" si="351"/>
        <v>2015-07-01 00:00:00.0</v>
      </c>
      <c r="K1262" t="s">
        <v>834</v>
      </c>
      <c r="L1262" t="s">
        <v>0</v>
      </c>
      <c r="M1262" t="str">
        <f t="shared" si="349"/>
        <v>048314</v>
      </c>
      <c r="N1262">
        <v>1</v>
      </c>
      <c r="O1262">
        <v>1</v>
      </c>
      <c r="P1262" t="str">
        <f>"12"</f>
        <v>12</v>
      </c>
      <c r="Q1262" t="s">
        <v>835</v>
      </c>
      <c r="S1262" t="s">
        <v>836</v>
      </c>
      <c r="T1262" t="s">
        <v>836</v>
      </c>
      <c r="U1262" t="str">
        <f t="shared" si="344"/>
        <v>2500-12-31 00:00:00.0</v>
      </c>
      <c r="V1262" t="s">
        <v>837</v>
      </c>
      <c r="W1262" t="str">
        <f>"048314-004796-12-SE"</f>
        <v>048314-004796-12-SE</v>
      </c>
      <c r="X1262" t="s">
        <v>838</v>
      </c>
      <c r="Y1262">
        <v>1254.5</v>
      </c>
      <c r="Z1262">
        <v>1254.5</v>
      </c>
      <c r="AA1262" t="str">
        <f t="shared" si="353"/>
        <v>06/08/2016</v>
      </c>
    </row>
    <row r="1263" spans="1:27" x14ac:dyDescent="0.3">
      <c r="A1263" t="str">
        <f t="shared" si="340"/>
        <v>048314</v>
      </c>
      <c r="B1263" t="str">
        <f t="shared" si="354"/>
        <v>004796</v>
      </c>
      <c r="C1263" t="s">
        <v>1354</v>
      </c>
      <c r="D1263" t="s">
        <v>3839</v>
      </c>
      <c r="E1263" t="s">
        <v>3840</v>
      </c>
      <c r="F1263" t="s">
        <v>3841</v>
      </c>
      <c r="G1263" t="s">
        <v>3842</v>
      </c>
      <c r="H1263" t="str">
        <f t="shared" si="352"/>
        <v>048314</v>
      </c>
      <c r="I1263" t="s">
        <v>833</v>
      </c>
      <c r="J1263" t="str">
        <f t="shared" si="351"/>
        <v>2015-07-01 00:00:00.0</v>
      </c>
      <c r="K1263" t="s">
        <v>834</v>
      </c>
      <c r="L1263" t="s">
        <v>0</v>
      </c>
      <c r="M1263" t="str">
        <f t="shared" si="349"/>
        <v>048314</v>
      </c>
      <c r="N1263">
        <v>1</v>
      </c>
      <c r="O1263">
        <v>1</v>
      </c>
      <c r="P1263" t="str">
        <f>"11"</f>
        <v>11</v>
      </c>
      <c r="Q1263" t="s">
        <v>835</v>
      </c>
      <c r="S1263" t="s">
        <v>836</v>
      </c>
      <c r="T1263" t="s">
        <v>836</v>
      </c>
      <c r="U1263" t="str">
        <f t="shared" si="344"/>
        <v>2500-12-31 00:00:00.0</v>
      </c>
      <c r="V1263" t="s">
        <v>837</v>
      </c>
      <c r="W1263" t="str">
        <f>"048314-004796-**-**"</f>
        <v>048314-004796-**-**</v>
      </c>
      <c r="X1263" t="s">
        <v>838</v>
      </c>
      <c r="Y1263">
        <v>1254.5</v>
      </c>
      <c r="Z1263">
        <v>1254.5</v>
      </c>
      <c r="AA1263" t="str">
        <f t="shared" si="353"/>
        <v>06/08/2016</v>
      </c>
    </row>
    <row r="1264" spans="1:27" x14ac:dyDescent="0.3">
      <c r="A1264" t="str">
        <f t="shared" si="340"/>
        <v>048314</v>
      </c>
      <c r="B1264" t="str">
        <f t="shared" si="354"/>
        <v>004796</v>
      </c>
      <c r="C1264" t="s">
        <v>1161</v>
      </c>
      <c r="D1264" t="s">
        <v>3839</v>
      </c>
      <c r="E1264" t="s">
        <v>3840</v>
      </c>
      <c r="F1264" t="s">
        <v>3841</v>
      </c>
      <c r="G1264" t="s">
        <v>3842</v>
      </c>
      <c r="H1264" t="str">
        <f t="shared" si="352"/>
        <v>048314</v>
      </c>
      <c r="I1264" t="s">
        <v>833</v>
      </c>
      <c r="J1264" t="str">
        <f t="shared" si="351"/>
        <v>2015-07-01 00:00:00.0</v>
      </c>
      <c r="K1264" t="s">
        <v>834</v>
      </c>
      <c r="L1264" t="s">
        <v>0</v>
      </c>
      <c r="M1264" t="str">
        <f t="shared" si="349"/>
        <v>048314</v>
      </c>
      <c r="N1264">
        <v>1</v>
      </c>
      <c r="O1264">
        <v>1</v>
      </c>
      <c r="P1264" t="str">
        <f>"12"</f>
        <v>12</v>
      </c>
      <c r="Q1264" t="s">
        <v>835</v>
      </c>
      <c r="S1264" t="s">
        <v>836</v>
      </c>
      <c r="T1264" t="s">
        <v>836</v>
      </c>
      <c r="U1264" t="str">
        <f t="shared" si="344"/>
        <v>2500-12-31 00:00:00.0</v>
      </c>
      <c r="V1264" t="s">
        <v>837</v>
      </c>
      <c r="W1264" t="str">
        <f>"048314-004796-12-SE"</f>
        <v>048314-004796-12-SE</v>
      </c>
      <c r="X1264" t="s">
        <v>838</v>
      </c>
      <c r="Y1264">
        <v>1254.5</v>
      </c>
      <c r="Z1264">
        <v>1254.5</v>
      </c>
      <c r="AA1264" t="str">
        <f t="shared" si="353"/>
        <v>06/08/2016</v>
      </c>
    </row>
    <row r="1265" spans="1:27" x14ac:dyDescent="0.3">
      <c r="A1265" t="str">
        <f t="shared" si="340"/>
        <v>048314</v>
      </c>
      <c r="B1265" t="str">
        <f t="shared" si="354"/>
        <v>004796</v>
      </c>
      <c r="C1265" t="s">
        <v>1741</v>
      </c>
      <c r="D1265" t="s">
        <v>3839</v>
      </c>
      <c r="E1265" t="s">
        <v>3840</v>
      </c>
      <c r="F1265" t="s">
        <v>3841</v>
      </c>
      <c r="G1265" t="s">
        <v>3842</v>
      </c>
      <c r="H1265" t="str">
        <f t="shared" si="352"/>
        <v>048314</v>
      </c>
      <c r="I1265" t="s">
        <v>833</v>
      </c>
      <c r="J1265" t="str">
        <f t="shared" si="351"/>
        <v>2015-07-01 00:00:00.0</v>
      </c>
      <c r="K1265" t="s">
        <v>834</v>
      </c>
      <c r="L1265" t="s">
        <v>0</v>
      </c>
      <c r="M1265" t="str">
        <f t="shared" si="349"/>
        <v>048314</v>
      </c>
      <c r="N1265">
        <v>1</v>
      </c>
      <c r="O1265">
        <v>1</v>
      </c>
      <c r="P1265" t="str">
        <f>"11"</f>
        <v>11</v>
      </c>
      <c r="Q1265" t="s">
        <v>835</v>
      </c>
      <c r="S1265" t="s">
        <v>836</v>
      </c>
      <c r="T1265" t="s">
        <v>836</v>
      </c>
      <c r="U1265" t="str">
        <f t="shared" si="344"/>
        <v>2500-12-31 00:00:00.0</v>
      </c>
      <c r="V1265" t="s">
        <v>837</v>
      </c>
      <c r="W1265" t="str">
        <f>"048314-004796-**-**"</f>
        <v>048314-004796-**-**</v>
      </c>
      <c r="X1265" t="s">
        <v>838</v>
      </c>
      <c r="Y1265">
        <v>1254.5</v>
      </c>
      <c r="Z1265">
        <v>1254.5</v>
      </c>
      <c r="AA1265" t="str">
        <f t="shared" si="353"/>
        <v>06/08/2016</v>
      </c>
    </row>
    <row r="1266" spans="1:27" x14ac:dyDescent="0.3">
      <c r="A1266" t="str">
        <f t="shared" si="340"/>
        <v>048314</v>
      </c>
      <c r="B1266" t="str">
        <f t="shared" si="354"/>
        <v>004796</v>
      </c>
      <c r="C1266" t="s">
        <v>2958</v>
      </c>
      <c r="D1266" t="s">
        <v>3839</v>
      </c>
      <c r="E1266" t="s">
        <v>3840</v>
      </c>
      <c r="F1266" t="s">
        <v>3841</v>
      </c>
      <c r="G1266" t="s">
        <v>3842</v>
      </c>
      <c r="H1266" t="str">
        <f t="shared" si="352"/>
        <v>048314</v>
      </c>
      <c r="I1266" t="s">
        <v>833</v>
      </c>
      <c r="J1266" t="str">
        <f>"2015-08-31 00:00:00.0"</f>
        <v>2015-08-31 00:00:00.0</v>
      </c>
      <c r="K1266" t="s">
        <v>834</v>
      </c>
      <c r="L1266" t="s">
        <v>0</v>
      </c>
      <c r="M1266" t="str">
        <f t="shared" si="349"/>
        <v>048314</v>
      </c>
      <c r="N1266">
        <v>1</v>
      </c>
      <c r="O1266">
        <v>1</v>
      </c>
      <c r="P1266" t="str">
        <f>"09"</f>
        <v>09</v>
      </c>
      <c r="Q1266" t="s">
        <v>835</v>
      </c>
      <c r="S1266" t="s">
        <v>836</v>
      </c>
      <c r="T1266" t="s">
        <v>836</v>
      </c>
      <c r="U1266" t="str">
        <f t="shared" si="344"/>
        <v>2500-12-31 00:00:00.0</v>
      </c>
      <c r="V1266" t="s">
        <v>837</v>
      </c>
      <c r="W1266" t="str">
        <f>"048314-004796-**-**"</f>
        <v>048314-004796-**-**</v>
      </c>
      <c r="X1266" t="s">
        <v>838</v>
      </c>
      <c r="Y1266">
        <v>1254.5</v>
      </c>
      <c r="Z1266">
        <v>1254.5</v>
      </c>
      <c r="AA1266" t="str">
        <f t="shared" si="353"/>
        <v>06/08/2016</v>
      </c>
    </row>
    <row r="1267" spans="1:27" x14ac:dyDescent="0.3">
      <c r="A1267" t="str">
        <f t="shared" si="340"/>
        <v>048314</v>
      </c>
      <c r="B1267" t="str">
        <f t="shared" si="354"/>
        <v>004796</v>
      </c>
      <c r="C1267" t="s">
        <v>2184</v>
      </c>
      <c r="D1267" t="s">
        <v>3839</v>
      </c>
      <c r="E1267" t="s">
        <v>3840</v>
      </c>
      <c r="F1267" t="s">
        <v>3841</v>
      </c>
      <c r="G1267" t="s">
        <v>3842</v>
      </c>
      <c r="H1267" t="str">
        <f t="shared" si="352"/>
        <v>048314</v>
      </c>
      <c r="I1267" t="s">
        <v>833</v>
      </c>
      <c r="J1267" t="str">
        <f t="shared" ref="J1267:J1274" si="355">"2015-07-01 00:00:00.0"</f>
        <v>2015-07-01 00:00:00.0</v>
      </c>
      <c r="K1267" t="s">
        <v>834</v>
      </c>
      <c r="L1267" t="s">
        <v>0</v>
      </c>
      <c r="M1267" t="str">
        <f t="shared" si="349"/>
        <v>048314</v>
      </c>
      <c r="N1267">
        <v>1</v>
      </c>
      <c r="O1267">
        <v>1</v>
      </c>
      <c r="P1267" t="str">
        <f>"10"</f>
        <v>10</v>
      </c>
      <c r="Q1267" t="s">
        <v>835</v>
      </c>
      <c r="S1267" t="s">
        <v>836</v>
      </c>
      <c r="T1267" t="s">
        <v>836</v>
      </c>
      <c r="U1267" t="str">
        <f t="shared" si="344"/>
        <v>2500-12-31 00:00:00.0</v>
      </c>
      <c r="V1267" t="s">
        <v>837</v>
      </c>
      <c r="W1267" t="str">
        <f>"048314-004796-**-**"</f>
        <v>048314-004796-**-**</v>
      </c>
      <c r="X1267" t="s">
        <v>838</v>
      </c>
      <c r="Y1267">
        <v>1254.5</v>
      </c>
      <c r="Z1267">
        <v>1254.5</v>
      </c>
      <c r="AA1267" t="str">
        <f t="shared" si="353"/>
        <v>06/08/2016</v>
      </c>
    </row>
    <row r="1268" spans="1:27" x14ac:dyDescent="0.3">
      <c r="A1268" t="str">
        <f t="shared" si="340"/>
        <v>048314</v>
      </c>
      <c r="B1268" t="str">
        <f t="shared" si="354"/>
        <v>004796</v>
      </c>
      <c r="C1268" t="s">
        <v>2185</v>
      </c>
      <c r="D1268" t="s">
        <v>3839</v>
      </c>
      <c r="E1268" t="s">
        <v>3840</v>
      </c>
      <c r="F1268" t="s">
        <v>3841</v>
      </c>
      <c r="G1268" t="s">
        <v>3842</v>
      </c>
      <c r="H1268" t="str">
        <f t="shared" si="352"/>
        <v>048314</v>
      </c>
      <c r="I1268" t="s">
        <v>833</v>
      </c>
      <c r="J1268" t="str">
        <f t="shared" si="355"/>
        <v>2015-07-01 00:00:00.0</v>
      </c>
      <c r="K1268" t="s">
        <v>834</v>
      </c>
      <c r="L1268" t="s">
        <v>0</v>
      </c>
      <c r="M1268" t="str">
        <f t="shared" si="349"/>
        <v>048314</v>
      </c>
      <c r="N1268">
        <v>1</v>
      </c>
      <c r="O1268">
        <v>1</v>
      </c>
      <c r="P1268" t="str">
        <f>"12"</f>
        <v>12</v>
      </c>
      <c r="Q1268" t="s">
        <v>835</v>
      </c>
      <c r="S1268" t="s">
        <v>836</v>
      </c>
      <c r="T1268" t="s">
        <v>836</v>
      </c>
      <c r="U1268" t="str">
        <f t="shared" si="344"/>
        <v>2500-12-31 00:00:00.0</v>
      </c>
      <c r="V1268" t="s">
        <v>837</v>
      </c>
      <c r="W1268" t="str">
        <f>"048314-004796-12-SE"</f>
        <v>048314-004796-12-SE</v>
      </c>
      <c r="X1268" t="s">
        <v>838</v>
      </c>
      <c r="Y1268">
        <v>1254.5</v>
      </c>
      <c r="Z1268">
        <v>1254.5</v>
      </c>
      <c r="AA1268" t="str">
        <f t="shared" si="353"/>
        <v>06/08/2016</v>
      </c>
    </row>
    <row r="1269" spans="1:27" x14ac:dyDescent="0.3">
      <c r="A1269" t="str">
        <f t="shared" si="340"/>
        <v>048314</v>
      </c>
      <c r="B1269" t="str">
        <f t="shared" si="354"/>
        <v>004796</v>
      </c>
      <c r="C1269" t="s">
        <v>2291</v>
      </c>
      <c r="D1269" t="s">
        <v>3839</v>
      </c>
      <c r="E1269" t="s">
        <v>3840</v>
      </c>
      <c r="F1269" t="s">
        <v>3841</v>
      </c>
      <c r="G1269" t="s">
        <v>3842</v>
      </c>
      <c r="H1269" t="str">
        <f t="shared" si="352"/>
        <v>048314</v>
      </c>
      <c r="I1269" t="s">
        <v>833</v>
      </c>
      <c r="J1269" t="str">
        <f t="shared" si="355"/>
        <v>2015-07-01 00:00:00.0</v>
      </c>
      <c r="K1269" t="s">
        <v>834</v>
      </c>
      <c r="L1269" t="s">
        <v>0</v>
      </c>
      <c r="M1269" t="str">
        <f t="shared" si="349"/>
        <v>048314</v>
      </c>
      <c r="N1269">
        <v>1</v>
      </c>
      <c r="O1269">
        <v>1</v>
      </c>
      <c r="P1269" t="str">
        <f>"10"</f>
        <v>10</v>
      </c>
      <c r="Q1269" t="s">
        <v>835</v>
      </c>
      <c r="S1269" t="s">
        <v>836</v>
      </c>
      <c r="T1269" t="s">
        <v>836</v>
      </c>
      <c r="U1269" t="str">
        <f t="shared" si="344"/>
        <v>2500-12-31 00:00:00.0</v>
      </c>
      <c r="V1269" t="s">
        <v>837</v>
      </c>
      <c r="W1269" t="str">
        <f t="shared" ref="W1269:W1275" si="356">"048314-004796-**-**"</f>
        <v>048314-004796-**-**</v>
      </c>
      <c r="X1269" t="s">
        <v>838</v>
      </c>
      <c r="Y1269">
        <v>1254.5</v>
      </c>
      <c r="Z1269">
        <v>1254.5</v>
      </c>
      <c r="AA1269" t="str">
        <f t="shared" si="353"/>
        <v>06/08/2016</v>
      </c>
    </row>
    <row r="1270" spans="1:27" x14ac:dyDescent="0.3">
      <c r="A1270" t="str">
        <f t="shared" si="340"/>
        <v>048314</v>
      </c>
      <c r="B1270" t="str">
        <f t="shared" si="354"/>
        <v>004796</v>
      </c>
      <c r="C1270" t="s">
        <v>1680</v>
      </c>
      <c r="D1270" t="s">
        <v>3839</v>
      </c>
      <c r="E1270" t="s">
        <v>3840</v>
      </c>
      <c r="F1270" t="s">
        <v>3841</v>
      </c>
      <c r="G1270" t="s">
        <v>3842</v>
      </c>
      <c r="H1270" t="str">
        <f t="shared" si="352"/>
        <v>048314</v>
      </c>
      <c r="I1270" t="s">
        <v>833</v>
      </c>
      <c r="J1270" t="str">
        <f t="shared" si="355"/>
        <v>2015-07-01 00:00:00.0</v>
      </c>
      <c r="K1270" t="s">
        <v>834</v>
      </c>
      <c r="L1270" t="s">
        <v>0</v>
      </c>
      <c r="M1270" t="str">
        <f t="shared" si="349"/>
        <v>048314</v>
      </c>
      <c r="N1270">
        <v>1</v>
      </c>
      <c r="O1270">
        <v>1</v>
      </c>
      <c r="P1270" t="str">
        <f>"10"</f>
        <v>10</v>
      </c>
      <c r="Q1270" t="s">
        <v>835</v>
      </c>
      <c r="S1270" t="s">
        <v>836</v>
      </c>
      <c r="T1270" t="s">
        <v>836</v>
      </c>
      <c r="U1270" t="str">
        <f t="shared" si="344"/>
        <v>2500-12-31 00:00:00.0</v>
      </c>
      <c r="V1270" t="s">
        <v>837</v>
      </c>
      <c r="W1270" t="str">
        <f t="shared" si="356"/>
        <v>048314-004796-**-**</v>
      </c>
      <c r="X1270" t="s">
        <v>838</v>
      </c>
      <c r="Y1270">
        <v>1254.5</v>
      </c>
      <c r="Z1270">
        <v>1254.5</v>
      </c>
      <c r="AA1270" t="str">
        <f t="shared" si="353"/>
        <v>06/08/2016</v>
      </c>
    </row>
    <row r="1271" spans="1:27" x14ac:dyDescent="0.3">
      <c r="A1271" t="str">
        <f t="shared" si="340"/>
        <v>048314</v>
      </c>
      <c r="B1271" t="str">
        <f t="shared" si="354"/>
        <v>004796</v>
      </c>
      <c r="C1271" t="s">
        <v>1685</v>
      </c>
      <c r="D1271" t="s">
        <v>3839</v>
      </c>
      <c r="E1271" t="s">
        <v>3840</v>
      </c>
      <c r="F1271" t="s">
        <v>3841</v>
      </c>
      <c r="G1271" t="s">
        <v>3842</v>
      </c>
      <c r="H1271" t="str">
        <f t="shared" si="352"/>
        <v>048314</v>
      </c>
      <c r="I1271" t="s">
        <v>833</v>
      </c>
      <c r="J1271" t="str">
        <f t="shared" si="355"/>
        <v>2015-07-01 00:00:00.0</v>
      </c>
      <c r="K1271" t="s">
        <v>834</v>
      </c>
      <c r="L1271" t="s">
        <v>0</v>
      </c>
      <c r="M1271" t="str">
        <f t="shared" si="349"/>
        <v>048314</v>
      </c>
      <c r="N1271">
        <v>1</v>
      </c>
      <c r="O1271">
        <v>1</v>
      </c>
      <c r="P1271" t="str">
        <f>"10"</f>
        <v>10</v>
      </c>
      <c r="Q1271" t="s">
        <v>835</v>
      </c>
      <c r="S1271" t="s">
        <v>836</v>
      </c>
      <c r="T1271" t="s">
        <v>836</v>
      </c>
      <c r="U1271" t="str">
        <f t="shared" si="344"/>
        <v>2500-12-31 00:00:00.0</v>
      </c>
      <c r="V1271" t="s">
        <v>837</v>
      </c>
      <c r="W1271" t="str">
        <f t="shared" si="356"/>
        <v>048314-004796-**-**</v>
      </c>
      <c r="X1271" t="s">
        <v>838</v>
      </c>
      <c r="Y1271">
        <v>1254.5</v>
      </c>
      <c r="Z1271">
        <v>1254.5</v>
      </c>
      <c r="AA1271" t="str">
        <f t="shared" si="353"/>
        <v>06/08/2016</v>
      </c>
    </row>
    <row r="1272" spans="1:27" x14ac:dyDescent="0.3">
      <c r="A1272" t="str">
        <f t="shared" si="340"/>
        <v>048314</v>
      </c>
      <c r="B1272" t="str">
        <f t="shared" si="354"/>
        <v>004796</v>
      </c>
      <c r="C1272" t="s">
        <v>1292</v>
      </c>
      <c r="D1272" t="s">
        <v>3839</v>
      </c>
      <c r="E1272" t="s">
        <v>3840</v>
      </c>
      <c r="F1272" t="s">
        <v>3841</v>
      </c>
      <c r="G1272" t="s">
        <v>3842</v>
      </c>
      <c r="H1272" t="str">
        <f t="shared" si="352"/>
        <v>048314</v>
      </c>
      <c r="I1272" t="s">
        <v>833</v>
      </c>
      <c r="J1272" t="str">
        <f t="shared" si="355"/>
        <v>2015-07-01 00:00:00.0</v>
      </c>
      <c r="K1272" t="s">
        <v>834</v>
      </c>
      <c r="L1272" t="s">
        <v>0</v>
      </c>
      <c r="M1272" t="str">
        <f t="shared" si="349"/>
        <v>048314</v>
      </c>
      <c r="N1272">
        <v>1</v>
      </c>
      <c r="O1272">
        <v>1</v>
      </c>
      <c r="P1272" t="str">
        <f>"11"</f>
        <v>11</v>
      </c>
      <c r="Q1272" t="s">
        <v>835</v>
      </c>
      <c r="S1272" t="s">
        <v>836</v>
      </c>
      <c r="T1272" t="s">
        <v>836</v>
      </c>
      <c r="U1272" t="str">
        <f t="shared" si="344"/>
        <v>2500-12-31 00:00:00.0</v>
      </c>
      <c r="V1272" t="s">
        <v>837</v>
      </c>
      <c r="W1272" t="str">
        <f t="shared" si="356"/>
        <v>048314-004796-**-**</v>
      </c>
      <c r="X1272" t="s">
        <v>838</v>
      </c>
      <c r="Y1272">
        <v>1254.5</v>
      </c>
      <c r="Z1272">
        <v>1254.5</v>
      </c>
      <c r="AA1272" t="str">
        <f t="shared" si="353"/>
        <v>06/08/2016</v>
      </c>
    </row>
    <row r="1273" spans="1:27" x14ac:dyDescent="0.3">
      <c r="A1273" t="str">
        <f t="shared" si="340"/>
        <v>048314</v>
      </c>
      <c r="B1273" t="str">
        <f t="shared" si="354"/>
        <v>004796</v>
      </c>
      <c r="C1273" t="s">
        <v>1355</v>
      </c>
      <c r="D1273" t="s">
        <v>3839</v>
      </c>
      <c r="E1273" t="s">
        <v>3840</v>
      </c>
      <c r="F1273" t="s">
        <v>3841</v>
      </c>
      <c r="G1273" t="s">
        <v>3842</v>
      </c>
      <c r="H1273" t="str">
        <f t="shared" si="352"/>
        <v>048314</v>
      </c>
      <c r="I1273" t="s">
        <v>833</v>
      </c>
      <c r="J1273" t="str">
        <f t="shared" si="355"/>
        <v>2015-07-01 00:00:00.0</v>
      </c>
      <c r="K1273" t="s">
        <v>834</v>
      </c>
      <c r="L1273" t="s">
        <v>0</v>
      </c>
      <c r="M1273" t="str">
        <f t="shared" si="349"/>
        <v>048314</v>
      </c>
      <c r="N1273">
        <v>1</v>
      </c>
      <c r="O1273">
        <v>1</v>
      </c>
      <c r="P1273" t="str">
        <f>"11"</f>
        <v>11</v>
      </c>
      <c r="Q1273" t="s">
        <v>835</v>
      </c>
      <c r="S1273" t="s">
        <v>836</v>
      </c>
      <c r="T1273" t="s">
        <v>836</v>
      </c>
      <c r="U1273" t="str">
        <f t="shared" si="344"/>
        <v>2500-12-31 00:00:00.0</v>
      </c>
      <c r="V1273" t="s">
        <v>837</v>
      </c>
      <c r="W1273" t="str">
        <f t="shared" si="356"/>
        <v>048314-004796-**-**</v>
      </c>
      <c r="X1273" t="s">
        <v>838</v>
      </c>
      <c r="Y1273">
        <v>1254.5</v>
      </c>
      <c r="Z1273">
        <v>1254.5</v>
      </c>
      <c r="AA1273" t="str">
        <f t="shared" si="353"/>
        <v>06/08/2016</v>
      </c>
    </row>
    <row r="1274" spans="1:27" x14ac:dyDescent="0.3">
      <c r="A1274" t="str">
        <f t="shared" si="340"/>
        <v>048314</v>
      </c>
      <c r="B1274" t="str">
        <f t="shared" si="354"/>
        <v>004796</v>
      </c>
      <c r="C1274" t="s">
        <v>3404</v>
      </c>
      <c r="D1274" t="s">
        <v>3839</v>
      </c>
      <c r="E1274" t="s">
        <v>3840</v>
      </c>
      <c r="F1274" t="s">
        <v>3841</v>
      </c>
      <c r="G1274" t="s">
        <v>3842</v>
      </c>
      <c r="H1274" t="str">
        <f t="shared" si="352"/>
        <v>048314</v>
      </c>
      <c r="I1274" t="s">
        <v>833</v>
      </c>
      <c r="J1274" t="str">
        <f t="shared" si="355"/>
        <v>2015-07-01 00:00:00.0</v>
      </c>
      <c r="K1274" t="s">
        <v>834</v>
      </c>
      <c r="L1274" t="s">
        <v>0</v>
      </c>
      <c r="M1274" t="str">
        <f t="shared" si="349"/>
        <v>048314</v>
      </c>
      <c r="N1274">
        <v>1</v>
      </c>
      <c r="O1274">
        <v>1</v>
      </c>
      <c r="P1274" t="str">
        <f>"10"</f>
        <v>10</v>
      </c>
      <c r="Q1274" t="s">
        <v>835</v>
      </c>
      <c r="S1274" t="s">
        <v>836</v>
      </c>
      <c r="T1274" t="s">
        <v>836</v>
      </c>
      <c r="U1274" t="str">
        <f t="shared" si="344"/>
        <v>2500-12-31 00:00:00.0</v>
      </c>
      <c r="V1274" t="s">
        <v>837</v>
      </c>
      <c r="W1274" t="str">
        <f t="shared" si="356"/>
        <v>048314-004796-**-**</v>
      </c>
      <c r="X1274" t="s">
        <v>838</v>
      </c>
      <c r="Y1274">
        <v>1254.5</v>
      </c>
      <c r="Z1274">
        <v>1254.5</v>
      </c>
      <c r="AA1274" t="str">
        <f t="shared" si="353"/>
        <v>06/08/2016</v>
      </c>
    </row>
    <row r="1275" spans="1:27" x14ac:dyDescent="0.3">
      <c r="A1275" t="str">
        <f t="shared" si="340"/>
        <v>048314</v>
      </c>
      <c r="B1275" t="str">
        <f t="shared" si="354"/>
        <v>004796</v>
      </c>
      <c r="C1275" t="s">
        <v>1712</v>
      </c>
      <c r="D1275" t="s">
        <v>3839</v>
      </c>
      <c r="E1275" t="s">
        <v>3840</v>
      </c>
      <c r="F1275" t="s">
        <v>3841</v>
      </c>
      <c r="G1275" t="s">
        <v>3842</v>
      </c>
      <c r="H1275" t="str">
        <f t="shared" si="352"/>
        <v>048314</v>
      </c>
      <c r="I1275" t="s">
        <v>833</v>
      </c>
      <c r="J1275" t="str">
        <f>"2015-08-31 00:00:00.0"</f>
        <v>2015-08-31 00:00:00.0</v>
      </c>
      <c r="K1275" t="s">
        <v>834</v>
      </c>
      <c r="L1275" t="s">
        <v>0</v>
      </c>
      <c r="M1275" t="str">
        <f t="shared" si="349"/>
        <v>048314</v>
      </c>
      <c r="N1275">
        <v>1</v>
      </c>
      <c r="O1275">
        <v>1</v>
      </c>
      <c r="P1275" t="str">
        <f>"10"</f>
        <v>10</v>
      </c>
      <c r="Q1275" t="s">
        <v>835</v>
      </c>
      <c r="S1275" t="s">
        <v>836</v>
      </c>
      <c r="T1275" t="s">
        <v>836</v>
      </c>
      <c r="U1275" t="str">
        <f t="shared" si="344"/>
        <v>2500-12-31 00:00:00.0</v>
      </c>
      <c r="V1275" t="s">
        <v>837</v>
      </c>
      <c r="W1275" t="str">
        <f t="shared" si="356"/>
        <v>048314-004796-**-**</v>
      </c>
      <c r="X1275" t="s">
        <v>838</v>
      </c>
      <c r="Y1275">
        <v>1254.5</v>
      </c>
      <c r="Z1275">
        <v>1254.5</v>
      </c>
      <c r="AA1275" t="str">
        <f t="shared" si="353"/>
        <v>06/08/2016</v>
      </c>
    </row>
    <row r="1276" spans="1:27" x14ac:dyDescent="0.3">
      <c r="A1276" t="str">
        <f t="shared" si="340"/>
        <v>048314</v>
      </c>
      <c r="B1276" t="str">
        <f t="shared" si="354"/>
        <v>004796</v>
      </c>
      <c r="C1276" t="s">
        <v>904</v>
      </c>
      <c r="D1276" t="s">
        <v>3839</v>
      </c>
      <c r="E1276" t="s">
        <v>3840</v>
      </c>
      <c r="F1276" t="s">
        <v>3841</v>
      </c>
      <c r="G1276" t="s">
        <v>3842</v>
      </c>
      <c r="H1276" t="str">
        <f>"051243"</f>
        <v>051243</v>
      </c>
      <c r="I1276" t="s">
        <v>833</v>
      </c>
      <c r="J1276" t="str">
        <f t="shared" ref="J1276:J1290" si="357">"2015-07-01 00:00:00.0"</f>
        <v>2015-07-01 00:00:00.0</v>
      </c>
      <c r="K1276" t="s">
        <v>834</v>
      </c>
      <c r="L1276" t="s">
        <v>0</v>
      </c>
      <c r="M1276" t="str">
        <f t="shared" si="349"/>
        <v>048314</v>
      </c>
      <c r="N1276">
        <v>1</v>
      </c>
      <c r="O1276">
        <v>1</v>
      </c>
      <c r="P1276" t="str">
        <f>"12"</f>
        <v>12</v>
      </c>
      <c r="Q1276" t="s">
        <v>835</v>
      </c>
      <c r="S1276" t="s">
        <v>836</v>
      </c>
      <c r="T1276" t="s">
        <v>836</v>
      </c>
      <c r="U1276" t="str">
        <f t="shared" si="344"/>
        <v>2500-12-31 00:00:00.0</v>
      </c>
      <c r="V1276" t="s">
        <v>886</v>
      </c>
      <c r="W1276" t="str">
        <f>"051243-051250-12-SE"</f>
        <v>051243-051250-12-SE</v>
      </c>
      <c r="X1276" t="s">
        <v>838</v>
      </c>
      <c r="Y1276">
        <v>1105</v>
      </c>
      <c r="Z1276">
        <v>1105</v>
      </c>
      <c r="AA1276" t="str">
        <f>"05/21/2016"</f>
        <v>05/21/2016</v>
      </c>
    </row>
    <row r="1277" spans="1:27" x14ac:dyDescent="0.3">
      <c r="A1277" t="str">
        <f t="shared" si="340"/>
        <v>048314</v>
      </c>
      <c r="B1277" t="str">
        <f t="shared" si="354"/>
        <v>004796</v>
      </c>
      <c r="C1277" t="s">
        <v>1205</v>
      </c>
      <c r="D1277" t="s">
        <v>3839</v>
      </c>
      <c r="E1277" t="s">
        <v>3840</v>
      </c>
      <c r="F1277" t="s">
        <v>3841</v>
      </c>
      <c r="G1277" t="s">
        <v>3842</v>
      </c>
      <c r="H1277" t="str">
        <f t="shared" ref="H1277:H1285" si="358">"048314"</f>
        <v>048314</v>
      </c>
      <c r="I1277" t="s">
        <v>833</v>
      </c>
      <c r="J1277" t="str">
        <f t="shared" si="357"/>
        <v>2015-07-01 00:00:00.0</v>
      </c>
      <c r="K1277" t="s">
        <v>834</v>
      </c>
      <c r="L1277" t="s">
        <v>0</v>
      </c>
      <c r="M1277" t="str">
        <f t="shared" si="349"/>
        <v>048314</v>
      </c>
      <c r="N1277">
        <v>1</v>
      </c>
      <c r="O1277">
        <v>1</v>
      </c>
      <c r="P1277" t="str">
        <f>"12"</f>
        <v>12</v>
      </c>
      <c r="Q1277" t="s">
        <v>835</v>
      </c>
      <c r="S1277" t="s">
        <v>836</v>
      </c>
      <c r="T1277" t="s">
        <v>836</v>
      </c>
      <c r="U1277" t="str">
        <f t="shared" si="344"/>
        <v>2500-12-31 00:00:00.0</v>
      </c>
      <c r="V1277" t="s">
        <v>837</v>
      </c>
      <c r="W1277" t="str">
        <f>"048314-004796-12-SE"</f>
        <v>048314-004796-12-SE</v>
      </c>
      <c r="X1277" t="s">
        <v>838</v>
      </c>
      <c r="Y1277">
        <v>1254.5</v>
      </c>
      <c r="Z1277">
        <v>1254.5</v>
      </c>
      <c r="AA1277" t="str">
        <f t="shared" ref="AA1277:AA1285" si="359">"06/08/2016"</f>
        <v>06/08/2016</v>
      </c>
    </row>
    <row r="1278" spans="1:27" x14ac:dyDescent="0.3">
      <c r="A1278" t="str">
        <f t="shared" si="340"/>
        <v>048314</v>
      </c>
      <c r="B1278" t="str">
        <f t="shared" si="354"/>
        <v>004796</v>
      </c>
      <c r="C1278" t="s">
        <v>1617</v>
      </c>
      <c r="D1278" t="s">
        <v>3839</v>
      </c>
      <c r="E1278" t="s">
        <v>3840</v>
      </c>
      <c r="F1278" t="s">
        <v>3841</v>
      </c>
      <c r="G1278" t="s">
        <v>3842</v>
      </c>
      <c r="H1278" t="str">
        <f t="shared" si="358"/>
        <v>048314</v>
      </c>
      <c r="I1278" t="s">
        <v>833</v>
      </c>
      <c r="J1278" t="str">
        <f t="shared" si="357"/>
        <v>2015-07-01 00:00:00.0</v>
      </c>
      <c r="K1278" t="s">
        <v>834</v>
      </c>
      <c r="L1278" t="s">
        <v>0</v>
      </c>
      <c r="M1278" t="str">
        <f t="shared" si="349"/>
        <v>048314</v>
      </c>
      <c r="N1278">
        <v>1</v>
      </c>
      <c r="O1278">
        <v>1</v>
      </c>
      <c r="P1278" t="str">
        <f>"10"</f>
        <v>10</v>
      </c>
      <c r="Q1278" t="s">
        <v>835</v>
      </c>
      <c r="S1278" t="s">
        <v>836</v>
      </c>
      <c r="T1278" t="s">
        <v>836</v>
      </c>
      <c r="U1278" t="str">
        <f t="shared" si="344"/>
        <v>2500-12-31 00:00:00.0</v>
      </c>
      <c r="V1278" t="s">
        <v>837</v>
      </c>
      <c r="W1278" t="str">
        <f>"048314-004796-**-**"</f>
        <v>048314-004796-**-**</v>
      </c>
      <c r="X1278" t="s">
        <v>838</v>
      </c>
      <c r="Y1278">
        <v>1254.5</v>
      </c>
      <c r="Z1278">
        <v>1254.5</v>
      </c>
      <c r="AA1278" t="str">
        <f t="shared" si="359"/>
        <v>06/08/2016</v>
      </c>
    </row>
    <row r="1279" spans="1:27" x14ac:dyDescent="0.3">
      <c r="A1279" t="str">
        <f t="shared" si="340"/>
        <v>048314</v>
      </c>
      <c r="B1279" t="str">
        <f t="shared" si="354"/>
        <v>004796</v>
      </c>
      <c r="C1279" t="s">
        <v>1294</v>
      </c>
      <c r="D1279" t="s">
        <v>3839</v>
      </c>
      <c r="E1279" t="s">
        <v>3840</v>
      </c>
      <c r="F1279" t="s">
        <v>3841</v>
      </c>
      <c r="G1279" t="s">
        <v>3842</v>
      </c>
      <c r="H1279" t="str">
        <f t="shared" si="358"/>
        <v>048314</v>
      </c>
      <c r="I1279" t="s">
        <v>833</v>
      </c>
      <c r="J1279" t="str">
        <f t="shared" si="357"/>
        <v>2015-07-01 00:00:00.0</v>
      </c>
      <c r="K1279" t="s">
        <v>834</v>
      </c>
      <c r="L1279" t="s">
        <v>0</v>
      </c>
      <c r="M1279" t="str">
        <f t="shared" si="349"/>
        <v>048314</v>
      </c>
      <c r="N1279">
        <v>1</v>
      </c>
      <c r="O1279">
        <v>1</v>
      </c>
      <c r="P1279" t="str">
        <f>"10"</f>
        <v>10</v>
      </c>
      <c r="Q1279" t="s">
        <v>835</v>
      </c>
      <c r="S1279" t="s">
        <v>836</v>
      </c>
      <c r="T1279" t="s">
        <v>836</v>
      </c>
      <c r="U1279" t="str">
        <f t="shared" si="344"/>
        <v>2500-12-31 00:00:00.0</v>
      </c>
      <c r="V1279" t="s">
        <v>837</v>
      </c>
      <c r="W1279" t="str">
        <f>"048314-004796-**-**"</f>
        <v>048314-004796-**-**</v>
      </c>
      <c r="X1279" t="s">
        <v>838</v>
      </c>
      <c r="Y1279">
        <v>1254.5</v>
      </c>
      <c r="Z1279">
        <v>1254.5</v>
      </c>
      <c r="AA1279" t="str">
        <f t="shared" si="359"/>
        <v>06/08/2016</v>
      </c>
    </row>
    <row r="1280" spans="1:27" x14ac:dyDescent="0.3">
      <c r="A1280" t="str">
        <f t="shared" si="340"/>
        <v>048314</v>
      </c>
      <c r="B1280" t="str">
        <f t="shared" si="354"/>
        <v>004796</v>
      </c>
      <c r="C1280" t="s">
        <v>1391</v>
      </c>
      <c r="D1280" t="s">
        <v>3839</v>
      </c>
      <c r="E1280" t="s">
        <v>3840</v>
      </c>
      <c r="F1280" t="s">
        <v>3841</v>
      </c>
      <c r="G1280" t="s">
        <v>3842</v>
      </c>
      <c r="H1280" t="str">
        <f t="shared" si="358"/>
        <v>048314</v>
      </c>
      <c r="I1280" t="s">
        <v>833</v>
      </c>
      <c r="J1280" t="str">
        <f t="shared" si="357"/>
        <v>2015-07-01 00:00:00.0</v>
      </c>
      <c r="K1280" t="s">
        <v>834</v>
      </c>
      <c r="L1280" t="s">
        <v>0</v>
      </c>
      <c r="M1280" t="str">
        <f t="shared" si="349"/>
        <v>048314</v>
      </c>
      <c r="N1280">
        <v>1</v>
      </c>
      <c r="O1280">
        <v>1</v>
      </c>
      <c r="P1280" t="str">
        <f>"11"</f>
        <v>11</v>
      </c>
      <c r="Q1280" t="s">
        <v>835</v>
      </c>
      <c r="S1280" t="s">
        <v>836</v>
      </c>
      <c r="T1280" t="s">
        <v>836</v>
      </c>
      <c r="U1280" t="str">
        <f t="shared" si="344"/>
        <v>2500-12-31 00:00:00.0</v>
      </c>
      <c r="V1280" t="s">
        <v>837</v>
      </c>
      <c r="W1280" t="str">
        <f>"048314-004796-**-**"</f>
        <v>048314-004796-**-**</v>
      </c>
      <c r="X1280" t="s">
        <v>838</v>
      </c>
      <c r="Y1280">
        <v>1254.5</v>
      </c>
      <c r="Z1280">
        <v>1254.5</v>
      </c>
      <c r="AA1280" t="str">
        <f t="shared" si="359"/>
        <v>06/08/2016</v>
      </c>
    </row>
    <row r="1281" spans="1:27" x14ac:dyDescent="0.3">
      <c r="A1281" t="str">
        <f t="shared" si="340"/>
        <v>048314</v>
      </c>
      <c r="B1281" t="str">
        <f t="shared" si="354"/>
        <v>004796</v>
      </c>
      <c r="C1281" t="s">
        <v>1618</v>
      </c>
      <c r="D1281" t="s">
        <v>3839</v>
      </c>
      <c r="E1281" t="s">
        <v>3840</v>
      </c>
      <c r="F1281" t="s">
        <v>3841</v>
      </c>
      <c r="G1281" t="s">
        <v>3842</v>
      </c>
      <c r="H1281" t="str">
        <f t="shared" si="358"/>
        <v>048314</v>
      </c>
      <c r="I1281" t="s">
        <v>833</v>
      </c>
      <c r="J1281" t="str">
        <f t="shared" si="357"/>
        <v>2015-07-01 00:00:00.0</v>
      </c>
      <c r="K1281" t="s">
        <v>834</v>
      </c>
      <c r="L1281" t="s">
        <v>0</v>
      </c>
      <c r="M1281" t="str">
        <f t="shared" si="349"/>
        <v>048314</v>
      </c>
      <c r="N1281">
        <v>1</v>
      </c>
      <c r="O1281">
        <v>1</v>
      </c>
      <c r="P1281" t="str">
        <f>"10"</f>
        <v>10</v>
      </c>
      <c r="Q1281" t="s">
        <v>835</v>
      </c>
      <c r="S1281" t="s">
        <v>836</v>
      </c>
      <c r="T1281" t="s">
        <v>836</v>
      </c>
      <c r="U1281" t="str">
        <f t="shared" si="344"/>
        <v>2500-12-31 00:00:00.0</v>
      </c>
      <c r="V1281" t="s">
        <v>837</v>
      </c>
      <c r="W1281" t="str">
        <f>"048314-004796-**-**"</f>
        <v>048314-004796-**-**</v>
      </c>
      <c r="X1281" t="s">
        <v>838</v>
      </c>
      <c r="Y1281">
        <v>1254.5</v>
      </c>
      <c r="Z1281">
        <v>1254.5</v>
      </c>
      <c r="AA1281" t="str">
        <f t="shared" si="359"/>
        <v>06/08/2016</v>
      </c>
    </row>
    <row r="1282" spans="1:27" x14ac:dyDescent="0.3">
      <c r="A1282" t="str">
        <f t="shared" ref="A1282:A1345" si="360">"048314"</f>
        <v>048314</v>
      </c>
      <c r="B1282" t="str">
        <f t="shared" si="354"/>
        <v>004796</v>
      </c>
      <c r="C1282" t="s">
        <v>1441</v>
      </c>
      <c r="D1282" t="s">
        <v>3839</v>
      </c>
      <c r="E1282" t="s">
        <v>3840</v>
      </c>
      <c r="F1282" t="s">
        <v>3841</v>
      </c>
      <c r="G1282" t="s">
        <v>3842</v>
      </c>
      <c r="H1282" t="str">
        <f t="shared" si="358"/>
        <v>048314</v>
      </c>
      <c r="I1282" t="s">
        <v>833</v>
      </c>
      <c r="J1282" t="str">
        <f t="shared" si="357"/>
        <v>2015-07-01 00:00:00.0</v>
      </c>
      <c r="K1282" t="s">
        <v>834</v>
      </c>
      <c r="L1282" t="s">
        <v>0</v>
      </c>
      <c r="M1282" t="str">
        <f t="shared" si="349"/>
        <v>048314</v>
      </c>
      <c r="N1282">
        <v>1</v>
      </c>
      <c r="O1282">
        <v>1</v>
      </c>
      <c r="P1282" t="str">
        <f>"10"</f>
        <v>10</v>
      </c>
      <c r="Q1282" t="str">
        <f>"15"</f>
        <v>15</v>
      </c>
      <c r="R1282" t="str">
        <f>"2"</f>
        <v>2</v>
      </c>
      <c r="S1282" t="s">
        <v>836</v>
      </c>
      <c r="T1282" t="s">
        <v>836</v>
      </c>
      <c r="U1282" t="str">
        <f t="shared" si="344"/>
        <v>2500-12-31 00:00:00.0</v>
      </c>
      <c r="V1282" t="s">
        <v>837</v>
      </c>
      <c r="W1282" t="str">
        <f>"048314-004796-**-**"</f>
        <v>048314-004796-**-**</v>
      </c>
      <c r="X1282" t="s">
        <v>838</v>
      </c>
      <c r="Y1282">
        <v>1254.5</v>
      </c>
      <c r="Z1282">
        <v>1254.5</v>
      </c>
      <c r="AA1282" t="str">
        <f t="shared" si="359"/>
        <v>06/08/2016</v>
      </c>
    </row>
    <row r="1283" spans="1:27" x14ac:dyDescent="0.3">
      <c r="A1283" t="str">
        <f t="shared" si="360"/>
        <v>048314</v>
      </c>
      <c r="B1283" t="str">
        <f t="shared" si="354"/>
        <v>004796</v>
      </c>
      <c r="C1283" t="s">
        <v>1742</v>
      </c>
      <c r="D1283" t="s">
        <v>3839</v>
      </c>
      <c r="E1283" t="s">
        <v>3840</v>
      </c>
      <c r="F1283" t="s">
        <v>3841</v>
      </c>
      <c r="G1283" t="s">
        <v>3842</v>
      </c>
      <c r="H1283" t="str">
        <f t="shared" si="358"/>
        <v>048314</v>
      </c>
      <c r="I1283" t="s">
        <v>833</v>
      </c>
      <c r="J1283" t="str">
        <f t="shared" si="357"/>
        <v>2015-07-01 00:00:00.0</v>
      </c>
      <c r="K1283" t="s">
        <v>834</v>
      </c>
      <c r="L1283" t="s">
        <v>0</v>
      </c>
      <c r="M1283" t="str">
        <f t="shared" si="349"/>
        <v>048314</v>
      </c>
      <c r="N1283">
        <v>1</v>
      </c>
      <c r="O1283">
        <v>1</v>
      </c>
      <c r="P1283" t="str">
        <f>"12"</f>
        <v>12</v>
      </c>
      <c r="Q1283" t="s">
        <v>835</v>
      </c>
      <c r="S1283" t="s">
        <v>836</v>
      </c>
      <c r="T1283" t="s">
        <v>836</v>
      </c>
      <c r="U1283" t="str">
        <f t="shared" si="344"/>
        <v>2500-12-31 00:00:00.0</v>
      </c>
      <c r="V1283" t="s">
        <v>837</v>
      </c>
      <c r="W1283" t="str">
        <f>"048314-004796-12-SE"</f>
        <v>048314-004796-12-SE</v>
      </c>
      <c r="X1283" t="s">
        <v>838</v>
      </c>
      <c r="Y1283">
        <v>1254.5</v>
      </c>
      <c r="Z1283">
        <v>1254.5</v>
      </c>
      <c r="AA1283" t="str">
        <f t="shared" si="359"/>
        <v>06/08/2016</v>
      </c>
    </row>
    <row r="1284" spans="1:27" x14ac:dyDescent="0.3">
      <c r="A1284" t="str">
        <f t="shared" si="360"/>
        <v>048314</v>
      </c>
      <c r="B1284" t="str">
        <f t="shared" si="354"/>
        <v>004796</v>
      </c>
      <c r="C1284" t="s">
        <v>1619</v>
      </c>
      <c r="D1284" t="s">
        <v>3839</v>
      </c>
      <c r="E1284" t="s">
        <v>3840</v>
      </c>
      <c r="F1284" t="s">
        <v>3841</v>
      </c>
      <c r="G1284" t="s">
        <v>3842</v>
      </c>
      <c r="H1284" t="str">
        <f t="shared" si="358"/>
        <v>048314</v>
      </c>
      <c r="I1284" t="s">
        <v>833</v>
      </c>
      <c r="J1284" t="str">
        <f t="shared" si="357"/>
        <v>2015-07-01 00:00:00.0</v>
      </c>
      <c r="K1284" t="s">
        <v>834</v>
      </c>
      <c r="L1284" t="s">
        <v>0</v>
      </c>
      <c r="M1284" t="str">
        <f t="shared" si="349"/>
        <v>048314</v>
      </c>
      <c r="N1284">
        <v>1</v>
      </c>
      <c r="O1284">
        <v>1</v>
      </c>
      <c r="P1284" t="str">
        <f>"10"</f>
        <v>10</v>
      </c>
      <c r="Q1284" t="s">
        <v>835</v>
      </c>
      <c r="S1284" t="s">
        <v>836</v>
      </c>
      <c r="T1284" t="s">
        <v>836</v>
      </c>
      <c r="U1284" t="str">
        <f t="shared" si="344"/>
        <v>2500-12-31 00:00:00.0</v>
      </c>
      <c r="V1284" t="s">
        <v>837</v>
      </c>
      <c r="W1284" t="str">
        <f>"048314-004796-**-**"</f>
        <v>048314-004796-**-**</v>
      </c>
      <c r="X1284" t="s">
        <v>838</v>
      </c>
      <c r="Y1284">
        <v>1254.5</v>
      </c>
      <c r="Z1284">
        <v>1254.5</v>
      </c>
      <c r="AA1284" t="str">
        <f t="shared" si="359"/>
        <v>06/08/2016</v>
      </c>
    </row>
    <row r="1285" spans="1:27" x14ac:dyDescent="0.3">
      <c r="A1285" t="str">
        <f t="shared" si="360"/>
        <v>048314</v>
      </c>
      <c r="B1285" t="str">
        <f t="shared" si="354"/>
        <v>004796</v>
      </c>
      <c r="C1285" t="s">
        <v>2040</v>
      </c>
      <c r="D1285" t="s">
        <v>3839</v>
      </c>
      <c r="E1285" t="s">
        <v>3840</v>
      </c>
      <c r="F1285" t="s">
        <v>3841</v>
      </c>
      <c r="G1285" t="s">
        <v>3842</v>
      </c>
      <c r="H1285" t="str">
        <f t="shared" si="358"/>
        <v>048314</v>
      </c>
      <c r="I1285" t="s">
        <v>833</v>
      </c>
      <c r="J1285" t="str">
        <f t="shared" si="357"/>
        <v>2015-07-01 00:00:00.0</v>
      </c>
      <c r="K1285" t="s">
        <v>834</v>
      </c>
      <c r="L1285" t="s">
        <v>0</v>
      </c>
      <c r="M1285" t="str">
        <f t="shared" si="349"/>
        <v>048314</v>
      </c>
      <c r="N1285">
        <v>1</v>
      </c>
      <c r="O1285">
        <v>1</v>
      </c>
      <c r="P1285" t="str">
        <f>"10"</f>
        <v>10</v>
      </c>
      <c r="Q1285" t="s">
        <v>835</v>
      </c>
      <c r="S1285" t="s">
        <v>836</v>
      </c>
      <c r="T1285" t="s">
        <v>836</v>
      </c>
      <c r="U1285" t="str">
        <f t="shared" si="344"/>
        <v>2500-12-31 00:00:00.0</v>
      </c>
      <c r="V1285" t="s">
        <v>837</v>
      </c>
      <c r="W1285" t="str">
        <f>"048314-004796-**-**"</f>
        <v>048314-004796-**-**</v>
      </c>
      <c r="X1285" t="s">
        <v>838</v>
      </c>
      <c r="Y1285">
        <v>1254.5</v>
      </c>
      <c r="Z1285">
        <v>1254.5</v>
      </c>
      <c r="AA1285" t="str">
        <f t="shared" si="359"/>
        <v>06/08/2016</v>
      </c>
    </row>
    <row r="1286" spans="1:27" x14ac:dyDescent="0.3">
      <c r="A1286" t="str">
        <f t="shared" si="360"/>
        <v>048314</v>
      </c>
      <c r="B1286" t="str">
        <f t="shared" si="354"/>
        <v>004796</v>
      </c>
      <c r="C1286" t="s">
        <v>1232</v>
      </c>
      <c r="D1286" t="s">
        <v>3839</v>
      </c>
      <c r="E1286" t="s">
        <v>3840</v>
      </c>
      <c r="F1286" t="s">
        <v>3841</v>
      </c>
      <c r="G1286" t="s">
        <v>3842</v>
      </c>
      <c r="H1286" t="str">
        <f>"051243"</f>
        <v>051243</v>
      </c>
      <c r="I1286" t="s">
        <v>833</v>
      </c>
      <c r="J1286" t="str">
        <f t="shared" si="357"/>
        <v>2015-07-01 00:00:00.0</v>
      </c>
      <c r="K1286" t="s">
        <v>834</v>
      </c>
      <c r="L1286" t="s">
        <v>0</v>
      </c>
      <c r="M1286" t="str">
        <f t="shared" si="349"/>
        <v>048314</v>
      </c>
      <c r="N1286">
        <v>1</v>
      </c>
      <c r="O1286">
        <v>1</v>
      </c>
      <c r="P1286" t="str">
        <f>"12"</f>
        <v>12</v>
      </c>
      <c r="Q1286" t="s">
        <v>835</v>
      </c>
      <c r="S1286" t="s">
        <v>836</v>
      </c>
      <c r="T1286" t="s">
        <v>836</v>
      </c>
      <c r="U1286" t="str">
        <f t="shared" si="344"/>
        <v>2500-12-31 00:00:00.0</v>
      </c>
      <c r="V1286" t="s">
        <v>886</v>
      </c>
      <c r="W1286" t="str">
        <f>"051243-051250-12-SE"</f>
        <v>051243-051250-12-SE</v>
      </c>
      <c r="X1286" t="s">
        <v>838</v>
      </c>
      <c r="Y1286">
        <v>1105</v>
      </c>
      <c r="Z1286">
        <v>1105</v>
      </c>
      <c r="AA1286" t="str">
        <f>"05/21/2016"</f>
        <v>05/21/2016</v>
      </c>
    </row>
    <row r="1287" spans="1:27" x14ac:dyDescent="0.3">
      <c r="A1287" t="str">
        <f t="shared" si="360"/>
        <v>048314</v>
      </c>
      <c r="B1287" t="str">
        <f t="shared" si="354"/>
        <v>004796</v>
      </c>
      <c r="C1287" t="s">
        <v>1620</v>
      </c>
      <c r="D1287" t="s">
        <v>3839</v>
      </c>
      <c r="E1287" t="s">
        <v>3840</v>
      </c>
      <c r="F1287" t="s">
        <v>3841</v>
      </c>
      <c r="G1287" t="s">
        <v>3842</v>
      </c>
      <c r="H1287" t="str">
        <f>"048314"</f>
        <v>048314</v>
      </c>
      <c r="I1287" t="s">
        <v>833</v>
      </c>
      <c r="J1287" t="str">
        <f t="shared" si="357"/>
        <v>2015-07-01 00:00:00.0</v>
      </c>
      <c r="K1287" t="s">
        <v>834</v>
      </c>
      <c r="L1287" t="s">
        <v>0</v>
      </c>
      <c r="M1287" t="str">
        <f t="shared" si="349"/>
        <v>048314</v>
      </c>
      <c r="N1287">
        <v>1</v>
      </c>
      <c r="O1287">
        <v>1</v>
      </c>
      <c r="P1287" t="str">
        <f>"10"</f>
        <v>10</v>
      </c>
      <c r="Q1287" t="s">
        <v>835</v>
      </c>
      <c r="S1287" t="s">
        <v>836</v>
      </c>
      <c r="T1287" t="s">
        <v>836</v>
      </c>
      <c r="U1287" t="str">
        <f t="shared" si="344"/>
        <v>2500-12-31 00:00:00.0</v>
      </c>
      <c r="V1287" t="s">
        <v>837</v>
      </c>
      <c r="W1287" t="str">
        <f>"048314-004796-**-**"</f>
        <v>048314-004796-**-**</v>
      </c>
      <c r="X1287" t="s">
        <v>838</v>
      </c>
      <c r="Y1287">
        <v>1254.5</v>
      </c>
      <c r="Z1287">
        <v>1254.5</v>
      </c>
      <c r="AA1287" t="str">
        <f>"06/08/2016"</f>
        <v>06/08/2016</v>
      </c>
    </row>
    <row r="1288" spans="1:27" x14ac:dyDescent="0.3">
      <c r="A1288" t="str">
        <f t="shared" si="360"/>
        <v>048314</v>
      </c>
      <c r="B1288" t="str">
        <f t="shared" si="354"/>
        <v>004796</v>
      </c>
      <c r="C1288" t="s">
        <v>1743</v>
      </c>
      <c r="D1288" t="s">
        <v>3839</v>
      </c>
      <c r="E1288" t="s">
        <v>3840</v>
      </c>
      <c r="F1288" t="s">
        <v>3841</v>
      </c>
      <c r="G1288" t="s">
        <v>3842</v>
      </c>
      <c r="H1288" t="str">
        <f>"048314"</f>
        <v>048314</v>
      </c>
      <c r="I1288" t="s">
        <v>833</v>
      </c>
      <c r="J1288" t="str">
        <f t="shared" si="357"/>
        <v>2015-07-01 00:00:00.0</v>
      </c>
      <c r="K1288" t="s">
        <v>834</v>
      </c>
      <c r="L1288" t="s">
        <v>0</v>
      </c>
      <c r="M1288" t="str">
        <f t="shared" si="349"/>
        <v>048314</v>
      </c>
      <c r="N1288">
        <v>1</v>
      </c>
      <c r="O1288">
        <v>1</v>
      </c>
      <c r="P1288" t="str">
        <f>"12"</f>
        <v>12</v>
      </c>
      <c r="Q1288" t="s">
        <v>835</v>
      </c>
      <c r="S1288" t="s">
        <v>836</v>
      </c>
      <c r="T1288" t="s">
        <v>836</v>
      </c>
      <c r="U1288" t="str">
        <f t="shared" si="344"/>
        <v>2500-12-31 00:00:00.0</v>
      </c>
      <c r="V1288" t="s">
        <v>837</v>
      </c>
      <c r="W1288" t="str">
        <f>"048314-004796-12-SE"</f>
        <v>048314-004796-12-SE</v>
      </c>
      <c r="X1288" t="s">
        <v>838</v>
      </c>
      <c r="Y1288">
        <v>1254.5</v>
      </c>
      <c r="Z1288">
        <v>1254.5</v>
      </c>
      <c r="AA1288" t="str">
        <f>"06/08/2016"</f>
        <v>06/08/2016</v>
      </c>
    </row>
    <row r="1289" spans="1:27" x14ac:dyDescent="0.3">
      <c r="A1289" t="str">
        <f t="shared" si="360"/>
        <v>048314</v>
      </c>
      <c r="B1289" t="str">
        <f t="shared" si="354"/>
        <v>004796</v>
      </c>
      <c r="C1289" t="s">
        <v>1744</v>
      </c>
      <c r="D1289" t="s">
        <v>3839</v>
      </c>
      <c r="E1289" t="s">
        <v>3840</v>
      </c>
      <c r="F1289" t="s">
        <v>3841</v>
      </c>
      <c r="G1289" t="s">
        <v>3842</v>
      </c>
      <c r="H1289" t="str">
        <f>"048314"</f>
        <v>048314</v>
      </c>
      <c r="I1289" t="s">
        <v>833</v>
      </c>
      <c r="J1289" t="str">
        <f t="shared" si="357"/>
        <v>2015-07-01 00:00:00.0</v>
      </c>
      <c r="K1289" t="s">
        <v>834</v>
      </c>
      <c r="L1289" t="s">
        <v>0</v>
      </c>
      <c r="M1289" t="str">
        <f t="shared" si="349"/>
        <v>048314</v>
      </c>
      <c r="N1289">
        <v>1</v>
      </c>
      <c r="O1289">
        <v>1</v>
      </c>
      <c r="P1289" t="str">
        <f>"11"</f>
        <v>11</v>
      </c>
      <c r="Q1289" t="s">
        <v>835</v>
      </c>
      <c r="S1289" t="s">
        <v>836</v>
      </c>
      <c r="T1289" t="s">
        <v>836</v>
      </c>
      <c r="U1289" t="str">
        <f t="shared" ref="U1289:U1309" si="361">"2500-12-31 00:00:00.0"</f>
        <v>2500-12-31 00:00:00.0</v>
      </c>
      <c r="V1289" t="s">
        <v>837</v>
      </c>
      <c r="W1289" t="str">
        <f>"048314-004796-**-**"</f>
        <v>048314-004796-**-**</v>
      </c>
      <c r="X1289" t="s">
        <v>838</v>
      </c>
      <c r="Y1289">
        <v>1254.5</v>
      </c>
      <c r="Z1289">
        <v>1254.5</v>
      </c>
      <c r="AA1289" t="str">
        <f>"06/08/2016"</f>
        <v>06/08/2016</v>
      </c>
    </row>
    <row r="1290" spans="1:27" x14ac:dyDescent="0.3">
      <c r="A1290" t="str">
        <f t="shared" si="360"/>
        <v>048314</v>
      </c>
      <c r="B1290" t="str">
        <f t="shared" si="354"/>
        <v>004796</v>
      </c>
      <c r="C1290" t="s">
        <v>1502</v>
      </c>
      <c r="D1290" t="s">
        <v>3839</v>
      </c>
      <c r="E1290" t="s">
        <v>3840</v>
      </c>
      <c r="F1290" t="s">
        <v>3841</v>
      </c>
      <c r="G1290" t="s">
        <v>3842</v>
      </c>
      <c r="H1290" t="str">
        <f>"048314"</f>
        <v>048314</v>
      </c>
      <c r="I1290" t="s">
        <v>833</v>
      </c>
      <c r="J1290" t="str">
        <f t="shared" si="357"/>
        <v>2015-07-01 00:00:00.0</v>
      </c>
      <c r="K1290" t="s">
        <v>834</v>
      </c>
      <c r="L1290" t="s">
        <v>0</v>
      </c>
      <c r="M1290" t="str">
        <f t="shared" si="349"/>
        <v>048314</v>
      </c>
      <c r="N1290">
        <v>1</v>
      </c>
      <c r="O1290">
        <v>1</v>
      </c>
      <c r="P1290" t="str">
        <f>"10"</f>
        <v>10</v>
      </c>
      <c r="Q1290" t="s">
        <v>835</v>
      </c>
      <c r="S1290" t="s">
        <v>836</v>
      </c>
      <c r="T1290" t="s">
        <v>836</v>
      </c>
      <c r="U1290" t="str">
        <f t="shared" si="361"/>
        <v>2500-12-31 00:00:00.0</v>
      </c>
      <c r="V1290" t="s">
        <v>837</v>
      </c>
      <c r="W1290" t="str">
        <f>"048314-004796-**-**"</f>
        <v>048314-004796-**-**</v>
      </c>
      <c r="X1290" t="s">
        <v>838</v>
      </c>
      <c r="Y1290">
        <v>1254.5</v>
      </c>
      <c r="Z1290">
        <v>1254.5</v>
      </c>
      <c r="AA1290" t="str">
        <f>"06/08/2016"</f>
        <v>06/08/2016</v>
      </c>
    </row>
    <row r="1291" spans="1:27" x14ac:dyDescent="0.3">
      <c r="A1291" t="str">
        <f t="shared" si="360"/>
        <v>048314</v>
      </c>
      <c r="B1291" t="str">
        <f t="shared" si="354"/>
        <v>004796</v>
      </c>
      <c r="C1291" t="s">
        <v>906</v>
      </c>
      <c r="D1291" t="s">
        <v>3839</v>
      </c>
      <c r="E1291" t="s">
        <v>3840</v>
      </c>
      <c r="F1291" t="s">
        <v>3841</v>
      </c>
      <c r="G1291" t="s">
        <v>3842</v>
      </c>
      <c r="H1291" t="str">
        <f>"000236"</f>
        <v>000236</v>
      </c>
      <c r="I1291" t="s">
        <v>833</v>
      </c>
      <c r="J1291" t="str">
        <f>"2015-08-31 00:00:00.0"</f>
        <v>2015-08-31 00:00:00.0</v>
      </c>
      <c r="K1291" t="s">
        <v>834</v>
      </c>
      <c r="L1291" t="s">
        <v>2</v>
      </c>
      <c r="M1291" t="str">
        <f t="shared" si="349"/>
        <v>048314</v>
      </c>
      <c r="N1291">
        <v>1</v>
      </c>
      <c r="O1291">
        <v>1</v>
      </c>
      <c r="P1291" t="str">
        <f>"12"</f>
        <v>12</v>
      </c>
      <c r="Q1291" t="s">
        <v>835</v>
      </c>
      <c r="S1291" t="s">
        <v>836</v>
      </c>
      <c r="T1291" t="s">
        <v>836</v>
      </c>
      <c r="U1291" t="str">
        <f t="shared" si="361"/>
        <v>2500-12-31 00:00:00.0</v>
      </c>
      <c r="V1291" t="s">
        <v>837</v>
      </c>
      <c r="W1291" t="str">
        <f>"000236-000236-**-**"</f>
        <v>000236-000236-**-**</v>
      </c>
      <c r="X1291" t="s">
        <v>865</v>
      </c>
      <c r="Y1291">
        <v>962.5</v>
      </c>
      <c r="Z1291">
        <v>962.5</v>
      </c>
      <c r="AA1291" t="str">
        <f>"05/21/2016"</f>
        <v>05/21/2016</v>
      </c>
    </row>
    <row r="1292" spans="1:27" x14ac:dyDescent="0.3">
      <c r="A1292" t="str">
        <f t="shared" si="360"/>
        <v>048314</v>
      </c>
      <c r="B1292" t="str">
        <f t="shared" si="354"/>
        <v>004796</v>
      </c>
      <c r="C1292" t="s">
        <v>3492</v>
      </c>
      <c r="D1292" t="s">
        <v>3839</v>
      </c>
      <c r="E1292" t="s">
        <v>3840</v>
      </c>
      <c r="F1292" t="s">
        <v>3841</v>
      </c>
      <c r="G1292" t="s">
        <v>3842</v>
      </c>
      <c r="H1292" t="str">
        <f>"048314"</f>
        <v>048314</v>
      </c>
      <c r="I1292" t="s">
        <v>833</v>
      </c>
      <c r="J1292" t="str">
        <f>"2015-07-01 00:00:00.0"</f>
        <v>2015-07-01 00:00:00.0</v>
      </c>
      <c r="K1292" t="s">
        <v>834</v>
      </c>
      <c r="L1292" t="s">
        <v>0</v>
      </c>
      <c r="M1292" t="str">
        <f t="shared" si="349"/>
        <v>048314</v>
      </c>
      <c r="N1292">
        <v>1</v>
      </c>
      <c r="O1292">
        <v>1</v>
      </c>
      <c r="P1292" t="str">
        <f>"10"</f>
        <v>10</v>
      </c>
      <c r="Q1292" t="s">
        <v>835</v>
      </c>
      <c r="S1292" t="s">
        <v>836</v>
      </c>
      <c r="T1292" t="s">
        <v>836</v>
      </c>
      <c r="U1292" t="str">
        <f t="shared" si="361"/>
        <v>2500-12-31 00:00:00.0</v>
      </c>
      <c r="V1292" t="s">
        <v>837</v>
      </c>
      <c r="W1292" t="str">
        <f>"048314-004796-**-**"</f>
        <v>048314-004796-**-**</v>
      </c>
      <c r="X1292" t="s">
        <v>838</v>
      </c>
      <c r="Y1292">
        <v>1254.5</v>
      </c>
      <c r="Z1292">
        <v>1254.5</v>
      </c>
      <c r="AA1292" t="str">
        <f>"06/08/2016"</f>
        <v>06/08/2016</v>
      </c>
    </row>
    <row r="1293" spans="1:27" x14ac:dyDescent="0.3">
      <c r="A1293" t="str">
        <f t="shared" si="360"/>
        <v>048314</v>
      </c>
      <c r="B1293" t="str">
        <f t="shared" si="354"/>
        <v>004796</v>
      </c>
      <c r="C1293" t="s">
        <v>3114</v>
      </c>
      <c r="D1293" t="s">
        <v>3839</v>
      </c>
      <c r="E1293" t="s">
        <v>3840</v>
      </c>
      <c r="F1293" t="s">
        <v>3841</v>
      </c>
      <c r="G1293" t="s">
        <v>3842</v>
      </c>
      <c r="H1293" t="str">
        <f>"048314"</f>
        <v>048314</v>
      </c>
      <c r="I1293" t="s">
        <v>833</v>
      </c>
      <c r="J1293" t="str">
        <f>"2015-07-01 00:00:00.0"</f>
        <v>2015-07-01 00:00:00.0</v>
      </c>
      <c r="K1293" t="s">
        <v>834</v>
      </c>
      <c r="L1293" t="s">
        <v>0</v>
      </c>
      <c r="M1293" t="str">
        <f t="shared" si="349"/>
        <v>048314</v>
      </c>
      <c r="N1293">
        <v>1</v>
      </c>
      <c r="O1293">
        <v>1</v>
      </c>
      <c r="P1293" t="str">
        <f>"11"</f>
        <v>11</v>
      </c>
      <c r="Q1293" t="s">
        <v>835</v>
      </c>
      <c r="S1293" t="s">
        <v>836</v>
      </c>
      <c r="T1293" t="s">
        <v>836</v>
      </c>
      <c r="U1293" t="str">
        <f t="shared" si="361"/>
        <v>2500-12-31 00:00:00.0</v>
      </c>
      <c r="V1293" t="s">
        <v>837</v>
      </c>
      <c r="W1293" t="str">
        <f>"048314-004796-**-**"</f>
        <v>048314-004796-**-**</v>
      </c>
      <c r="X1293" t="s">
        <v>838</v>
      </c>
      <c r="Y1293">
        <v>1254.5</v>
      </c>
      <c r="Z1293">
        <v>1254.5</v>
      </c>
      <c r="AA1293" t="str">
        <f>"06/08/2016"</f>
        <v>06/08/2016</v>
      </c>
    </row>
    <row r="1294" spans="1:27" x14ac:dyDescent="0.3">
      <c r="A1294" t="str">
        <f t="shared" si="360"/>
        <v>048314</v>
      </c>
      <c r="B1294" t="str">
        <f t="shared" si="354"/>
        <v>004796</v>
      </c>
      <c r="C1294" t="s">
        <v>3141</v>
      </c>
      <c r="D1294" t="s">
        <v>3839</v>
      </c>
      <c r="E1294" t="s">
        <v>3840</v>
      </c>
      <c r="F1294" t="s">
        <v>3841</v>
      </c>
      <c r="G1294" t="s">
        <v>3842</v>
      </c>
      <c r="H1294" t="str">
        <f>"048314"</f>
        <v>048314</v>
      </c>
      <c r="I1294" t="s">
        <v>833</v>
      </c>
      <c r="J1294" t="str">
        <f>"2015-07-01 00:00:00.0"</f>
        <v>2015-07-01 00:00:00.0</v>
      </c>
      <c r="K1294" t="s">
        <v>834</v>
      </c>
      <c r="L1294" t="s">
        <v>0</v>
      </c>
      <c r="M1294" t="str">
        <f t="shared" si="349"/>
        <v>048314</v>
      </c>
      <c r="N1294">
        <v>1</v>
      </c>
      <c r="O1294">
        <v>1</v>
      </c>
      <c r="P1294" t="str">
        <f>"11"</f>
        <v>11</v>
      </c>
      <c r="Q1294" t="s">
        <v>835</v>
      </c>
      <c r="S1294" t="s">
        <v>836</v>
      </c>
      <c r="T1294" t="s">
        <v>836</v>
      </c>
      <c r="U1294" t="str">
        <f t="shared" si="361"/>
        <v>2500-12-31 00:00:00.0</v>
      </c>
      <c r="V1294" t="s">
        <v>837</v>
      </c>
      <c r="W1294" t="str">
        <f>"048314-004796-**-**"</f>
        <v>048314-004796-**-**</v>
      </c>
      <c r="X1294" t="s">
        <v>838</v>
      </c>
      <c r="Y1294">
        <v>1254.5</v>
      </c>
      <c r="Z1294">
        <v>1254.5</v>
      </c>
      <c r="AA1294" t="str">
        <f>"06/08/2016"</f>
        <v>06/08/2016</v>
      </c>
    </row>
    <row r="1295" spans="1:27" x14ac:dyDescent="0.3">
      <c r="A1295" t="str">
        <f t="shared" si="360"/>
        <v>048314</v>
      </c>
      <c r="B1295" t="str">
        <f t="shared" si="354"/>
        <v>004796</v>
      </c>
      <c r="C1295" t="s">
        <v>1686</v>
      </c>
      <c r="D1295" t="s">
        <v>3839</v>
      </c>
      <c r="E1295" t="s">
        <v>3840</v>
      </c>
      <c r="F1295" t="s">
        <v>3841</v>
      </c>
      <c r="G1295" t="s">
        <v>3842</v>
      </c>
      <c r="H1295" t="str">
        <f>"048314"</f>
        <v>048314</v>
      </c>
      <c r="I1295" t="s">
        <v>833</v>
      </c>
      <c r="J1295" t="str">
        <f>"2015-07-01 00:00:00.0"</f>
        <v>2015-07-01 00:00:00.0</v>
      </c>
      <c r="K1295" t="s">
        <v>834</v>
      </c>
      <c r="L1295" t="s">
        <v>0</v>
      </c>
      <c r="M1295" t="str">
        <f t="shared" si="349"/>
        <v>048314</v>
      </c>
      <c r="N1295">
        <v>1</v>
      </c>
      <c r="O1295">
        <v>1</v>
      </c>
      <c r="P1295" t="str">
        <f>"10"</f>
        <v>10</v>
      </c>
      <c r="Q1295" t="s">
        <v>835</v>
      </c>
      <c r="S1295" t="s">
        <v>836</v>
      </c>
      <c r="T1295" t="s">
        <v>836</v>
      </c>
      <c r="U1295" t="str">
        <f t="shared" si="361"/>
        <v>2500-12-31 00:00:00.0</v>
      </c>
      <c r="V1295" t="s">
        <v>837</v>
      </c>
      <c r="W1295" t="str">
        <f>"048314-004796-**-**"</f>
        <v>048314-004796-**-**</v>
      </c>
      <c r="X1295" t="s">
        <v>838</v>
      </c>
      <c r="Y1295">
        <v>1254.5</v>
      </c>
      <c r="Z1295">
        <v>1254.5</v>
      </c>
      <c r="AA1295" t="str">
        <f>"06/08/2016"</f>
        <v>06/08/2016</v>
      </c>
    </row>
    <row r="1296" spans="1:27" x14ac:dyDescent="0.3">
      <c r="A1296" t="str">
        <f t="shared" si="360"/>
        <v>048314</v>
      </c>
      <c r="B1296" t="str">
        <f t="shared" si="354"/>
        <v>004796</v>
      </c>
      <c r="C1296" t="s">
        <v>1356</v>
      </c>
      <c r="D1296" t="s">
        <v>3839</v>
      </c>
      <c r="E1296" t="s">
        <v>3840</v>
      </c>
      <c r="F1296" t="s">
        <v>3841</v>
      </c>
      <c r="G1296" t="s">
        <v>3842</v>
      </c>
      <c r="H1296" t="str">
        <f>"048314"</f>
        <v>048314</v>
      </c>
      <c r="I1296" t="s">
        <v>833</v>
      </c>
      <c r="J1296" t="str">
        <f>"2015-07-01 00:00:00.0"</f>
        <v>2015-07-01 00:00:00.0</v>
      </c>
      <c r="K1296" t="s">
        <v>834</v>
      </c>
      <c r="L1296" t="s">
        <v>0</v>
      </c>
      <c r="M1296" t="str">
        <f t="shared" si="349"/>
        <v>048314</v>
      </c>
      <c r="N1296">
        <v>0.53</v>
      </c>
      <c r="O1296">
        <v>0.53</v>
      </c>
      <c r="P1296" t="str">
        <f>"11"</f>
        <v>11</v>
      </c>
      <c r="Q1296" t="s">
        <v>835</v>
      </c>
      <c r="S1296" t="s">
        <v>836</v>
      </c>
      <c r="T1296" t="s">
        <v>836</v>
      </c>
      <c r="U1296" t="str">
        <f t="shared" si="361"/>
        <v>2500-12-31 00:00:00.0</v>
      </c>
      <c r="V1296" t="s">
        <v>837</v>
      </c>
      <c r="W1296" t="str">
        <f>"048314-004796-**-**"</f>
        <v>048314-004796-**-**</v>
      </c>
      <c r="X1296" t="s">
        <v>838</v>
      </c>
      <c r="Y1296">
        <v>664.89</v>
      </c>
      <c r="Z1296">
        <v>1254.5</v>
      </c>
      <c r="AA1296" t="str">
        <f>"06/08/2016"</f>
        <v>06/08/2016</v>
      </c>
    </row>
    <row r="1297" spans="1:27" x14ac:dyDescent="0.3">
      <c r="A1297" t="str">
        <f t="shared" si="360"/>
        <v>048314</v>
      </c>
      <c r="B1297" t="str">
        <f t="shared" si="354"/>
        <v>004796</v>
      </c>
      <c r="C1297" t="s">
        <v>1356</v>
      </c>
      <c r="D1297" t="s">
        <v>3839</v>
      </c>
      <c r="E1297" t="s">
        <v>3840</v>
      </c>
      <c r="F1297" t="s">
        <v>3841</v>
      </c>
      <c r="G1297" t="s">
        <v>3842</v>
      </c>
      <c r="H1297" t="str">
        <f>"051243"</f>
        <v>051243</v>
      </c>
      <c r="I1297" t="s">
        <v>833</v>
      </c>
      <c r="J1297" t="str">
        <f>"2015-08-03 00:00:00.0"</f>
        <v>2015-08-03 00:00:00.0</v>
      </c>
      <c r="K1297" t="s">
        <v>834</v>
      </c>
      <c r="L1297" t="s">
        <v>0</v>
      </c>
      <c r="M1297" t="str">
        <f t="shared" si="349"/>
        <v>048314</v>
      </c>
      <c r="N1297">
        <v>0.47</v>
      </c>
      <c r="O1297">
        <v>0.47</v>
      </c>
      <c r="P1297" t="str">
        <f>"11"</f>
        <v>11</v>
      </c>
      <c r="Q1297" t="s">
        <v>835</v>
      </c>
      <c r="S1297" t="s">
        <v>836</v>
      </c>
      <c r="T1297" t="s">
        <v>836</v>
      </c>
      <c r="U1297" t="str">
        <f t="shared" si="361"/>
        <v>2500-12-31 00:00:00.0</v>
      </c>
      <c r="V1297" t="s">
        <v>886</v>
      </c>
      <c r="W1297" t="str">
        <f>"051243-051250-11-PM"</f>
        <v>051243-051250-11-PM</v>
      </c>
      <c r="X1297" t="s">
        <v>838</v>
      </c>
      <c r="Y1297">
        <v>537.67999999999995</v>
      </c>
      <c r="Z1297">
        <v>1144</v>
      </c>
      <c r="AA1297" t="str">
        <f>"05/21/2016"</f>
        <v>05/21/2016</v>
      </c>
    </row>
    <row r="1298" spans="1:27" x14ac:dyDescent="0.3">
      <c r="A1298" t="str">
        <f t="shared" si="360"/>
        <v>048314</v>
      </c>
      <c r="B1298" t="str">
        <f t="shared" si="354"/>
        <v>004796</v>
      </c>
      <c r="C1298" t="s">
        <v>1621</v>
      </c>
      <c r="D1298" t="s">
        <v>3839</v>
      </c>
      <c r="E1298" t="s">
        <v>3840</v>
      </c>
      <c r="F1298" t="s">
        <v>3841</v>
      </c>
      <c r="G1298" t="s">
        <v>3842</v>
      </c>
      <c r="H1298" t="str">
        <f t="shared" ref="H1298:H1305" si="362">"048314"</f>
        <v>048314</v>
      </c>
      <c r="I1298" t="s">
        <v>833</v>
      </c>
      <c r="J1298" t="str">
        <f t="shared" ref="J1298:J1310" si="363">"2015-07-01 00:00:00.0"</f>
        <v>2015-07-01 00:00:00.0</v>
      </c>
      <c r="K1298" t="s">
        <v>834</v>
      </c>
      <c r="L1298" t="s">
        <v>0</v>
      </c>
      <c r="M1298" t="str">
        <f t="shared" si="349"/>
        <v>048314</v>
      </c>
      <c r="N1298">
        <v>1</v>
      </c>
      <c r="O1298">
        <v>1</v>
      </c>
      <c r="P1298" t="str">
        <f>"10"</f>
        <v>10</v>
      </c>
      <c r="Q1298" t="s">
        <v>835</v>
      </c>
      <c r="S1298" t="s">
        <v>836</v>
      </c>
      <c r="T1298" t="s">
        <v>836</v>
      </c>
      <c r="U1298" t="str">
        <f t="shared" si="361"/>
        <v>2500-12-31 00:00:00.0</v>
      </c>
      <c r="V1298" t="s">
        <v>837</v>
      </c>
      <c r="W1298" t="str">
        <f>"048314-004796-**-**"</f>
        <v>048314-004796-**-**</v>
      </c>
      <c r="X1298" t="s">
        <v>838</v>
      </c>
      <c r="Y1298">
        <v>1254.5</v>
      </c>
      <c r="Z1298">
        <v>1254.5</v>
      </c>
      <c r="AA1298" t="str">
        <f t="shared" ref="AA1298:AA1305" si="364">"06/08/2016"</f>
        <v>06/08/2016</v>
      </c>
    </row>
    <row r="1299" spans="1:27" x14ac:dyDescent="0.3">
      <c r="A1299" t="str">
        <f t="shared" si="360"/>
        <v>048314</v>
      </c>
      <c r="B1299" t="str">
        <f t="shared" si="354"/>
        <v>004796</v>
      </c>
      <c r="C1299" t="s">
        <v>1479</v>
      </c>
      <c r="D1299" t="s">
        <v>3839</v>
      </c>
      <c r="E1299" t="s">
        <v>3840</v>
      </c>
      <c r="F1299" t="s">
        <v>3841</v>
      </c>
      <c r="G1299" t="s">
        <v>3842</v>
      </c>
      <c r="H1299" t="str">
        <f t="shared" si="362"/>
        <v>048314</v>
      </c>
      <c r="I1299" t="s">
        <v>833</v>
      </c>
      <c r="J1299" t="str">
        <f t="shared" si="363"/>
        <v>2015-07-01 00:00:00.0</v>
      </c>
      <c r="K1299" t="s">
        <v>834</v>
      </c>
      <c r="L1299" t="s">
        <v>0</v>
      </c>
      <c r="M1299" t="str">
        <f t="shared" si="349"/>
        <v>048314</v>
      </c>
      <c r="N1299">
        <v>1</v>
      </c>
      <c r="O1299">
        <v>1</v>
      </c>
      <c r="P1299" t="str">
        <f>"10"</f>
        <v>10</v>
      </c>
      <c r="Q1299" t="s">
        <v>835</v>
      </c>
      <c r="S1299" t="s">
        <v>836</v>
      </c>
      <c r="T1299" t="s">
        <v>836</v>
      </c>
      <c r="U1299" t="str">
        <f t="shared" si="361"/>
        <v>2500-12-31 00:00:00.0</v>
      </c>
      <c r="V1299" t="s">
        <v>837</v>
      </c>
      <c r="W1299" t="str">
        <f>"048314-004796-**-**"</f>
        <v>048314-004796-**-**</v>
      </c>
      <c r="X1299" t="s">
        <v>838</v>
      </c>
      <c r="Y1299">
        <v>1254.5</v>
      </c>
      <c r="Z1299">
        <v>1254.5</v>
      </c>
      <c r="AA1299" t="str">
        <f t="shared" si="364"/>
        <v>06/08/2016</v>
      </c>
    </row>
    <row r="1300" spans="1:27" x14ac:dyDescent="0.3">
      <c r="A1300" t="str">
        <f t="shared" si="360"/>
        <v>048314</v>
      </c>
      <c r="B1300" t="str">
        <f t="shared" si="354"/>
        <v>004796</v>
      </c>
      <c r="C1300" t="s">
        <v>2041</v>
      </c>
      <c r="D1300" t="s">
        <v>3839</v>
      </c>
      <c r="E1300" t="s">
        <v>3840</v>
      </c>
      <c r="F1300" t="s">
        <v>3841</v>
      </c>
      <c r="G1300" t="s">
        <v>3842</v>
      </c>
      <c r="H1300" t="str">
        <f t="shared" si="362"/>
        <v>048314</v>
      </c>
      <c r="I1300" t="s">
        <v>833</v>
      </c>
      <c r="J1300" t="str">
        <f t="shared" si="363"/>
        <v>2015-07-01 00:00:00.0</v>
      </c>
      <c r="K1300" t="s">
        <v>834</v>
      </c>
      <c r="L1300" t="s">
        <v>0</v>
      </c>
      <c r="M1300" t="str">
        <f t="shared" si="349"/>
        <v>048314</v>
      </c>
      <c r="N1300">
        <v>1</v>
      </c>
      <c r="O1300">
        <v>1</v>
      </c>
      <c r="P1300" t="str">
        <f>"10"</f>
        <v>10</v>
      </c>
      <c r="Q1300" t="s">
        <v>835</v>
      </c>
      <c r="S1300" t="s">
        <v>836</v>
      </c>
      <c r="T1300" t="s">
        <v>836</v>
      </c>
      <c r="U1300" t="str">
        <f t="shared" si="361"/>
        <v>2500-12-31 00:00:00.0</v>
      </c>
      <c r="V1300" t="s">
        <v>837</v>
      </c>
      <c r="W1300" t="str">
        <f>"048314-004796-**-**"</f>
        <v>048314-004796-**-**</v>
      </c>
      <c r="X1300" t="s">
        <v>838</v>
      </c>
      <c r="Y1300">
        <v>1254.5</v>
      </c>
      <c r="Z1300">
        <v>1254.5</v>
      </c>
      <c r="AA1300" t="str">
        <f t="shared" si="364"/>
        <v>06/08/2016</v>
      </c>
    </row>
    <row r="1301" spans="1:27" x14ac:dyDescent="0.3">
      <c r="A1301" t="str">
        <f t="shared" si="360"/>
        <v>048314</v>
      </c>
      <c r="B1301" t="str">
        <f t="shared" si="354"/>
        <v>004796</v>
      </c>
      <c r="C1301" t="s">
        <v>1240</v>
      </c>
      <c r="D1301" t="s">
        <v>3839</v>
      </c>
      <c r="E1301" t="s">
        <v>3840</v>
      </c>
      <c r="F1301" t="s">
        <v>3841</v>
      </c>
      <c r="G1301" t="s">
        <v>3842</v>
      </c>
      <c r="H1301" t="str">
        <f t="shared" si="362"/>
        <v>048314</v>
      </c>
      <c r="I1301" t="s">
        <v>833</v>
      </c>
      <c r="J1301" t="str">
        <f t="shared" si="363"/>
        <v>2015-07-01 00:00:00.0</v>
      </c>
      <c r="K1301" t="s">
        <v>834</v>
      </c>
      <c r="L1301" t="s">
        <v>0</v>
      </c>
      <c r="M1301" t="str">
        <f t="shared" si="349"/>
        <v>048314</v>
      </c>
      <c r="N1301">
        <v>1</v>
      </c>
      <c r="O1301">
        <v>1</v>
      </c>
      <c r="P1301" t="str">
        <f>"12"</f>
        <v>12</v>
      </c>
      <c r="Q1301" t="str">
        <f>"10"</f>
        <v>10</v>
      </c>
      <c r="R1301" t="str">
        <f>"2"</f>
        <v>2</v>
      </c>
      <c r="S1301" t="s">
        <v>836</v>
      </c>
      <c r="T1301" t="s">
        <v>836</v>
      </c>
      <c r="U1301" t="str">
        <f t="shared" si="361"/>
        <v>2500-12-31 00:00:00.0</v>
      </c>
      <c r="V1301" t="s">
        <v>837</v>
      </c>
      <c r="W1301" t="str">
        <f>"048314-004796-12-SE"</f>
        <v>048314-004796-12-SE</v>
      </c>
      <c r="X1301" t="s">
        <v>838</v>
      </c>
      <c r="Y1301">
        <v>1254.5</v>
      </c>
      <c r="Z1301">
        <v>1254.5</v>
      </c>
      <c r="AA1301" t="str">
        <f t="shared" si="364"/>
        <v>06/08/2016</v>
      </c>
    </row>
    <row r="1302" spans="1:27" x14ac:dyDescent="0.3">
      <c r="A1302" t="str">
        <f t="shared" si="360"/>
        <v>048314</v>
      </c>
      <c r="B1302" t="str">
        <f t="shared" si="354"/>
        <v>004796</v>
      </c>
      <c r="C1302" t="s">
        <v>1206</v>
      </c>
      <c r="D1302" t="s">
        <v>3839</v>
      </c>
      <c r="E1302" t="s">
        <v>3840</v>
      </c>
      <c r="F1302" t="s">
        <v>3841</v>
      </c>
      <c r="G1302" t="s">
        <v>3842</v>
      </c>
      <c r="H1302" t="str">
        <f t="shared" si="362"/>
        <v>048314</v>
      </c>
      <c r="I1302" t="s">
        <v>833</v>
      </c>
      <c r="J1302" t="str">
        <f t="shared" si="363"/>
        <v>2015-07-01 00:00:00.0</v>
      </c>
      <c r="K1302" t="s">
        <v>834</v>
      </c>
      <c r="L1302" t="s">
        <v>0</v>
      </c>
      <c r="M1302" t="str">
        <f t="shared" si="349"/>
        <v>048314</v>
      </c>
      <c r="N1302">
        <v>1</v>
      </c>
      <c r="O1302">
        <v>1</v>
      </c>
      <c r="P1302" t="str">
        <f>"12"</f>
        <v>12</v>
      </c>
      <c r="Q1302" t="s">
        <v>835</v>
      </c>
      <c r="S1302" t="s">
        <v>836</v>
      </c>
      <c r="T1302" t="s">
        <v>836</v>
      </c>
      <c r="U1302" t="str">
        <f t="shared" si="361"/>
        <v>2500-12-31 00:00:00.0</v>
      </c>
      <c r="V1302" t="s">
        <v>837</v>
      </c>
      <c r="W1302" t="str">
        <f>"048314-004796-12-SE"</f>
        <v>048314-004796-12-SE</v>
      </c>
      <c r="X1302" t="s">
        <v>838</v>
      </c>
      <c r="Y1302">
        <v>1254.5</v>
      </c>
      <c r="Z1302">
        <v>1254.5</v>
      </c>
      <c r="AA1302" t="str">
        <f t="shared" si="364"/>
        <v>06/08/2016</v>
      </c>
    </row>
    <row r="1303" spans="1:27" x14ac:dyDescent="0.3">
      <c r="A1303" t="str">
        <f t="shared" si="360"/>
        <v>048314</v>
      </c>
      <c r="B1303" t="str">
        <f t="shared" si="354"/>
        <v>004796</v>
      </c>
      <c r="C1303" t="s">
        <v>2731</v>
      </c>
      <c r="D1303" t="s">
        <v>3839</v>
      </c>
      <c r="E1303" t="s">
        <v>3840</v>
      </c>
      <c r="F1303" t="s">
        <v>3841</v>
      </c>
      <c r="G1303" t="s">
        <v>3842</v>
      </c>
      <c r="H1303" t="str">
        <f t="shared" si="362"/>
        <v>048314</v>
      </c>
      <c r="I1303" t="s">
        <v>833</v>
      </c>
      <c r="J1303" t="str">
        <f t="shared" si="363"/>
        <v>2015-07-01 00:00:00.0</v>
      </c>
      <c r="K1303" t="s">
        <v>834</v>
      </c>
      <c r="L1303" t="s">
        <v>0</v>
      </c>
      <c r="M1303" t="str">
        <f t="shared" si="349"/>
        <v>048314</v>
      </c>
      <c r="N1303">
        <v>1</v>
      </c>
      <c r="O1303">
        <v>1</v>
      </c>
      <c r="P1303" t="str">
        <f>"10"</f>
        <v>10</v>
      </c>
      <c r="Q1303" t="s">
        <v>835</v>
      </c>
      <c r="S1303" t="s">
        <v>836</v>
      </c>
      <c r="T1303" t="s">
        <v>836</v>
      </c>
      <c r="U1303" t="str">
        <f t="shared" si="361"/>
        <v>2500-12-31 00:00:00.0</v>
      </c>
      <c r="V1303" t="s">
        <v>837</v>
      </c>
      <c r="W1303" t="str">
        <f>"048314-004796-**-**"</f>
        <v>048314-004796-**-**</v>
      </c>
      <c r="X1303" t="s">
        <v>838</v>
      </c>
      <c r="Y1303">
        <v>1254.5</v>
      </c>
      <c r="Z1303">
        <v>1254.5</v>
      </c>
      <c r="AA1303" t="str">
        <f t="shared" si="364"/>
        <v>06/08/2016</v>
      </c>
    </row>
    <row r="1304" spans="1:27" x14ac:dyDescent="0.3">
      <c r="A1304" t="str">
        <f t="shared" si="360"/>
        <v>048314</v>
      </c>
      <c r="B1304" t="str">
        <f t="shared" si="354"/>
        <v>004796</v>
      </c>
      <c r="C1304" t="s">
        <v>1687</v>
      </c>
      <c r="D1304" t="s">
        <v>3839</v>
      </c>
      <c r="E1304" t="s">
        <v>3840</v>
      </c>
      <c r="F1304" t="s">
        <v>3841</v>
      </c>
      <c r="G1304" t="s">
        <v>3842</v>
      </c>
      <c r="H1304" t="str">
        <f t="shared" si="362"/>
        <v>048314</v>
      </c>
      <c r="I1304" t="s">
        <v>833</v>
      </c>
      <c r="J1304" t="str">
        <f t="shared" si="363"/>
        <v>2015-07-01 00:00:00.0</v>
      </c>
      <c r="K1304" t="s">
        <v>834</v>
      </c>
      <c r="L1304" t="s">
        <v>0</v>
      </c>
      <c r="M1304" t="str">
        <f t="shared" si="349"/>
        <v>048314</v>
      </c>
      <c r="N1304">
        <v>1</v>
      </c>
      <c r="O1304">
        <v>1</v>
      </c>
      <c r="P1304" t="str">
        <f>"10"</f>
        <v>10</v>
      </c>
      <c r="Q1304" t="s">
        <v>835</v>
      </c>
      <c r="S1304" t="s">
        <v>836</v>
      </c>
      <c r="T1304" t="s">
        <v>836</v>
      </c>
      <c r="U1304" t="str">
        <f t="shared" si="361"/>
        <v>2500-12-31 00:00:00.0</v>
      </c>
      <c r="V1304" t="s">
        <v>837</v>
      </c>
      <c r="W1304" t="str">
        <f>"048314-004796-**-**"</f>
        <v>048314-004796-**-**</v>
      </c>
      <c r="X1304" t="s">
        <v>838</v>
      </c>
      <c r="Y1304">
        <v>1254.5</v>
      </c>
      <c r="Z1304">
        <v>1254.5</v>
      </c>
      <c r="AA1304" t="str">
        <f t="shared" si="364"/>
        <v>06/08/2016</v>
      </c>
    </row>
    <row r="1305" spans="1:27" x14ac:dyDescent="0.3">
      <c r="A1305" t="str">
        <f t="shared" si="360"/>
        <v>048314</v>
      </c>
      <c r="B1305" t="str">
        <f t="shared" si="354"/>
        <v>004796</v>
      </c>
      <c r="C1305" t="s">
        <v>2517</v>
      </c>
      <c r="D1305" t="s">
        <v>3839</v>
      </c>
      <c r="E1305" t="s">
        <v>3840</v>
      </c>
      <c r="F1305" t="s">
        <v>3841</v>
      </c>
      <c r="G1305" t="s">
        <v>3842</v>
      </c>
      <c r="H1305" t="str">
        <f t="shared" si="362"/>
        <v>048314</v>
      </c>
      <c r="I1305" t="s">
        <v>833</v>
      </c>
      <c r="J1305" t="str">
        <f t="shared" si="363"/>
        <v>2015-07-01 00:00:00.0</v>
      </c>
      <c r="K1305" t="s">
        <v>834</v>
      </c>
      <c r="L1305" t="s">
        <v>0</v>
      </c>
      <c r="M1305" t="str">
        <f t="shared" si="349"/>
        <v>048314</v>
      </c>
      <c r="N1305">
        <v>1</v>
      </c>
      <c r="O1305">
        <v>1</v>
      </c>
      <c r="P1305" t="str">
        <f>"10"</f>
        <v>10</v>
      </c>
      <c r="Q1305" t="s">
        <v>835</v>
      </c>
      <c r="S1305" t="s">
        <v>836</v>
      </c>
      <c r="T1305" t="s">
        <v>836</v>
      </c>
      <c r="U1305" t="str">
        <f t="shared" si="361"/>
        <v>2500-12-31 00:00:00.0</v>
      </c>
      <c r="V1305" t="s">
        <v>837</v>
      </c>
      <c r="W1305" t="str">
        <f>"048314-004796-**-**"</f>
        <v>048314-004796-**-**</v>
      </c>
      <c r="X1305" t="s">
        <v>838</v>
      </c>
      <c r="Y1305">
        <v>1254.5</v>
      </c>
      <c r="Z1305">
        <v>1254.5</v>
      </c>
      <c r="AA1305" t="str">
        <f t="shared" si="364"/>
        <v>06/08/2016</v>
      </c>
    </row>
    <row r="1306" spans="1:27" x14ac:dyDescent="0.3">
      <c r="A1306" t="str">
        <f t="shared" si="360"/>
        <v>048314</v>
      </c>
      <c r="B1306" t="str">
        <f t="shared" si="354"/>
        <v>004796</v>
      </c>
      <c r="C1306" t="s">
        <v>2533</v>
      </c>
      <c r="D1306" t="s">
        <v>3839</v>
      </c>
      <c r="E1306" t="s">
        <v>3840</v>
      </c>
      <c r="F1306" t="s">
        <v>3841</v>
      </c>
      <c r="G1306" t="s">
        <v>3842</v>
      </c>
      <c r="H1306" t="str">
        <f>"051243"</f>
        <v>051243</v>
      </c>
      <c r="I1306" t="s">
        <v>833</v>
      </c>
      <c r="J1306" t="str">
        <f t="shared" si="363"/>
        <v>2015-07-01 00:00:00.0</v>
      </c>
      <c r="K1306" t="s">
        <v>834</v>
      </c>
      <c r="L1306" t="s">
        <v>0</v>
      </c>
      <c r="M1306" t="str">
        <f t="shared" si="349"/>
        <v>048314</v>
      </c>
      <c r="N1306">
        <v>1</v>
      </c>
      <c r="O1306">
        <v>1</v>
      </c>
      <c r="P1306" t="str">
        <f>"23"</f>
        <v>23</v>
      </c>
      <c r="Q1306" t="str">
        <f>"12"</f>
        <v>12</v>
      </c>
      <c r="R1306" t="str">
        <f>"6"</f>
        <v>6</v>
      </c>
      <c r="S1306" t="s">
        <v>836</v>
      </c>
      <c r="T1306" t="s">
        <v>836</v>
      </c>
      <c r="U1306" t="str">
        <f t="shared" si="361"/>
        <v>2500-12-31 00:00:00.0</v>
      </c>
      <c r="V1306" t="s">
        <v>886</v>
      </c>
      <c r="W1306" t="str">
        <f>"051243-051250-23-**"</f>
        <v>051243-051250-23-**</v>
      </c>
      <c r="X1306" t="s">
        <v>838</v>
      </c>
      <c r="Y1306">
        <v>1144</v>
      </c>
      <c r="Z1306">
        <v>1144</v>
      </c>
      <c r="AA1306" t="str">
        <f>"05/21/2016"</f>
        <v>05/21/2016</v>
      </c>
    </row>
    <row r="1307" spans="1:27" x14ac:dyDescent="0.3">
      <c r="A1307" t="str">
        <f t="shared" si="360"/>
        <v>048314</v>
      </c>
      <c r="B1307" t="str">
        <f t="shared" si="354"/>
        <v>004796</v>
      </c>
      <c r="C1307" t="s">
        <v>2042</v>
      </c>
      <c r="D1307" t="s">
        <v>3839</v>
      </c>
      <c r="E1307" t="s">
        <v>3840</v>
      </c>
      <c r="F1307" t="s">
        <v>3841</v>
      </c>
      <c r="G1307" t="s">
        <v>3842</v>
      </c>
      <c r="H1307" t="str">
        <f>"048314"</f>
        <v>048314</v>
      </c>
      <c r="I1307" t="s">
        <v>833</v>
      </c>
      <c r="J1307" t="str">
        <f t="shared" si="363"/>
        <v>2015-07-01 00:00:00.0</v>
      </c>
      <c r="K1307" t="s">
        <v>834</v>
      </c>
      <c r="L1307" t="s">
        <v>0</v>
      </c>
      <c r="M1307" t="str">
        <f t="shared" si="349"/>
        <v>048314</v>
      </c>
      <c r="N1307">
        <v>1</v>
      </c>
      <c r="O1307">
        <v>1</v>
      </c>
      <c r="P1307" t="str">
        <f>"10"</f>
        <v>10</v>
      </c>
      <c r="Q1307" t="s">
        <v>835</v>
      </c>
      <c r="S1307" t="s">
        <v>860</v>
      </c>
      <c r="T1307" t="s">
        <v>836</v>
      </c>
      <c r="U1307" t="str">
        <f t="shared" si="361"/>
        <v>2500-12-31 00:00:00.0</v>
      </c>
      <c r="V1307" t="s">
        <v>837</v>
      </c>
      <c r="W1307" t="str">
        <f>"048314-004796-**-**"</f>
        <v>048314-004796-**-**</v>
      </c>
      <c r="X1307" t="s">
        <v>838</v>
      </c>
      <c r="Y1307">
        <v>1254.5</v>
      </c>
      <c r="Z1307">
        <v>1254.5</v>
      </c>
      <c r="AA1307" t="str">
        <f>"06/08/2016"</f>
        <v>06/08/2016</v>
      </c>
    </row>
    <row r="1308" spans="1:27" x14ac:dyDescent="0.3">
      <c r="A1308" t="str">
        <f t="shared" si="360"/>
        <v>048314</v>
      </c>
      <c r="B1308" t="str">
        <f t="shared" si="354"/>
        <v>004796</v>
      </c>
      <c r="C1308" t="s">
        <v>1430</v>
      </c>
      <c r="D1308" t="s">
        <v>3839</v>
      </c>
      <c r="E1308" t="s">
        <v>3840</v>
      </c>
      <c r="F1308" t="s">
        <v>3841</v>
      </c>
      <c r="G1308" t="s">
        <v>3842</v>
      </c>
      <c r="H1308" t="str">
        <f>"051243"</f>
        <v>051243</v>
      </c>
      <c r="I1308" t="s">
        <v>833</v>
      </c>
      <c r="J1308" t="str">
        <f t="shared" si="363"/>
        <v>2015-07-01 00:00:00.0</v>
      </c>
      <c r="K1308" t="s">
        <v>834</v>
      </c>
      <c r="L1308" t="s">
        <v>0</v>
      </c>
      <c r="M1308" t="str">
        <f t="shared" ref="M1308:M1342" si="365">"048314"</f>
        <v>048314</v>
      </c>
      <c r="N1308">
        <v>1</v>
      </c>
      <c r="O1308">
        <v>1</v>
      </c>
      <c r="P1308" t="str">
        <f>"12"</f>
        <v>12</v>
      </c>
      <c r="Q1308" t="s">
        <v>835</v>
      </c>
      <c r="S1308" t="s">
        <v>860</v>
      </c>
      <c r="T1308" t="s">
        <v>836</v>
      </c>
      <c r="U1308" t="str">
        <f t="shared" si="361"/>
        <v>2500-12-31 00:00:00.0</v>
      </c>
      <c r="V1308" t="s">
        <v>886</v>
      </c>
      <c r="W1308" t="str">
        <f>"051243-051250-12-SE"</f>
        <v>051243-051250-12-SE</v>
      </c>
      <c r="X1308" t="s">
        <v>838</v>
      </c>
      <c r="Y1308">
        <v>1105</v>
      </c>
      <c r="Z1308">
        <v>1105</v>
      </c>
      <c r="AA1308" t="str">
        <f>"05/21/2016"</f>
        <v>05/21/2016</v>
      </c>
    </row>
    <row r="1309" spans="1:27" x14ac:dyDescent="0.3">
      <c r="A1309" t="str">
        <f t="shared" si="360"/>
        <v>048314</v>
      </c>
      <c r="B1309" t="str">
        <f t="shared" si="354"/>
        <v>004796</v>
      </c>
      <c r="C1309" t="s">
        <v>1086</v>
      </c>
      <c r="D1309" t="s">
        <v>3839</v>
      </c>
      <c r="E1309" t="s">
        <v>3840</v>
      </c>
      <c r="F1309" t="s">
        <v>3841</v>
      </c>
      <c r="G1309" t="s">
        <v>3842</v>
      </c>
      <c r="H1309" t="str">
        <f t="shared" ref="H1309:H1314" si="366">"048314"</f>
        <v>048314</v>
      </c>
      <c r="I1309" t="s">
        <v>833</v>
      </c>
      <c r="J1309" t="str">
        <f t="shared" si="363"/>
        <v>2015-07-01 00:00:00.0</v>
      </c>
      <c r="K1309" t="s">
        <v>834</v>
      </c>
      <c r="L1309" t="s">
        <v>0</v>
      </c>
      <c r="M1309" t="str">
        <f t="shared" si="365"/>
        <v>048314</v>
      </c>
      <c r="N1309">
        <v>1</v>
      </c>
      <c r="O1309">
        <v>1</v>
      </c>
      <c r="P1309" t="str">
        <f>"11"</f>
        <v>11</v>
      </c>
      <c r="Q1309" t="s">
        <v>835</v>
      </c>
      <c r="S1309" t="s">
        <v>836</v>
      </c>
      <c r="T1309" t="s">
        <v>836</v>
      </c>
      <c r="U1309" t="str">
        <f t="shared" si="361"/>
        <v>2500-12-31 00:00:00.0</v>
      </c>
      <c r="V1309" t="s">
        <v>837</v>
      </c>
      <c r="W1309" t="str">
        <f>"048314-004796-**-**"</f>
        <v>048314-004796-**-**</v>
      </c>
      <c r="X1309" t="s">
        <v>838</v>
      </c>
      <c r="Y1309">
        <v>1254.5</v>
      </c>
      <c r="Z1309">
        <v>1254.5</v>
      </c>
      <c r="AA1309" t="str">
        <f t="shared" ref="AA1309:AA1314" si="367">"06/08/2016"</f>
        <v>06/08/2016</v>
      </c>
    </row>
    <row r="1310" spans="1:27" x14ac:dyDescent="0.3">
      <c r="A1310" t="str">
        <f t="shared" si="360"/>
        <v>048314</v>
      </c>
      <c r="B1310" t="str">
        <f t="shared" si="354"/>
        <v>004796</v>
      </c>
      <c r="C1310" t="s">
        <v>1162</v>
      </c>
      <c r="D1310" t="s">
        <v>3839</v>
      </c>
      <c r="E1310" t="s">
        <v>3840</v>
      </c>
      <c r="F1310" t="s">
        <v>3841</v>
      </c>
      <c r="G1310" t="s">
        <v>3842</v>
      </c>
      <c r="H1310" t="str">
        <f t="shared" si="366"/>
        <v>048314</v>
      </c>
      <c r="I1310" t="s">
        <v>833</v>
      </c>
      <c r="J1310" t="str">
        <f t="shared" si="363"/>
        <v>2015-07-01 00:00:00.0</v>
      </c>
      <c r="K1310" t="s">
        <v>834</v>
      </c>
      <c r="L1310" t="s">
        <v>0</v>
      </c>
      <c r="M1310" t="str">
        <f t="shared" si="365"/>
        <v>048314</v>
      </c>
      <c r="N1310">
        <v>0.36269400000000002</v>
      </c>
      <c r="O1310">
        <v>0.36269400000000002</v>
      </c>
      <c r="P1310" t="str">
        <f>"12"</f>
        <v>12</v>
      </c>
      <c r="Q1310" t="s">
        <v>835</v>
      </c>
      <c r="S1310" t="s">
        <v>836</v>
      </c>
      <c r="T1310" t="s">
        <v>836</v>
      </c>
      <c r="U1310" t="str">
        <f>"2015-12-09 00:00:00.0"</f>
        <v>2015-12-09 00:00:00.0</v>
      </c>
      <c r="V1310" t="s">
        <v>837</v>
      </c>
      <c r="W1310" t="str">
        <f>"048314-004796-12-SE"</f>
        <v>048314-004796-12-SE</v>
      </c>
      <c r="X1310" t="s">
        <v>838</v>
      </c>
      <c r="Y1310">
        <v>455</v>
      </c>
      <c r="Z1310">
        <v>1254.5</v>
      </c>
      <c r="AA1310" t="str">
        <f t="shared" si="367"/>
        <v>06/08/2016</v>
      </c>
    </row>
    <row r="1311" spans="1:27" x14ac:dyDescent="0.3">
      <c r="A1311" t="str">
        <f t="shared" si="360"/>
        <v>048314</v>
      </c>
      <c r="B1311" t="str">
        <f t="shared" si="354"/>
        <v>004796</v>
      </c>
      <c r="C1311" t="s">
        <v>1162</v>
      </c>
      <c r="D1311" t="s">
        <v>3839</v>
      </c>
      <c r="E1311" t="s">
        <v>3840</v>
      </c>
      <c r="F1311" t="s">
        <v>3841</v>
      </c>
      <c r="G1311" t="s">
        <v>3842</v>
      </c>
      <c r="H1311" t="str">
        <f t="shared" si="366"/>
        <v>048314</v>
      </c>
      <c r="I1311" t="s">
        <v>833</v>
      </c>
      <c r="J1311" t="str">
        <f>"2015-12-10 00:00:00.0"</f>
        <v>2015-12-10 00:00:00.0</v>
      </c>
      <c r="K1311" t="s">
        <v>834</v>
      </c>
      <c r="L1311" t="s">
        <v>0</v>
      </c>
      <c r="M1311" t="str">
        <f>"045328"</f>
        <v>045328</v>
      </c>
      <c r="N1311">
        <v>0.63730600000000004</v>
      </c>
      <c r="O1311">
        <v>0.63730600000000004</v>
      </c>
      <c r="P1311" t="str">
        <f>"12"</f>
        <v>12</v>
      </c>
      <c r="Q1311" t="s">
        <v>835</v>
      </c>
      <c r="S1311" t="s">
        <v>836</v>
      </c>
      <c r="T1311" t="s">
        <v>836</v>
      </c>
      <c r="U1311" t="str">
        <f>"2500-12-31 00:00:00.0"</f>
        <v>2500-12-31 00:00:00.0</v>
      </c>
      <c r="V1311" t="s">
        <v>837</v>
      </c>
      <c r="W1311" t="str">
        <f>"048314-004796-12-SE"</f>
        <v>048314-004796-12-SE</v>
      </c>
      <c r="X1311" t="s">
        <v>838</v>
      </c>
      <c r="Y1311">
        <v>799.5</v>
      </c>
      <c r="Z1311">
        <v>1254.5</v>
      </c>
      <c r="AA1311" t="str">
        <f t="shared" si="367"/>
        <v>06/08/2016</v>
      </c>
    </row>
    <row r="1312" spans="1:27" x14ac:dyDescent="0.3">
      <c r="A1312" t="str">
        <f t="shared" si="360"/>
        <v>048314</v>
      </c>
      <c r="B1312" t="str">
        <f t="shared" si="354"/>
        <v>004796</v>
      </c>
      <c r="C1312" t="s">
        <v>2498</v>
      </c>
      <c r="D1312" t="s">
        <v>3839</v>
      </c>
      <c r="E1312" t="s">
        <v>3840</v>
      </c>
      <c r="F1312" t="s">
        <v>3841</v>
      </c>
      <c r="G1312" t="s">
        <v>3842</v>
      </c>
      <c r="H1312" t="str">
        <f t="shared" si="366"/>
        <v>048314</v>
      </c>
      <c r="I1312" t="s">
        <v>833</v>
      </c>
      <c r="J1312" t="str">
        <f>"2015-07-01 00:00:00.0"</f>
        <v>2015-07-01 00:00:00.0</v>
      </c>
      <c r="K1312" t="s">
        <v>834</v>
      </c>
      <c r="L1312" t="s">
        <v>0</v>
      </c>
      <c r="M1312" t="str">
        <f t="shared" ref="M1312:M1347" si="368">"048314"</f>
        <v>048314</v>
      </c>
      <c r="N1312">
        <v>1</v>
      </c>
      <c r="O1312">
        <v>1</v>
      </c>
      <c r="P1312" t="str">
        <f>"11"</f>
        <v>11</v>
      </c>
      <c r="Q1312" t="s">
        <v>835</v>
      </c>
      <c r="S1312" t="s">
        <v>836</v>
      </c>
      <c r="T1312" t="s">
        <v>836</v>
      </c>
      <c r="U1312" t="str">
        <f>"2500-12-31 00:00:00.0"</f>
        <v>2500-12-31 00:00:00.0</v>
      </c>
      <c r="V1312" t="s">
        <v>837</v>
      </c>
      <c r="W1312" t="str">
        <f>"048314-004796-**-**"</f>
        <v>048314-004796-**-**</v>
      </c>
      <c r="X1312" t="s">
        <v>838</v>
      </c>
      <c r="Y1312">
        <v>1254.5</v>
      </c>
      <c r="Z1312">
        <v>1254.5</v>
      </c>
      <c r="AA1312" t="str">
        <f t="shared" si="367"/>
        <v>06/08/2016</v>
      </c>
    </row>
    <row r="1313" spans="1:27" x14ac:dyDescent="0.3">
      <c r="A1313" t="str">
        <f t="shared" si="360"/>
        <v>048314</v>
      </c>
      <c r="B1313" t="str">
        <f t="shared" si="354"/>
        <v>004796</v>
      </c>
      <c r="C1313" t="s">
        <v>905</v>
      </c>
      <c r="D1313" t="s">
        <v>3839</v>
      </c>
      <c r="E1313" t="s">
        <v>3840</v>
      </c>
      <c r="F1313" t="s">
        <v>3841</v>
      </c>
      <c r="G1313" t="s">
        <v>3842</v>
      </c>
      <c r="H1313" t="str">
        <f t="shared" si="366"/>
        <v>048314</v>
      </c>
      <c r="I1313" t="s">
        <v>833</v>
      </c>
      <c r="J1313" t="str">
        <f>"2015-07-01 00:00:00.0"</f>
        <v>2015-07-01 00:00:00.0</v>
      </c>
      <c r="K1313" t="s">
        <v>834</v>
      </c>
      <c r="L1313" t="s">
        <v>0</v>
      </c>
      <c r="M1313" t="str">
        <f t="shared" si="368"/>
        <v>048314</v>
      </c>
      <c r="N1313">
        <v>1</v>
      </c>
      <c r="O1313">
        <v>1</v>
      </c>
      <c r="P1313" t="str">
        <f>"11"</f>
        <v>11</v>
      </c>
      <c r="Q1313" t="str">
        <f>"01"</f>
        <v>01</v>
      </c>
      <c r="R1313" t="str">
        <f>"5"</f>
        <v>5</v>
      </c>
      <c r="S1313" t="s">
        <v>836</v>
      </c>
      <c r="T1313" t="s">
        <v>836</v>
      </c>
      <c r="U1313" t="str">
        <f>"2500-12-31 00:00:00.0"</f>
        <v>2500-12-31 00:00:00.0</v>
      </c>
      <c r="V1313" t="s">
        <v>837</v>
      </c>
      <c r="W1313" t="str">
        <f>"048314-004796-**-**"</f>
        <v>048314-004796-**-**</v>
      </c>
      <c r="X1313" t="s">
        <v>838</v>
      </c>
      <c r="Y1313">
        <v>1254.5</v>
      </c>
      <c r="Z1313">
        <v>1254.5</v>
      </c>
      <c r="AA1313" t="str">
        <f t="shared" si="367"/>
        <v>06/08/2016</v>
      </c>
    </row>
    <row r="1314" spans="1:27" x14ac:dyDescent="0.3">
      <c r="A1314" t="str">
        <f t="shared" si="360"/>
        <v>048314</v>
      </c>
      <c r="B1314" t="str">
        <f t="shared" si="354"/>
        <v>004796</v>
      </c>
      <c r="C1314" t="s">
        <v>1392</v>
      </c>
      <c r="D1314" t="s">
        <v>3839</v>
      </c>
      <c r="E1314" t="s">
        <v>3840</v>
      </c>
      <c r="F1314" t="s">
        <v>3841</v>
      </c>
      <c r="G1314" t="s">
        <v>3842</v>
      </c>
      <c r="H1314" t="str">
        <f t="shared" si="366"/>
        <v>048314</v>
      </c>
      <c r="I1314" t="s">
        <v>833</v>
      </c>
      <c r="J1314" t="str">
        <f>"2015-07-01 00:00:00.0"</f>
        <v>2015-07-01 00:00:00.0</v>
      </c>
      <c r="K1314" t="s">
        <v>834</v>
      </c>
      <c r="L1314" t="s">
        <v>0</v>
      </c>
      <c r="M1314" t="str">
        <f t="shared" si="368"/>
        <v>048314</v>
      </c>
      <c r="N1314">
        <v>0.77202099999999996</v>
      </c>
      <c r="O1314">
        <v>0.77202099999999996</v>
      </c>
      <c r="P1314" t="str">
        <f>"11"</f>
        <v>11</v>
      </c>
      <c r="Q1314" t="s">
        <v>835</v>
      </c>
      <c r="S1314" t="s">
        <v>836</v>
      </c>
      <c r="T1314" t="s">
        <v>836</v>
      </c>
      <c r="U1314" t="str">
        <f>"2016-04-06 00:00:00.0"</f>
        <v>2016-04-06 00:00:00.0</v>
      </c>
      <c r="V1314" t="s">
        <v>837</v>
      </c>
      <c r="W1314" t="str">
        <f>"048314-004796-**-**"</f>
        <v>048314-004796-**-**</v>
      </c>
      <c r="X1314" t="s">
        <v>838</v>
      </c>
      <c r="Y1314">
        <v>968.5</v>
      </c>
      <c r="Z1314">
        <v>1254.5</v>
      </c>
      <c r="AA1314" t="str">
        <f t="shared" si="367"/>
        <v>06/08/2016</v>
      </c>
    </row>
    <row r="1315" spans="1:27" x14ac:dyDescent="0.3">
      <c r="A1315" t="str">
        <f t="shared" si="360"/>
        <v>048314</v>
      </c>
      <c r="B1315" t="str">
        <f t="shared" si="354"/>
        <v>004796</v>
      </c>
      <c r="C1315" t="s">
        <v>1392</v>
      </c>
      <c r="D1315" t="s">
        <v>3839</v>
      </c>
      <c r="E1315" t="s">
        <v>3840</v>
      </c>
      <c r="F1315" t="s">
        <v>3841</v>
      </c>
      <c r="G1315" t="s">
        <v>3842</v>
      </c>
      <c r="H1315" t="str">
        <f>"148999"</f>
        <v>148999</v>
      </c>
      <c r="I1315" t="s">
        <v>833</v>
      </c>
      <c r="J1315" t="str">
        <f>"2016-04-07 00:00:00.0"</f>
        <v>2016-04-07 00:00:00.0</v>
      </c>
      <c r="K1315" t="s">
        <v>834</v>
      </c>
      <c r="L1315" t="s">
        <v>2</v>
      </c>
      <c r="M1315" t="str">
        <f t="shared" si="368"/>
        <v>048314</v>
      </c>
      <c r="N1315">
        <v>0.220994</v>
      </c>
      <c r="O1315">
        <v>0.220994</v>
      </c>
      <c r="P1315" t="str">
        <f>"11"</f>
        <v>11</v>
      </c>
      <c r="Q1315" t="s">
        <v>835</v>
      </c>
      <c r="S1315" t="s">
        <v>836</v>
      </c>
      <c r="T1315" t="s">
        <v>836</v>
      </c>
      <c r="U1315" t="str">
        <f t="shared" ref="U1315:U1337" si="369">"2500-12-31 00:00:00.0"</f>
        <v>2500-12-31 00:00:00.0</v>
      </c>
      <c r="V1315" t="s">
        <v>837</v>
      </c>
      <c r="W1315" t="str">
        <f>"148999-148999-11-**"</f>
        <v>148999-148999-11-**</v>
      </c>
      <c r="X1315" t="s">
        <v>865</v>
      </c>
      <c r="Y1315">
        <v>220</v>
      </c>
      <c r="Z1315">
        <v>995.5</v>
      </c>
      <c r="AA1315" t="str">
        <f>"05/23/2016"</f>
        <v>05/23/2016</v>
      </c>
    </row>
    <row r="1316" spans="1:27" x14ac:dyDescent="0.3">
      <c r="A1316" t="str">
        <f t="shared" si="360"/>
        <v>048314</v>
      </c>
      <c r="B1316" t="str">
        <f t="shared" si="354"/>
        <v>004796</v>
      </c>
      <c r="C1316" t="s">
        <v>1623</v>
      </c>
      <c r="D1316" t="s">
        <v>3839</v>
      </c>
      <c r="E1316" t="s">
        <v>3840</v>
      </c>
      <c r="F1316" t="s">
        <v>3841</v>
      </c>
      <c r="G1316" t="s">
        <v>3842</v>
      </c>
      <c r="H1316" t="str">
        <f>"048314"</f>
        <v>048314</v>
      </c>
      <c r="I1316" t="s">
        <v>833</v>
      </c>
      <c r="J1316" t="str">
        <f t="shared" ref="J1316:J1328" si="370">"2015-07-01 00:00:00.0"</f>
        <v>2015-07-01 00:00:00.0</v>
      </c>
      <c r="K1316" t="s">
        <v>834</v>
      </c>
      <c r="L1316" t="s">
        <v>0</v>
      </c>
      <c r="M1316" t="str">
        <f t="shared" si="368"/>
        <v>048314</v>
      </c>
      <c r="N1316">
        <v>1</v>
      </c>
      <c r="O1316">
        <v>1</v>
      </c>
      <c r="P1316" t="str">
        <f>"10"</f>
        <v>10</v>
      </c>
      <c r="Q1316" t="s">
        <v>835</v>
      </c>
      <c r="S1316" t="s">
        <v>836</v>
      </c>
      <c r="T1316" t="s">
        <v>836</v>
      </c>
      <c r="U1316" t="str">
        <f t="shared" si="369"/>
        <v>2500-12-31 00:00:00.0</v>
      </c>
      <c r="V1316" t="s">
        <v>837</v>
      </c>
      <c r="W1316" t="str">
        <f>"048314-004796-**-**"</f>
        <v>048314-004796-**-**</v>
      </c>
      <c r="X1316" t="s">
        <v>838</v>
      </c>
      <c r="Y1316">
        <v>1254.5</v>
      </c>
      <c r="Z1316">
        <v>1254.5</v>
      </c>
      <c r="AA1316" t="str">
        <f>"06/08/2016"</f>
        <v>06/08/2016</v>
      </c>
    </row>
    <row r="1317" spans="1:27" x14ac:dyDescent="0.3">
      <c r="A1317" t="str">
        <f t="shared" si="360"/>
        <v>048314</v>
      </c>
      <c r="B1317" t="str">
        <f t="shared" si="354"/>
        <v>004796</v>
      </c>
      <c r="C1317" t="s">
        <v>1684</v>
      </c>
      <c r="D1317" t="s">
        <v>3839</v>
      </c>
      <c r="E1317" t="s">
        <v>3840</v>
      </c>
      <c r="F1317" t="s">
        <v>3841</v>
      </c>
      <c r="G1317" t="s">
        <v>3842</v>
      </c>
      <c r="H1317" t="str">
        <f>"048363"</f>
        <v>048363</v>
      </c>
      <c r="I1317" t="s">
        <v>833</v>
      </c>
      <c r="J1317" t="str">
        <f t="shared" si="370"/>
        <v>2015-07-01 00:00:00.0</v>
      </c>
      <c r="K1317" t="s">
        <v>834</v>
      </c>
      <c r="L1317" t="s">
        <v>1</v>
      </c>
      <c r="M1317" t="str">
        <f t="shared" si="368"/>
        <v>048314</v>
      </c>
      <c r="N1317">
        <v>1</v>
      </c>
      <c r="O1317">
        <v>1</v>
      </c>
      <c r="P1317" t="str">
        <f>"10"</f>
        <v>10</v>
      </c>
      <c r="Q1317" t="s">
        <v>835</v>
      </c>
      <c r="S1317" t="s">
        <v>860</v>
      </c>
      <c r="T1317" t="s">
        <v>836</v>
      </c>
      <c r="U1317" t="str">
        <f t="shared" si="369"/>
        <v>2500-12-31 00:00:00.0</v>
      </c>
      <c r="V1317" t="s">
        <v>837</v>
      </c>
      <c r="W1317" t="str">
        <f>"048363-026229-**-**"</f>
        <v>048363-026229-**-**</v>
      </c>
      <c r="X1317" t="s">
        <v>838</v>
      </c>
      <c r="Y1317">
        <v>1127</v>
      </c>
      <c r="Z1317">
        <v>1127</v>
      </c>
      <c r="AA1317" t="str">
        <f>"06/15/2016"</f>
        <v>06/15/2016</v>
      </c>
    </row>
    <row r="1318" spans="1:27" x14ac:dyDescent="0.3">
      <c r="A1318" t="str">
        <f t="shared" si="360"/>
        <v>048314</v>
      </c>
      <c r="B1318" t="str">
        <f t="shared" si="354"/>
        <v>004796</v>
      </c>
      <c r="C1318" t="s">
        <v>1532</v>
      </c>
      <c r="D1318" t="s">
        <v>3839</v>
      </c>
      <c r="E1318" t="s">
        <v>3840</v>
      </c>
      <c r="F1318" t="s">
        <v>3841</v>
      </c>
      <c r="G1318" t="s">
        <v>3842</v>
      </c>
      <c r="H1318" t="str">
        <f t="shared" ref="H1318:H1324" si="371">"048314"</f>
        <v>048314</v>
      </c>
      <c r="I1318" t="s">
        <v>833</v>
      </c>
      <c r="J1318" t="str">
        <f t="shared" si="370"/>
        <v>2015-07-01 00:00:00.0</v>
      </c>
      <c r="K1318" t="s">
        <v>834</v>
      </c>
      <c r="L1318" t="s">
        <v>0</v>
      </c>
      <c r="M1318" t="str">
        <f t="shared" si="368"/>
        <v>048314</v>
      </c>
      <c r="N1318">
        <v>1</v>
      </c>
      <c r="O1318">
        <v>1</v>
      </c>
      <c r="P1318" t="str">
        <f>"10"</f>
        <v>10</v>
      </c>
      <c r="Q1318" t="s">
        <v>835</v>
      </c>
      <c r="S1318" t="s">
        <v>836</v>
      </c>
      <c r="T1318" t="s">
        <v>836</v>
      </c>
      <c r="U1318" t="str">
        <f t="shared" si="369"/>
        <v>2500-12-31 00:00:00.0</v>
      </c>
      <c r="V1318" t="s">
        <v>837</v>
      </c>
      <c r="W1318" t="str">
        <f>"048314-004796-**-**"</f>
        <v>048314-004796-**-**</v>
      </c>
      <c r="X1318" t="s">
        <v>838</v>
      </c>
      <c r="Y1318">
        <v>1254.5</v>
      </c>
      <c r="Z1318">
        <v>1254.5</v>
      </c>
      <c r="AA1318" t="str">
        <f t="shared" ref="AA1318:AA1324" si="372">"06/08/2016"</f>
        <v>06/08/2016</v>
      </c>
    </row>
    <row r="1319" spans="1:27" x14ac:dyDescent="0.3">
      <c r="A1319" t="str">
        <f t="shared" si="360"/>
        <v>048314</v>
      </c>
      <c r="B1319" t="str">
        <f t="shared" si="354"/>
        <v>004796</v>
      </c>
      <c r="C1319" t="s">
        <v>2756</v>
      </c>
      <c r="D1319" t="s">
        <v>3839</v>
      </c>
      <c r="E1319" t="s">
        <v>3840</v>
      </c>
      <c r="F1319" t="s">
        <v>3841</v>
      </c>
      <c r="G1319" t="s">
        <v>3842</v>
      </c>
      <c r="H1319" t="str">
        <f t="shared" si="371"/>
        <v>048314</v>
      </c>
      <c r="I1319" t="s">
        <v>833</v>
      </c>
      <c r="J1319" t="str">
        <f t="shared" si="370"/>
        <v>2015-07-01 00:00:00.0</v>
      </c>
      <c r="K1319" t="s">
        <v>834</v>
      </c>
      <c r="L1319" t="s">
        <v>0</v>
      </c>
      <c r="M1319" t="str">
        <f t="shared" si="368"/>
        <v>048314</v>
      </c>
      <c r="N1319">
        <v>1</v>
      </c>
      <c r="O1319">
        <v>1</v>
      </c>
      <c r="P1319" t="str">
        <f>"10"</f>
        <v>10</v>
      </c>
      <c r="Q1319" t="s">
        <v>835</v>
      </c>
      <c r="S1319" t="s">
        <v>836</v>
      </c>
      <c r="T1319" t="s">
        <v>836</v>
      </c>
      <c r="U1319" t="str">
        <f t="shared" si="369"/>
        <v>2500-12-31 00:00:00.0</v>
      </c>
      <c r="V1319" t="s">
        <v>837</v>
      </c>
      <c r="W1319" t="str">
        <f>"048314-004796-**-**"</f>
        <v>048314-004796-**-**</v>
      </c>
      <c r="X1319" t="s">
        <v>838</v>
      </c>
      <c r="Y1319">
        <v>1254.5</v>
      </c>
      <c r="Z1319">
        <v>1254.5</v>
      </c>
      <c r="AA1319" t="str">
        <f t="shared" si="372"/>
        <v>06/08/2016</v>
      </c>
    </row>
    <row r="1320" spans="1:27" x14ac:dyDescent="0.3">
      <c r="A1320" t="str">
        <f t="shared" si="360"/>
        <v>048314</v>
      </c>
      <c r="B1320" t="str">
        <f t="shared" si="354"/>
        <v>004796</v>
      </c>
      <c r="C1320" t="s">
        <v>1745</v>
      </c>
      <c r="D1320" t="s">
        <v>3839</v>
      </c>
      <c r="E1320" t="s">
        <v>3840</v>
      </c>
      <c r="F1320" t="s">
        <v>3841</v>
      </c>
      <c r="G1320" t="s">
        <v>3842</v>
      </c>
      <c r="H1320" t="str">
        <f t="shared" si="371"/>
        <v>048314</v>
      </c>
      <c r="I1320" t="s">
        <v>833</v>
      </c>
      <c r="J1320" t="str">
        <f t="shared" si="370"/>
        <v>2015-07-01 00:00:00.0</v>
      </c>
      <c r="K1320" t="s">
        <v>834</v>
      </c>
      <c r="L1320" t="s">
        <v>0</v>
      </c>
      <c r="M1320" t="str">
        <f t="shared" si="368"/>
        <v>048314</v>
      </c>
      <c r="N1320">
        <v>1</v>
      </c>
      <c r="O1320">
        <v>1</v>
      </c>
      <c r="P1320" t="str">
        <f>"11"</f>
        <v>11</v>
      </c>
      <c r="Q1320" t="s">
        <v>835</v>
      </c>
      <c r="S1320" t="s">
        <v>836</v>
      </c>
      <c r="T1320" t="s">
        <v>836</v>
      </c>
      <c r="U1320" t="str">
        <f t="shared" si="369"/>
        <v>2500-12-31 00:00:00.0</v>
      </c>
      <c r="V1320" t="s">
        <v>837</v>
      </c>
      <c r="W1320" t="str">
        <f>"048314-004796-**-**"</f>
        <v>048314-004796-**-**</v>
      </c>
      <c r="X1320" t="s">
        <v>838</v>
      </c>
      <c r="Y1320">
        <v>1254.5</v>
      </c>
      <c r="Z1320">
        <v>1254.5</v>
      </c>
      <c r="AA1320" t="str">
        <f t="shared" si="372"/>
        <v>06/08/2016</v>
      </c>
    </row>
    <row r="1321" spans="1:27" x14ac:dyDescent="0.3">
      <c r="A1321" t="str">
        <f t="shared" si="360"/>
        <v>048314</v>
      </c>
      <c r="B1321" t="str">
        <f t="shared" si="354"/>
        <v>004796</v>
      </c>
      <c r="C1321" t="s">
        <v>1163</v>
      </c>
      <c r="D1321" t="s">
        <v>3839</v>
      </c>
      <c r="E1321" t="s">
        <v>3840</v>
      </c>
      <c r="F1321" t="s">
        <v>3841</v>
      </c>
      <c r="G1321" t="s">
        <v>3842</v>
      </c>
      <c r="H1321" t="str">
        <f t="shared" si="371"/>
        <v>048314</v>
      </c>
      <c r="I1321" t="s">
        <v>833</v>
      </c>
      <c r="J1321" t="str">
        <f t="shared" si="370"/>
        <v>2015-07-01 00:00:00.0</v>
      </c>
      <c r="K1321" t="s">
        <v>834</v>
      </c>
      <c r="L1321" t="s">
        <v>0</v>
      </c>
      <c r="M1321" t="str">
        <f t="shared" si="368"/>
        <v>048314</v>
      </c>
      <c r="N1321">
        <v>1</v>
      </c>
      <c r="O1321">
        <v>1</v>
      </c>
      <c r="P1321" t="str">
        <f>"12"</f>
        <v>12</v>
      </c>
      <c r="Q1321" t="s">
        <v>835</v>
      </c>
      <c r="S1321" t="s">
        <v>836</v>
      </c>
      <c r="T1321" t="s">
        <v>836</v>
      </c>
      <c r="U1321" t="str">
        <f t="shared" si="369"/>
        <v>2500-12-31 00:00:00.0</v>
      </c>
      <c r="V1321" t="s">
        <v>837</v>
      </c>
      <c r="W1321" t="str">
        <f>"048314-004796-12-SE"</f>
        <v>048314-004796-12-SE</v>
      </c>
      <c r="X1321" t="s">
        <v>838</v>
      </c>
      <c r="Y1321">
        <v>1254.5</v>
      </c>
      <c r="Z1321">
        <v>1254.5</v>
      </c>
      <c r="AA1321" t="str">
        <f t="shared" si="372"/>
        <v>06/08/2016</v>
      </c>
    </row>
    <row r="1322" spans="1:27" x14ac:dyDescent="0.3">
      <c r="A1322" t="str">
        <f t="shared" si="360"/>
        <v>048314</v>
      </c>
      <c r="B1322" t="str">
        <f t="shared" si="354"/>
        <v>004796</v>
      </c>
      <c r="C1322" t="s">
        <v>1746</v>
      </c>
      <c r="D1322" t="s">
        <v>3839</v>
      </c>
      <c r="E1322" t="s">
        <v>3840</v>
      </c>
      <c r="F1322" t="s">
        <v>3841</v>
      </c>
      <c r="G1322" t="s">
        <v>3842</v>
      </c>
      <c r="H1322" t="str">
        <f t="shared" si="371"/>
        <v>048314</v>
      </c>
      <c r="I1322" t="s">
        <v>833</v>
      </c>
      <c r="J1322" t="str">
        <f t="shared" si="370"/>
        <v>2015-07-01 00:00:00.0</v>
      </c>
      <c r="K1322" t="s">
        <v>834</v>
      </c>
      <c r="L1322" t="s">
        <v>0</v>
      </c>
      <c r="M1322" t="str">
        <f t="shared" si="368"/>
        <v>048314</v>
      </c>
      <c r="N1322">
        <v>1</v>
      </c>
      <c r="O1322">
        <v>1</v>
      </c>
      <c r="P1322" t="str">
        <f>"11"</f>
        <v>11</v>
      </c>
      <c r="Q1322" t="s">
        <v>835</v>
      </c>
      <c r="S1322" t="s">
        <v>836</v>
      </c>
      <c r="T1322" t="s">
        <v>836</v>
      </c>
      <c r="U1322" t="str">
        <f t="shared" si="369"/>
        <v>2500-12-31 00:00:00.0</v>
      </c>
      <c r="V1322" t="s">
        <v>837</v>
      </c>
      <c r="W1322" t="str">
        <f>"048314-004796-**-**"</f>
        <v>048314-004796-**-**</v>
      </c>
      <c r="X1322" t="s">
        <v>838</v>
      </c>
      <c r="Y1322">
        <v>1254.5</v>
      </c>
      <c r="Z1322">
        <v>1254.5</v>
      </c>
      <c r="AA1322" t="str">
        <f t="shared" si="372"/>
        <v>06/08/2016</v>
      </c>
    </row>
    <row r="1323" spans="1:27" x14ac:dyDescent="0.3">
      <c r="A1323" t="str">
        <f t="shared" si="360"/>
        <v>048314</v>
      </c>
      <c r="B1323" t="str">
        <f t="shared" si="354"/>
        <v>004796</v>
      </c>
      <c r="C1323" t="s">
        <v>1303</v>
      </c>
      <c r="D1323" t="s">
        <v>3839</v>
      </c>
      <c r="E1323" t="s">
        <v>3840</v>
      </c>
      <c r="F1323" t="s">
        <v>3841</v>
      </c>
      <c r="G1323" t="s">
        <v>3842</v>
      </c>
      <c r="H1323" t="str">
        <f t="shared" si="371"/>
        <v>048314</v>
      </c>
      <c r="I1323" t="s">
        <v>833</v>
      </c>
      <c r="J1323" t="str">
        <f t="shared" si="370"/>
        <v>2015-07-01 00:00:00.0</v>
      </c>
      <c r="K1323" t="s">
        <v>834</v>
      </c>
      <c r="L1323" t="s">
        <v>0</v>
      </c>
      <c r="M1323" t="str">
        <f t="shared" si="368"/>
        <v>048314</v>
      </c>
      <c r="N1323">
        <v>1</v>
      </c>
      <c r="O1323">
        <v>1</v>
      </c>
      <c r="P1323" t="str">
        <f>"11"</f>
        <v>11</v>
      </c>
      <c r="Q1323" t="s">
        <v>835</v>
      </c>
      <c r="S1323" t="s">
        <v>836</v>
      </c>
      <c r="T1323" t="s">
        <v>836</v>
      </c>
      <c r="U1323" t="str">
        <f t="shared" si="369"/>
        <v>2500-12-31 00:00:00.0</v>
      </c>
      <c r="V1323" t="s">
        <v>837</v>
      </c>
      <c r="W1323" t="str">
        <f>"048314-004796-**-**"</f>
        <v>048314-004796-**-**</v>
      </c>
      <c r="X1323" t="s">
        <v>838</v>
      </c>
      <c r="Y1323">
        <v>1254.5</v>
      </c>
      <c r="Z1323">
        <v>1254.5</v>
      </c>
      <c r="AA1323" t="str">
        <f t="shared" si="372"/>
        <v>06/08/2016</v>
      </c>
    </row>
    <row r="1324" spans="1:27" x14ac:dyDescent="0.3">
      <c r="A1324" t="str">
        <f t="shared" si="360"/>
        <v>048314</v>
      </c>
      <c r="B1324" t="str">
        <f t="shared" si="354"/>
        <v>004796</v>
      </c>
      <c r="C1324" t="s">
        <v>1780</v>
      </c>
      <c r="D1324" t="s">
        <v>3839</v>
      </c>
      <c r="E1324" t="s">
        <v>3840</v>
      </c>
      <c r="F1324" t="s">
        <v>3841</v>
      </c>
      <c r="G1324" t="s">
        <v>3842</v>
      </c>
      <c r="H1324" t="str">
        <f t="shared" si="371"/>
        <v>048314</v>
      </c>
      <c r="I1324" t="s">
        <v>833</v>
      </c>
      <c r="J1324" t="str">
        <f t="shared" si="370"/>
        <v>2015-07-01 00:00:00.0</v>
      </c>
      <c r="K1324" t="s">
        <v>834</v>
      </c>
      <c r="L1324" t="s">
        <v>0</v>
      </c>
      <c r="M1324" t="str">
        <f t="shared" si="368"/>
        <v>048314</v>
      </c>
      <c r="N1324">
        <v>1</v>
      </c>
      <c r="O1324">
        <v>1</v>
      </c>
      <c r="P1324" t="str">
        <f>"11"</f>
        <v>11</v>
      </c>
      <c r="Q1324" t="s">
        <v>835</v>
      </c>
      <c r="S1324" t="s">
        <v>836</v>
      </c>
      <c r="T1324" t="s">
        <v>836</v>
      </c>
      <c r="U1324" t="str">
        <f t="shared" si="369"/>
        <v>2500-12-31 00:00:00.0</v>
      </c>
      <c r="V1324" t="s">
        <v>837</v>
      </c>
      <c r="W1324" t="str">
        <f>"048314-004796-**-**"</f>
        <v>048314-004796-**-**</v>
      </c>
      <c r="X1324" t="s">
        <v>838</v>
      </c>
      <c r="Y1324">
        <v>1254.5</v>
      </c>
      <c r="Z1324">
        <v>1254.5</v>
      </c>
      <c r="AA1324" t="str">
        <f t="shared" si="372"/>
        <v>06/08/2016</v>
      </c>
    </row>
    <row r="1325" spans="1:27" x14ac:dyDescent="0.3">
      <c r="A1325" t="str">
        <f t="shared" si="360"/>
        <v>048314</v>
      </c>
      <c r="B1325" t="str">
        <f t="shared" ref="B1325:B1388" si="373">"004796"</f>
        <v>004796</v>
      </c>
      <c r="C1325" t="s">
        <v>1553</v>
      </c>
      <c r="D1325" t="s">
        <v>3839</v>
      </c>
      <c r="E1325" t="s">
        <v>3840</v>
      </c>
      <c r="F1325" t="s">
        <v>3841</v>
      </c>
      <c r="G1325" t="s">
        <v>3842</v>
      </c>
      <c r="H1325" t="str">
        <f>"048363"</f>
        <v>048363</v>
      </c>
      <c r="I1325" t="s">
        <v>833</v>
      </c>
      <c r="J1325" t="str">
        <f t="shared" si="370"/>
        <v>2015-07-01 00:00:00.0</v>
      </c>
      <c r="K1325" t="s">
        <v>834</v>
      </c>
      <c r="L1325" t="s">
        <v>1</v>
      </c>
      <c r="M1325" t="str">
        <f t="shared" si="368"/>
        <v>048314</v>
      </c>
      <c r="N1325">
        <v>1</v>
      </c>
      <c r="O1325">
        <v>1</v>
      </c>
      <c r="P1325" t="str">
        <f>"10"</f>
        <v>10</v>
      </c>
      <c r="Q1325" t="s">
        <v>835</v>
      </c>
      <c r="S1325" t="s">
        <v>836</v>
      </c>
      <c r="T1325" t="s">
        <v>836</v>
      </c>
      <c r="U1325" t="str">
        <f t="shared" si="369"/>
        <v>2500-12-31 00:00:00.0</v>
      </c>
      <c r="V1325" t="s">
        <v>837</v>
      </c>
      <c r="W1325" t="str">
        <f>"048363-026229-**-**"</f>
        <v>048363-026229-**-**</v>
      </c>
      <c r="X1325" t="s">
        <v>838</v>
      </c>
      <c r="Y1325">
        <v>1127</v>
      </c>
      <c r="Z1325">
        <v>1127</v>
      </c>
      <c r="AA1325" t="str">
        <f>"06/15/2016"</f>
        <v>06/15/2016</v>
      </c>
    </row>
    <row r="1326" spans="1:27" x14ac:dyDescent="0.3">
      <c r="A1326" t="str">
        <f t="shared" si="360"/>
        <v>048314</v>
      </c>
      <c r="B1326" t="str">
        <f t="shared" si="373"/>
        <v>004796</v>
      </c>
      <c r="C1326" t="s">
        <v>2043</v>
      </c>
      <c r="D1326" t="s">
        <v>3839</v>
      </c>
      <c r="E1326" t="s">
        <v>3840</v>
      </c>
      <c r="F1326" t="s">
        <v>3841</v>
      </c>
      <c r="G1326" t="s">
        <v>3842</v>
      </c>
      <c r="H1326" t="str">
        <f>"048314"</f>
        <v>048314</v>
      </c>
      <c r="I1326" t="s">
        <v>833</v>
      </c>
      <c r="J1326" t="str">
        <f t="shared" si="370"/>
        <v>2015-07-01 00:00:00.0</v>
      </c>
      <c r="K1326" t="s">
        <v>834</v>
      </c>
      <c r="L1326" t="s">
        <v>0</v>
      </c>
      <c r="M1326" t="str">
        <f t="shared" si="368"/>
        <v>048314</v>
      </c>
      <c r="N1326">
        <v>1</v>
      </c>
      <c r="O1326">
        <v>1</v>
      </c>
      <c r="P1326" t="str">
        <f>"11"</f>
        <v>11</v>
      </c>
      <c r="Q1326" t="s">
        <v>835</v>
      </c>
      <c r="S1326" t="s">
        <v>860</v>
      </c>
      <c r="T1326" t="s">
        <v>836</v>
      </c>
      <c r="U1326" t="str">
        <f t="shared" si="369"/>
        <v>2500-12-31 00:00:00.0</v>
      </c>
      <c r="V1326" t="s">
        <v>837</v>
      </c>
      <c r="W1326" t="str">
        <f>"048314-004796-**-**"</f>
        <v>048314-004796-**-**</v>
      </c>
      <c r="X1326" t="s">
        <v>838</v>
      </c>
      <c r="Y1326">
        <v>1254.5</v>
      </c>
      <c r="Z1326">
        <v>1254.5</v>
      </c>
      <c r="AA1326" t="str">
        <f>"06/08/2016"</f>
        <v>06/08/2016</v>
      </c>
    </row>
    <row r="1327" spans="1:27" x14ac:dyDescent="0.3">
      <c r="A1327" t="str">
        <f t="shared" si="360"/>
        <v>048314</v>
      </c>
      <c r="B1327" t="str">
        <f t="shared" si="373"/>
        <v>004796</v>
      </c>
      <c r="C1327" t="s">
        <v>2278</v>
      </c>
      <c r="D1327" t="s">
        <v>3839</v>
      </c>
      <c r="E1327" t="s">
        <v>3840</v>
      </c>
      <c r="F1327" t="s">
        <v>3841</v>
      </c>
      <c r="G1327" t="s">
        <v>3842</v>
      </c>
      <c r="H1327" t="str">
        <f>"048314"</f>
        <v>048314</v>
      </c>
      <c r="I1327" t="s">
        <v>833</v>
      </c>
      <c r="J1327" t="str">
        <f t="shared" si="370"/>
        <v>2015-07-01 00:00:00.0</v>
      </c>
      <c r="K1327" t="s">
        <v>834</v>
      </c>
      <c r="L1327" t="s">
        <v>0</v>
      </c>
      <c r="M1327" t="str">
        <f t="shared" si="368"/>
        <v>048314</v>
      </c>
      <c r="N1327">
        <v>1</v>
      </c>
      <c r="O1327">
        <v>1</v>
      </c>
      <c r="P1327" t="str">
        <f>"11"</f>
        <v>11</v>
      </c>
      <c r="Q1327" t="s">
        <v>835</v>
      </c>
      <c r="S1327" t="s">
        <v>836</v>
      </c>
      <c r="T1327" t="s">
        <v>836</v>
      </c>
      <c r="U1327" t="str">
        <f t="shared" si="369"/>
        <v>2500-12-31 00:00:00.0</v>
      </c>
      <c r="V1327" t="s">
        <v>837</v>
      </c>
      <c r="W1327" t="str">
        <f>"048314-004796-**-**"</f>
        <v>048314-004796-**-**</v>
      </c>
      <c r="X1327" t="s">
        <v>838</v>
      </c>
      <c r="Y1327">
        <v>1254.5</v>
      </c>
      <c r="Z1327">
        <v>1254.5</v>
      </c>
      <c r="AA1327" t="str">
        <f>"06/08/2016"</f>
        <v>06/08/2016</v>
      </c>
    </row>
    <row r="1328" spans="1:27" x14ac:dyDescent="0.3">
      <c r="A1328" t="str">
        <f t="shared" si="360"/>
        <v>048314</v>
      </c>
      <c r="B1328" t="str">
        <f t="shared" si="373"/>
        <v>004796</v>
      </c>
      <c r="C1328" t="s">
        <v>1207</v>
      </c>
      <c r="D1328" t="s">
        <v>3839</v>
      </c>
      <c r="E1328" t="s">
        <v>3840</v>
      </c>
      <c r="F1328" t="s">
        <v>3841</v>
      </c>
      <c r="G1328" t="s">
        <v>3842</v>
      </c>
      <c r="H1328" t="str">
        <f>"048314"</f>
        <v>048314</v>
      </c>
      <c r="I1328" t="s">
        <v>833</v>
      </c>
      <c r="J1328" t="str">
        <f t="shared" si="370"/>
        <v>2015-07-01 00:00:00.0</v>
      </c>
      <c r="K1328" t="s">
        <v>834</v>
      </c>
      <c r="L1328" t="s">
        <v>0</v>
      </c>
      <c r="M1328" t="str">
        <f t="shared" si="368"/>
        <v>048314</v>
      </c>
      <c r="N1328">
        <v>1</v>
      </c>
      <c r="O1328">
        <v>1</v>
      </c>
      <c r="P1328" t="str">
        <f>"12"</f>
        <v>12</v>
      </c>
      <c r="Q1328" t="s">
        <v>835</v>
      </c>
      <c r="S1328" t="s">
        <v>836</v>
      </c>
      <c r="T1328" t="s">
        <v>836</v>
      </c>
      <c r="U1328" t="str">
        <f t="shared" si="369"/>
        <v>2500-12-31 00:00:00.0</v>
      </c>
      <c r="V1328" t="s">
        <v>837</v>
      </c>
      <c r="W1328" t="str">
        <f>"048314-004796-12-SE"</f>
        <v>048314-004796-12-SE</v>
      </c>
      <c r="X1328" t="s">
        <v>838</v>
      </c>
      <c r="Y1328">
        <v>1254.5</v>
      </c>
      <c r="Z1328">
        <v>1254.5</v>
      </c>
      <c r="AA1328" t="str">
        <f>"06/08/2016"</f>
        <v>06/08/2016</v>
      </c>
    </row>
    <row r="1329" spans="1:27" x14ac:dyDescent="0.3">
      <c r="A1329" t="str">
        <f t="shared" si="360"/>
        <v>048314</v>
      </c>
      <c r="B1329" t="str">
        <f t="shared" si="373"/>
        <v>004796</v>
      </c>
      <c r="C1329" t="s">
        <v>1728</v>
      </c>
      <c r="D1329" t="s">
        <v>3839</v>
      </c>
      <c r="E1329" t="s">
        <v>3840</v>
      </c>
      <c r="F1329" t="s">
        <v>3841</v>
      </c>
      <c r="G1329" t="s">
        <v>3842</v>
      </c>
      <c r="H1329" t="str">
        <f>"048363"</f>
        <v>048363</v>
      </c>
      <c r="I1329" t="s">
        <v>833</v>
      </c>
      <c r="J1329" t="str">
        <f>"2015-08-17 00:00:00.0"</f>
        <v>2015-08-17 00:00:00.0</v>
      </c>
      <c r="K1329" t="s">
        <v>834</v>
      </c>
      <c r="L1329" t="s">
        <v>1</v>
      </c>
      <c r="M1329" t="str">
        <f t="shared" si="368"/>
        <v>048314</v>
      </c>
      <c r="N1329">
        <v>1</v>
      </c>
      <c r="O1329">
        <v>1</v>
      </c>
      <c r="P1329" t="str">
        <f>"11"</f>
        <v>11</v>
      </c>
      <c r="Q1329" t="s">
        <v>835</v>
      </c>
      <c r="S1329" t="s">
        <v>836</v>
      </c>
      <c r="T1329" t="s">
        <v>836</v>
      </c>
      <c r="U1329" t="str">
        <f t="shared" si="369"/>
        <v>2500-12-31 00:00:00.0</v>
      </c>
      <c r="V1329" t="s">
        <v>837</v>
      </c>
      <c r="W1329" t="str">
        <f>"048363-026229-**-**"</f>
        <v>048363-026229-**-**</v>
      </c>
      <c r="X1329" t="s">
        <v>838</v>
      </c>
      <c r="Y1329">
        <v>1127</v>
      </c>
      <c r="Z1329">
        <v>1127</v>
      </c>
      <c r="AA1329" t="str">
        <f>"06/15/2016"</f>
        <v>06/15/2016</v>
      </c>
    </row>
    <row r="1330" spans="1:27" x14ac:dyDescent="0.3">
      <c r="A1330" t="str">
        <f t="shared" si="360"/>
        <v>048314</v>
      </c>
      <c r="B1330" t="str">
        <f t="shared" si="373"/>
        <v>004796</v>
      </c>
      <c r="C1330" t="s">
        <v>1038</v>
      </c>
      <c r="D1330" t="s">
        <v>3839</v>
      </c>
      <c r="E1330" t="s">
        <v>3840</v>
      </c>
      <c r="F1330" t="s">
        <v>3841</v>
      </c>
      <c r="G1330" t="s">
        <v>3842</v>
      </c>
      <c r="H1330" t="str">
        <f>"048363"</f>
        <v>048363</v>
      </c>
      <c r="I1330" t="s">
        <v>833</v>
      </c>
      <c r="J1330" t="str">
        <f>"2015-08-06 00:00:00.0"</f>
        <v>2015-08-06 00:00:00.0</v>
      </c>
      <c r="K1330" t="s">
        <v>834</v>
      </c>
      <c r="L1330" t="s">
        <v>1</v>
      </c>
      <c r="M1330" t="str">
        <f t="shared" si="368"/>
        <v>048314</v>
      </c>
      <c r="N1330">
        <v>1</v>
      </c>
      <c r="O1330">
        <v>1</v>
      </c>
      <c r="P1330" t="str">
        <f>"09"</f>
        <v>09</v>
      </c>
      <c r="Q1330" t="s">
        <v>835</v>
      </c>
      <c r="S1330" t="s">
        <v>836</v>
      </c>
      <c r="T1330" t="s">
        <v>836</v>
      </c>
      <c r="U1330" t="str">
        <f t="shared" si="369"/>
        <v>2500-12-31 00:00:00.0</v>
      </c>
      <c r="V1330" t="s">
        <v>837</v>
      </c>
      <c r="W1330" t="str">
        <f>"048363-026229-**-**"</f>
        <v>048363-026229-**-**</v>
      </c>
      <c r="X1330" t="s">
        <v>838</v>
      </c>
      <c r="Y1330">
        <v>1127</v>
      </c>
      <c r="Z1330">
        <v>1127</v>
      </c>
      <c r="AA1330" t="str">
        <f>"06/15/2016"</f>
        <v>06/15/2016</v>
      </c>
    </row>
    <row r="1331" spans="1:27" x14ac:dyDescent="0.3">
      <c r="A1331" t="str">
        <f t="shared" si="360"/>
        <v>048314</v>
      </c>
      <c r="B1331" t="str">
        <f t="shared" si="373"/>
        <v>004796</v>
      </c>
      <c r="C1331" t="s">
        <v>1393</v>
      </c>
      <c r="D1331" t="s">
        <v>3839</v>
      </c>
      <c r="E1331" t="s">
        <v>3840</v>
      </c>
      <c r="F1331" t="s">
        <v>3841</v>
      </c>
      <c r="G1331" t="s">
        <v>3842</v>
      </c>
      <c r="H1331" t="str">
        <f t="shared" ref="H1331:H1337" si="374">"048314"</f>
        <v>048314</v>
      </c>
      <c r="I1331" t="s">
        <v>833</v>
      </c>
      <c r="J1331" t="str">
        <f t="shared" ref="J1331:J1347" si="375">"2015-07-01 00:00:00.0"</f>
        <v>2015-07-01 00:00:00.0</v>
      </c>
      <c r="K1331" t="s">
        <v>834</v>
      </c>
      <c r="L1331" t="s">
        <v>0</v>
      </c>
      <c r="M1331" t="str">
        <f t="shared" si="368"/>
        <v>048314</v>
      </c>
      <c r="N1331">
        <v>1</v>
      </c>
      <c r="O1331">
        <v>1</v>
      </c>
      <c r="P1331" t="str">
        <f>"11"</f>
        <v>11</v>
      </c>
      <c r="Q1331" t="s">
        <v>835</v>
      </c>
      <c r="S1331" t="s">
        <v>836</v>
      </c>
      <c r="T1331" t="s">
        <v>836</v>
      </c>
      <c r="U1331" t="str">
        <f t="shared" si="369"/>
        <v>2500-12-31 00:00:00.0</v>
      </c>
      <c r="V1331" t="s">
        <v>837</v>
      </c>
      <c r="W1331" t="str">
        <f>"048314-004796-**-**"</f>
        <v>048314-004796-**-**</v>
      </c>
      <c r="X1331" t="s">
        <v>838</v>
      </c>
      <c r="Y1331">
        <v>1254.5</v>
      </c>
      <c r="Z1331">
        <v>1254.5</v>
      </c>
      <c r="AA1331" t="str">
        <f t="shared" ref="AA1331:AA1337" si="376">"06/08/2016"</f>
        <v>06/08/2016</v>
      </c>
    </row>
    <row r="1332" spans="1:27" x14ac:dyDescent="0.3">
      <c r="A1332" t="str">
        <f t="shared" si="360"/>
        <v>048314</v>
      </c>
      <c r="B1332" t="str">
        <f t="shared" si="373"/>
        <v>004796</v>
      </c>
      <c r="C1332" t="s">
        <v>1070</v>
      </c>
      <c r="D1332" t="s">
        <v>3839</v>
      </c>
      <c r="E1332" t="s">
        <v>3840</v>
      </c>
      <c r="F1332" t="s">
        <v>3841</v>
      </c>
      <c r="G1332" t="s">
        <v>3842</v>
      </c>
      <c r="H1332" t="str">
        <f t="shared" si="374"/>
        <v>048314</v>
      </c>
      <c r="I1332" t="s">
        <v>833</v>
      </c>
      <c r="J1332" t="str">
        <f t="shared" si="375"/>
        <v>2015-07-01 00:00:00.0</v>
      </c>
      <c r="K1332" t="s">
        <v>834</v>
      </c>
      <c r="L1332" t="s">
        <v>0</v>
      </c>
      <c r="M1332" t="str">
        <f t="shared" si="368"/>
        <v>048314</v>
      </c>
      <c r="N1332">
        <v>1</v>
      </c>
      <c r="O1332">
        <v>1</v>
      </c>
      <c r="P1332" t="str">
        <f>"11"</f>
        <v>11</v>
      </c>
      <c r="Q1332" t="s">
        <v>835</v>
      </c>
      <c r="S1332" t="s">
        <v>836</v>
      </c>
      <c r="T1332" t="s">
        <v>836</v>
      </c>
      <c r="U1332" t="str">
        <f t="shared" si="369"/>
        <v>2500-12-31 00:00:00.0</v>
      </c>
      <c r="V1332" t="s">
        <v>837</v>
      </c>
      <c r="W1332" t="str">
        <f>"048314-004796-**-**"</f>
        <v>048314-004796-**-**</v>
      </c>
      <c r="X1332" t="s">
        <v>838</v>
      </c>
      <c r="Y1332">
        <v>1254.5</v>
      </c>
      <c r="Z1332">
        <v>1254.5</v>
      </c>
      <c r="AA1332" t="str">
        <f t="shared" si="376"/>
        <v>06/08/2016</v>
      </c>
    </row>
    <row r="1333" spans="1:27" x14ac:dyDescent="0.3">
      <c r="A1333" t="str">
        <f t="shared" si="360"/>
        <v>048314</v>
      </c>
      <c r="B1333" t="str">
        <f t="shared" si="373"/>
        <v>004796</v>
      </c>
      <c r="C1333" t="s">
        <v>1394</v>
      </c>
      <c r="D1333" t="s">
        <v>3839</v>
      </c>
      <c r="E1333" t="s">
        <v>3840</v>
      </c>
      <c r="F1333" t="s">
        <v>3841</v>
      </c>
      <c r="G1333" t="s">
        <v>3842</v>
      </c>
      <c r="H1333" t="str">
        <f t="shared" si="374"/>
        <v>048314</v>
      </c>
      <c r="I1333" t="s">
        <v>833</v>
      </c>
      <c r="J1333" t="str">
        <f t="shared" si="375"/>
        <v>2015-07-01 00:00:00.0</v>
      </c>
      <c r="K1333" t="s">
        <v>834</v>
      </c>
      <c r="L1333" t="s">
        <v>0</v>
      </c>
      <c r="M1333" t="str">
        <f t="shared" si="368"/>
        <v>048314</v>
      </c>
      <c r="N1333">
        <v>1</v>
      </c>
      <c r="O1333">
        <v>1</v>
      </c>
      <c r="P1333" t="str">
        <f>"11"</f>
        <v>11</v>
      </c>
      <c r="Q1333" t="s">
        <v>835</v>
      </c>
      <c r="S1333" t="s">
        <v>836</v>
      </c>
      <c r="T1333" t="s">
        <v>836</v>
      </c>
      <c r="U1333" t="str">
        <f t="shared" si="369"/>
        <v>2500-12-31 00:00:00.0</v>
      </c>
      <c r="V1333" t="s">
        <v>837</v>
      </c>
      <c r="W1333" t="str">
        <f>"048314-004796-**-**"</f>
        <v>048314-004796-**-**</v>
      </c>
      <c r="X1333" t="s">
        <v>838</v>
      </c>
      <c r="Y1333">
        <v>1254.5</v>
      </c>
      <c r="Z1333">
        <v>1254.5</v>
      </c>
      <c r="AA1333" t="str">
        <f t="shared" si="376"/>
        <v>06/08/2016</v>
      </c>
    </row>
    <row r="1334" spans="1:27" x14ac:dyDescent="0.3">
      <c r="A1334" t="str">
        <f t="shared" si="360"/>
        <v>048314</v>
      </c>
      <c r="B1334" t="str">
        <f t="shared" si="373"/>
        <v>004796</v>
      </c>
      <c r="C1334" t="s">
        <v>1357</v>
      </c>
      <c r="D1334" t="s">
        <v>3839</v>
      </c>
      <c r="E1334" t="s">
        <v>3840</v>
      </c>
      <c r="F1334" t="s">
        <v>3841</v>
      </c>
      <c r="G1334" t="s">
        <v>3842</v>
      </c>
      <c r="H1334" t="str">
        <f t="shared" si="374"/>
        <v>048314</v>
      </c>
      <c r="I1334" t="s">
        <v>833</v>
      </c>
      <c r="J1334" t="str">
        <f t="shared" si="375"/>
        <v>2015-07-01 00:00:00.0</v>
      </c>
      <c r="K1334" t="s">
        <v>834</v>
      </c>
      <c r="L1334" t="s">
        <v>0</v>
      </c>
      <c r="M1334" t="str">
        <f t="shared" si="368"/>
        <v>048314</v>
      </c>
      <c r="N1334">
        <v>1</v>
      </c>
      <c r="O1334">
        <v>1</v>
      </c>
      <c r="P1334" t="str">
        <f>"11"</f>
        <v>11</v>
      </c>
      <c r="Q1334" t="s">
        <v>835</v>
      </c>
      <c r="S1334" t="s">
        <v>836</v>
      </c>
      <c r="T1334" t="s">
        <v>836</v>
      </c>
      <c r="U1334" t="str">
        <f t="shared" si="369"/>
        <v>2500-12-31 00:00:00.0</v>
      </c>
      <c r="V1334" t="s">
        <v>837</v>
      </c>
      <c r="W1334" t="str">
        <f>"048314-004796-**-**"</f>
        <v>048314-004796-**-**</v>
      </c>
      <c r="X1334" t="s">
        <v>838</v>
      </c>
      <c r="Y1334">
        <v>1254.5</v>
      </c>
      <c r="Z1334">
        <v>1254.5</v>
      </c>
      <c r="AA1334" t="str">
        <f t="shared" si="376"/>
        <v>06/08/2016</v>
      </c>
    </row>
    <row r="1335" spans="1:27" x14ac:dyDescent="0.3">
      <c r="A1335" t="str">
        <f t="shared" si="360"/>
        <v>048314</v>
      </c>
      <c r="B1335" t="str">
        <f t="shared" si="373"/>
        <v>004796</v>
      </c>
      <c r="C1335" t="s">
        <v>2264</v>
      </c>
      <c r="D1335" t="s">
        <v>3839</v>
      </c>
      <c r="E1335" t="s">
        <v>3840</v>
      </c>
      <c r="F1335" t="s">
        <v>3841</v>
      </c>
      <c r="G1335" t="s">
        <v>3842</v>
      </c>
      <c r="H1335" t="str">
        <f t="shared" si="374"/>
        <v>048314</v>
      </c>
      <c r="I1335" t="s">
        <v>833</v>
      </c>
      <c r="J1335" t="str">
        <f t="shared" si="375"/>
        <v>2015-07-01 00:00:00.0</v>
      </c>
      <c r="K1335" t="s">
        <v>834</v>
      </c>
      <c r="L1335" t="s">
        <v>0</v>
      </c>
      <c r="M1335" t="str">
        <f t="shared" si="368"/>
        <v>048314</v>
      </c>
      <c r="N1335">
        <v>1</v>
      </c>
      <c r="O1335">
        <v>1</v>
      </c>
      <c r="P1335" t="str">
        <f>"12"</f>
        <v>12</v>
      </c>
      <c r="Q1335" t="s">
        <v>835</v>
      </c>
      <c r="S1335" t="s">
        <v>836</v>
      </c>
      <c r="T1335" t="s">
        <v>836</v>
      </c>
      <c r="U1335" t="str">
        <f t="shared" si="369"/>
        <v>2500-12-31 00:00:00.0</v>
      </c>
      <c r="V1335" t="s">
        <v>837</v>
      </c>
      <c r="W1335" t="str">
        <f>"048314-004796-12-SE"</f>
        <v>048314-004796-12-SE</v>
      </c>
      <c r="X1335" t="s">
        <v>838</v>
      </c>
      <c r="Y1335">
        <v>1254.5</v>
      </c>
      <c r="Z1335">
        <v>1254.5</v>
      </c>
      <c r="AA1335" t="str">
        <f t="shared" si="376"/>
        <v>06/08/2016</v>
      </c>
    </row>
    <row r="1336" spans="1:27" x14ac:dyDescent="0.3">
      <c r="A1336" t="str">
        <f t="shared" si="360"/>
        <v>048314</v>
      </c>
      <c r="B1336" t="str">
        <f t="shared" si="373"/>
        <v>004796</v>
      </c>
      <c r="C1336" t="s">
        <v>1248</v>
      </c>
      <c r="D1336" t="s">
        <v>3839</v>
      </c>
      <c r="E1336" t="s">
        <v>3840</v>
      </c>
      <c r="F1336" t="s">
        <v>3841</v>
      </c>
      <c r="G1336" t="s">
        <v>3842</v>
      </c>
      <c r="H1336" t="str">
        <f t="shared" si="374"/>
        <v>048314</v>
      </c>
      <c r="I1336" t="s">
        <v>833</v>
      </c>
      <c r="J1336" t="str">
        <f t="shared" si="375"/>
        <v>2015-07-01 00:00:00.0</v>
      </c>
      <c r="K1336" t="s">
        <v>834</v>
      </c>
      <c r="L1336" t="s">
        <v>0</v>
      </c>
      <c r="M1336" t="str">
        <f t="shared" si="368"/>
        <v>048314</v>
      </c>
      <c r="N1336">
        <v>1</v>
      </c>
      <c r="O1336">
        <v>1</v>
      </c>
      <c r="P1336" t="str">
        <f>"12"</f>
        <v>12</v>
      </c>
      <c r="Q1336" t="s">
        <v>835</v>
      </c>
      <c r="S1336" t="s">
        <v>836</v>
      </c>
      <c r="T1336" t="s">
        <v>836</v>
      </c>
      <c r="U1336" t="str">
        <f t="shared" si="369"/>
        <v>2500-12-31 00:00:00.0</v>
      </c>
      <c r="V1336" t="s">
        <v>837</v>
      </c>
      <c r="W1336" t="str">
        <f>"048314-004796-12-SE"</f>
        <v>048314-004796-12-SE</v>
      </c>
      <c r="X1336" t="s">
        <v>838</v>
      </c>
      <c r="Y1336">
        <v>1254.5</v>
      </c>
      <c r="Z1336">
        <v>1254.5</v>
      </c>
      <c r="AA1336" t="str">
        <f t="shared" si="376"/>
        <v>06/08/2016</v>
      </c>
    </row>
    <row r="1337" spans="1:27" x14ac:dyDescent="0.3">
      <c r="A1337" t="str">
        <f t="shared" si="360"/>
        <v>048314</v>
      </c>
      <c r="B1337" t="str">
        <f t="shared" si="373"/>
        <v>004796</v>
      </c>
      <c r="C1337" t="s">
        <v>1540</v>
      </c>
      <c r="D1337" t="s">
        <v>3839</v>
      </c>
      <c r="E1337" t="s">
        <v>3840</v>
      </c>
      <c r="F1337" t="s">
        <v>3841</v>
      </c>
      <c r="G1337" t="s">
        <v>3842</v>
      </c>
      <c r="H1337" t="str">
        <f t="shared" si="374"/>
        <v>048314</v>
      </c>
      <c r="I1337" t="s">
        <v>833</v>
      </c>
      <c r="J1337" t="str">
        <f t="shared" si="375"/>
        <v>2015-07-01 00:00:00.0</v>
      </c>
      <c r="K1337" t="s">
        <v>834</v>
      </c>
      <c r="L1337" t="s">
        <v>0</v>
      </c>
      <c r="M1337" t="str">
        <f t="shared" si="368"/>
        <v>048314</v>
      </c>
      <c r="N1337">
        <v>1</v>
      </c>
      <c r="O1337">
        <v>1</v>
      </c>
      <c r="P1337" t="str">
        <f>"10"</f>
        <v>10</v>
      </c>
      <c r="Q1337" t="s">
        <v>835</v>
      </c>
      <c r="S1337" t="s">
        <v>836</v>
      </c>
      <c r="T1337" t="s">
        <v>836</v>
      </c>
      <c r="U1337" t="str">
        <f t="shared" si="369"/>
        <v>2500-12-31 00:00:00.0</v>
      </c>
      <c r="V1337" t="s">
        <v>837</v>
      </c>
      <c r="W1337" t="str">
        <f>"048314-004796-**-**"</f>
        <v>048314-004796-**-**</v>
      </c>
      <c r="X1337" t="s">
        <v>838</v>
      </c>
      <c r="Y1337">
        <v>1254.5</v>
      </c>
      <c r="Z1337">
        <v>1254.5</v>
      </c>
      <c r="AA1337" t="str">
        <f t="shared" si="376"/>
        <v>06/08/2016</v>
      </c>
    </row>
    <row r="1338" spans="1:27" x14ac:dyDescent="0.3">
      <c r="A1338" t="str">
        <f t="shared" si="360"/>
        <v>048314</v>
      </c>
      <c r="B1338" t="str">
        <f t="shared" si="373"/>
        <v>004796</v>
      </c>
      <c r="C1338" t="s">
        <v>2553</v>
      </c>
      <c r="D1338" t="s">
        <v>3839</v>
      </c>
      <c r="E1338" t="s">
        <v>3840</v>
      </c>
      <c r="F1338" t="s">
        <v>3841</v>
      </c>
      <c r="G1338" t="s">
        <v>3842</v>
      </c>
      <c r="H1338" t="str">
        <f>"148999"</f>
        <v>148999</v>
      </c>
      <c r="I1338" t="s">
        <v>833</v>
      </c>
      <c r="J1338" t="str">
        <f t="shared" si="375"/>
        <v>2015-07-01 00:00:00.0</v>
      </c>
      <c r="K1338" t="s">
        <v>834</v>
      </c>
      <c r="L1338" t="s">
        <v>2</v>
      </c>
      <c r="M1338" t="str">
        <f t="shared" si="368"/>
        <v>048314</v>
      </c>
      <c r="N1338">
        <v>0.36464099999999999</v>
      </c>
      <c r="O1338">
        <v>0.36464099999999999</v>
      </c>
      <c r="P1338" t="str">
        <f>"11"</f>
        <v>11</v>
      </c>
      <c r="Q1338" t="str">
        <f>"15"</f>
        <v>15</v>
      </c>
      <c r="R1338" t="str">
        <f>"2"</f>
        <v>2</v>
      </c>
      <c r="S1338" t="s">
        <v>860</v>
      </c>
      <c r="T1338" t="s">
        <v>836</v>
      </c>
      <c r="U1338" t="str">
        <f>"2015-12-01 00:00:00.0"</f>
        <v>2015-12-01 00:00:00.0</v>
      </c>
      <c r="V1338" t="s">
        <v>837</v>
      </c>
      <c r="W1338" t="str">
        <f>"148999-148999-11-**"</f>
        <v>148999-148999-11-**</v>
      </c>
      <c r="X1338" t="s">
        <v>865</v>
      </c>
      <c r="Y1338">
        <v>363</v>
      </c>
      <c r="Z1338">
        <v>995.5</v>
      </c>
      <c r="AA1338" t="str">
        <f>"05/23/2016"</f>
        <v>05/23/2016</v>
      </c>
    </row>
    <row r="1339" spans="1:27" x14ac:dyDescent="0.3">
      <c r="A1339" t="str">
        <f t="shared" si="360"/>
        <v>048314</v>
      </c>
      <c r="B1339" t="str">
        <f t="shared" si="373"/>
        <v>004796</v>
      </c>
      <c r="C1339" t="s">
        <v>1084</v>
      </c>
      <c r="D1339" t="s">
        <v>3839</v>
      </c>
      <c r="E1339" t="s">
        <v>3840</v>
      </c>
      <c r="F1339" t="s">
        <v>3841</v>
      </c>
      <c r="G1339" t="s">
        <v>3842</v>
      </c>
      <c r="H1339" t="str">
        <f t="shared" ref="H1339:H1356" si="377">"048314"</f>
        <v>048314</v>
      </c>
      <c r="I1339" t="s">
        <v>833</v>
      </c>
      <c r="J1339" t="str">
        <f t="shared" si="375"/>
        <v>2015-07-01 00:00:00.0</v>
      </c>
      <c r="K1339" t="s">
        <v>834</v>
      </c>
      <c r="L1339" t="s">
        <v>0</v>
      </c>
      <c r="M1339" t="str">
        <f t="shared" si="368"/>
        <v>048314</v>
      </c>
      <c r="N1339">
        <v>1</v>
      </c>
      <c r="O1339">
        <v>1</v>
      </c>
      <c r="P1339" t="str">
        <f>"12"</f>
        <v>12</v>
      </c>
      <c r="Q1339" t="s">
        <v>835</v>
      </c>
      <c r="S1339" t="s">
        <v>836</v>
      </c>
      <c r="T1339" t="s">
        <v>836</v>
      </c>
      <c r="U1339" t="str">
        <f t="shared" ref="U1339:U1346" si="378">"2500-12-31 00:00:00.0"</f>
        <v>2500-12-31 00:00:00.0</v>
      </c>
      <c r="V1339" t="s">
        <v>837</v>
      </c>
      <c r="W1339" t="str">
        <f>"048314-004796-12-SE"</f>
        <v>048314-004796-12-SE</v>
      </c>
      <c r="X1339" t="s">
        <v>838</v>
      </c>
      <c r="Y1339">
        <v>1254.5</v>
      </c>
      <c r="Z1339">
        <v>1254.5</v>
      </c>
      <c r="AA1339" t="str">
        <f t="shared" ref="AA1339:AA1356" si="379">"06/08/2016"</f>
        <v>06/08/2016</v>
      </c>
    </row>
    <row r="1340" spans="1:27" x14ac:dyDescent="0.3">
      <c r="A1340" t="str">
        <f t="shared" si="360"/>
        <v>048314</v>
      </c>
      <c r="B1340" t="str">
        <f t="shared" si="373"/>
        <v>004796</v>
      </c>
      <c r="C1340" t="s">
        <v>1290</v>
      </c>
      <c r="D1340" t="s">
        <v>3839</v>
      </c>
      <c r="E1340" t="s">
        <v>3840</v>
      </c>
      <c r="F1340" t="s">
        <v>3841</v>
      </c>
      <c r="G1340" t="s">
        <v>3842</v>
      </c>
      <c r="H1340" t="str">
        <f t="shared" si="377"/>
        <v>048314</v>
      </c>
      <c r="I1340" t="s">
        <v>833</v>
      </c>
      <c r="J1340" t="str">
        <f t="shared" si="375"/>
        <v>2015-07-01 00:00:00.0</v>
      </c>
      <c r="K1340" t="s">
        <v>834</v>
      </c>
      <c r="L1340" t="s">
        <v>0</v>
      </c>
      <c r="M1340" t="str">
        <f t="shared" si="368"/>
        <v>048314</v>
      </c>
      <c r="N1340">
        <v>1</v>
      </c>
      <c r="O1340">
        <v>1</v>
      </c>
      <c r="P1340" t="str">
        <f>"12"</f>
        <v>12</v>
      </c>
      <c r="Q1340" t="s">
        <v>835</v>
      </c>
      <c r="S1340" t="s">
        <v>836</v>
      </c>
      <c r="T1340" t="s">
        <v>836</v>
      </c>
      <c r="U1340" t="str">
        <f t="shared" si="378"/>
        <v>2500-12-31 00:00:00.0</v>
      </c>
      <c r="V1340" t="s">
        <v>837</v>
      </c>
      <c r="W1340" t="str">
        <f>"048314-004796-12-SE"</f>
        <v>048314-004796-12-SE</v>
      </c>
      <c r="X1340" t="s">
        <v>838</v>
      </c>
      <c r="Y1340">
        <v>1254.5</v>
      </c>
      <c r="Z1340">
        <v>1254.5</v>
      </c>
      <c r="AA1340" t="str">
        <f t="shared" si="379"/>
        <v>06/08/2016</v>
      </c>
    </row>
    <row r="1341" spans="1:27" x14ac:dyDescent="0.3">
      <c r="A1341" t="str">
        <f t="shared" si="360"/>
        <v>048314</v>
      </c>
      <c r="B1341" t="str">
        <f t="shared" si="373"/>
        <v>004796</v>
      </c>
      <c r="C1341" t="s">
        <v>1624</v>
      </c>
      <c r="D1341" t="s">
        <v>3839</v>
      </c>
      <c r="E1341" t="s">
        <v>3840</v>
      </c>
      <c r="F1341" t="s">
        <v>3841</v>
      </c>
      <c r="G1341" t="s">
        <v>3842</v>
      </c>
      <c r="H1341" t="str">
        <f t="shared" si="377"/>
        <v>048314</v>
      </c>
      <c r="I1341" t="s">
        <v>833</v>
      </c>
      <c r="J1341" t="str">
        <f t="shared" si="375"/>
        <v>2015-07-01 00:00:00.0</v>
      </c>
      <c r="K1341" t="s">
        <v>834</v>
      </c>
      <c r="L1341" t="s">
        <v>0</v>
      </c>
      <c r="M1341" t="str">
        <f t="shared" si="368"/>
        <v>048314</v>
      </c>
      <c r="N1341">
        <v>1</v>
      </c>
      <c r="O1341">
        <v>1</v>
      </c>
      <c r="P1341" t="str">
        <f>"10"</f>
        <v>10</v>
      </c>
      <c r="Q1341" t="s">
        <v>835</v>
      </c>
      <c r="S1341" t="s">
        <v>836</v>
      </c>
      <c r="T1341" t="s">
        <v>836</v>
      </c>
      <c r="U1341" t="str">
        <f t="shared" si="378"/>
        <v>2500-12-31 00:00:00.0</v>
      </c>
      <c r="V1341" t="s">
        <v>837</v>
      </c>
      <c r="W1341" t="str">
        <f t="shared" ref="W1341:W1346" si="380">"048314-004796-**-**"</f>
        <v>048314-004796-**-**</v>
      </c>
      <c r="X1341" t="s">
        <v>838</v>
      </c>
      <c r="Y1341">
        <v>1254.5</v>
      </c>
      <c r="Z1341">
        <v>1254.5</v>
      </c>
      <c r="AA1341" t="str">
        <f t="shared" si="379"/>
        <v>06/08/2016</v>
      </c>
    </row>
    <row r="1342" spans="1:27" x14ac:dyDescent="0.3">
      <c r="A1342" t="str">
        <f t="shared" si="360"/>
        <v>048314</v>
      </c>
      <c r="B1342" t="str">
        <f t="shared" si="373"/>
        <v>004796</v>
      </c>
      <c r="C1342" t="s">
        <v>2280</v>
      </c>
      <c r="D1342" t="s">
        <v>3839</v>
      </c>
      <c r="E1342" t="s">
        <v>3840</v>
      </c>
      <c r="F1342" t="s">
        <v>3841</v>
      </c>
      <c r="G1342" t="s">
        <v>3842</v>
      </c>
      <c r="H1342" t="str">
        <f t="shared" si="377"/>
        <v>048314</v>
      </c>
      <c r="I1342" t="s">
        <v>833</v>
      </c>
      <c r="J1342" t="str">
        <f t="shared" si="375"/>
        <v>2015-07-01 00:00:00.0</v>
      </c>
      <c r="K1342" t="s">
        <v>834</v>
      </c>
      <c r="L1342" t="s">
        <v>0</v>
      </c>
      <c r="M1342" t="str">
        <f t="shared" si="368"/>
        <v>048314</v>
      </c>
      <c r="N1342">
        <v>1</v>
      </c>
      <c r="O1342">
        <v>1</v>
      </c>
      <c r="P1342" t="str">
        <f>"10"</f>
        <v>10</v>
      </c>
      <c r="Q1342" t="s">
        <v>835</v>
      </c>
      <c r="S1342" t="s">
        <v>836</v>
      </c>
      <c r="T1342" t="s">
        <v>836</v>
      </c>
      <c r="U1342" t="str">
        <f t="shared" si="378"/>
        <v>2500-12-31 00:00:00.0</v>
      </c>
      <c r="V1342" t="s">
        <v>837</v>
      </c>
      <c r="W1342" t="str">
        <f t="shared" si="380"/>
        <v>048314-004796-**-**</v>
      </c>
      <c r="X1342" t="s">
        <v>838</v>
      </c>
      <c r="Y1342">
        <v>1254.5</v>
      </c>
      <c r="Z1342">
        <v>1254.5</v>
      </c>
      <c r="AA1342" t="str">
        <f t="shared" si="379"/>
        <v>06/08/2016</v>
      </c>
    </row>
    <row r="1343" spans="1:27" x14ac:dyDescent="0.3">
      <c r="A1343" t="str">
        <f t="shared" si="360"/>
        <v>048314</v>
      </c>
      <c r="B1343" t="str">
        <f t="shared" si="373"/>
        <v>004796</v>
      </c>
      <c r="C1343" t="s">
        <v>1358</v>
      </c>
      <c r="D1343" t="s">
        <v>3839</v>
      </c>
      <c r="E1343" t="s">
        <v>3840</v>
      </c>
      <c r="F1343" t="s">
        <v>3841</v>
      </c>
      <c r="G1343" t="s">
        <v>3842</v>
      </c>
      <c r="H1343" t="str">
        <f t="shared" si="377"/>
        <v>048314</v>
      </c>
      <c r="I1343" t="s">
        <v>833</v>
      </c>
      <c r="J1343" t="str">
        <f t="shared" si="375"/>
        <v>2015-07-01 00:00:00.0</v>
      </c>
      <c r="K1343" t="s">
        <v>834</v>
      </c>
      <c r="L1343" t="s">
        <v>0</v>
      </c>
      <c r="M1343" t="str">
        <f t="shared" si="368"/>
        <v>048314</v>
      </c>
      <c r="N1343">
        <v>1</v>
      </c>
      <c r="O1343">
        <v>1</v>
      </c>
      <c r="P1343" t="str">
        <f>"11"</f>
        <v>11</v>
      </c>
      <c r="Q1343" t="str">
        <f>"10"</f>
        <v>10</v>
      </c>
      <c r="R1343" t="str">
        <f>"2"</f>
        <v>2</v>
      </c>
      <c r="S1343" t="s">
        <v>860</v>
      </c>
      <c r="T1343" t="s">
        <v>836</v>
      </c>
      <c r="U1343" t="str">
        <f t="shared" si="378"/>
        <v>2500-12-31 00:00:00.0</v>
      </c>
      <c r="V1343" t="s">
        <v>837</v>
      </c>
      <c r="W1343" t="str">
        <f t="shared" si="380"/>
        <v>048314-004796-**-**</v>
      </c>
      <c r="X1343" t="s">
        <v>838</v>
      </c>
      <c r="Y1343">
        <v>1254.5</v>
      </c>
      <c r="Z1343">
        <v>1254.5</v>
      </c>
      <c r="AA1343" t="str">
        <f t="shared" si="379"/>
        <v>06/08/2016</v>
      </c>
    </row>
    <row r="1344" spans="1:27" x14ac:dyDescent="0.3">
      <c r="A1344" t="str">
        <f t="shared" si="360"/>
        <v>048314</v>
      </c>
      <c r="B1344" t="str">
        <f t="shared" si="373"/>
        <v>004796</v>
      </c>
      <c r="C1344" t="s">
        <v>1729</v>
      </c>
      <c r="D1344" t="s">
        <v>3839</v>
      </c>
      <c r="E1344" t="s">
        <v>3840</v>
      </c>
      <c r="F1344" t="s">
        <v>3841</v>
      </c>
      <c r="G1344" t="s">
        <v>3842</v>
      </c>
      <c r="H1344" t="str">
        <f t="shared" si="377"/>
        <v>048314</v>
      </c>
      <c r="I1344" t="s">
        <v>833</v>
      </c>
      <c r="J1344" t="str">
        <f t="shared" si="375"/>
        <v>2015-07-01 00:00:00.0</v>
      </c>
      <c r="K1344" t="s">
        <v>834</v>
      </c>
      <c r="L1344" t="s">
        <v>0</v>
      </c>
      <c r="M1344" t="str">
        <f t="shared" si="368"/>
        <v>048314</v>
      </c>
      <c r="N1344">
        <v>1</v>
      </c>
      <c r="O1344">
        <v>1</v>
      </c>
      <c r="P1344" t="str">
        <f>"11"</f>
        <v>11</v>
      </c>
      <c r="Q1344" t="s">
        <v>835</v>
      </c>
      <c r="S1344" t="s">
        <v>836</v>
      </c>
      <c r="T1344" t="s">
        <v>836</v>
      </c>
      <c r="U1344" t="str">
        <f t="shared" si="378"/>
        <v>2500-12-31 00:00:00.0</v>
      </c>
      <c r="V1344" t="s">
        <v>837</v>
      </c>
      <c r="W1344" t="str">
        <f t="shared" si="380"/>
        <v>048314-004796-**-**</v>
      </c>
      <c r="X1344" t="s">
        <v>838</v>
      </c>
      <c r="Y1344">
        <v>1254.5</v>
      </c>
      <c r="Z1344">
        <v>1254.5</v>
      </c>
      <c r="AA1344" t="str">
        <f t="shared" si="379"/>
        <v>06/08/2016</v>
      </c>
    </row>
    <row r="1345" spans="1:27" x14ac:dyDescent="0.3">
      <c r="A1345" t="str">
        <f t="shared" si="360"/>
        <v>048314</v>
      </c>
      <c r="B1345" t="str">
        <f t="shared" si="373"/>
        <v>004796</v>
      </c>
      <c r="C1345" t="s">
        <v>1395</v>
      </c>
      <c r="D1345" t="s">
        <v>3839</v>
      </c>
      <c r="E1345" t="s">
        <v>3840</v>
      </c>
      <c r="F1345" t="s">
        <v>3841</v>
      </c>
      <c r="G1345" t="s">
        <v>3842</v>
      </c>
      <c r="H1345" t="str">
        <f t="shared" si="377"/>
        <v>048314</v>
      </c>
      <c r="I1345" t="s">
        <v>833</v>
      </c>
      <c r="J1345" t="str">
        <f t="shared" si="375"/>
        <v>2015-07-01 00:00:00.0</v>
      </c>
      <c r="K1345" t="s">
        <v>834</v>
      </c>
      <c r="L1345" t="s">
        <v>0</v>
      </c>
      <c r="M1345" t="str">
        <f t="shared" si="368"/>
        <v>048314</v>
      </c>
      <c r="N1345">
        <v>1</v>
      </c>
      <c r="O1345">
        <v>1</v>
      </c>
      <c r="P1345" t="str">
        <f>"11"</f>
        <v>11</v>
      </c>
      <c r="Q1345" t="s">
        <v>835</v>
      </c>
      <c r="S1345" t="s">
        <v>836</v>
      </c>
      <c r="T1345" t="s">
        <v>836</v>
      </c>
      <c r="U1345" t="str">
        <f t="shared" si="378"/>
        <v>2500-12-31 00:00:00.0</v>
      </c>
      <c r="V1345" t="s">
        <v>837</v>
      </c>
      <c r="W1345" t="str">
        <f t="shared" si="380"/>
        <v>048314-004796-**-**</v>
      </c>
      <c r="X1345" t="s">
        <v>838</v>
      </c>
      <c r="Y1345">
        <v>1254.5</v>
      </c>
      <c r="Z1345">
        <v>1254.5</v>
      </c>
      <c r="AA1345" t="str">
        <f t="shared" si="379"/>
        <v>06/08/2016</v>
      </c>
    </row>
    <row r="1346" spans="1:27" x14ac:dyDescent="0.3">
      <c r="A1346" t="str">
        <f t="shared" ref="A1346:A1409" si="381">"048314"</f>
        <v>048314</v>
      </c>
      <c r="B1346" t="str">
        <f t="shared" si="373"/>
        <v>004796</v>
      </c>
      <c r="C1346" t="s">
        <v>1359</v>
      </c>
      <c r="D1346" t="s">
        <v>3839</v>
      </c>
      <c r="E1346" t="s">
        <v>3840</v>
      </c>
      <c r="F1346" t="s">
        <v>3841</v>
      </c>
      <c r="G1346" t="s">
        <v>3842</v>
      </c>
      <c r="H1346" t="str">
        <f t="shared" si="377"/>
        <v>048314</v>
      </c>
      <c r="I1346" t="s">
        <v>833</v>
      </c>
      <c r="J1346" t="str">
        <f t="shared" si="375"/>
        <v>2015-07-01 00:00:00.0</v>
      </c>
      <c r="K1346" t="s">
        <v>834</v>
      </c>
      <c r="L1346" t="s">
        <v>0</v>
      </c>
      <c r="M1346" t="str">
        <f t="shared" si="368"/>
        <v>048314</v>
      </c>
      <c r="N1346">
        <v>1</v>
      </c>
      <c r="O1346">
        <v>1</v>
      </c>
      <c r="P1346" t="str">
        <f>"11"</f>
        <v>11</v>
      </c>
      <c r="Q1346" t="s">
        <v>835</v>
      </c>
      <c r="S1346" t="s">
        <v>860</v>
      </c>
      <c r="T1346" t="s">
        <v>836</v>
      </c>
      <c r="U1346" t="str">
        <f t="shared" si="378"/>
        <v>2500-12-31 00:00:00.0</v>
      </c>
      <c r="V1346" t="s">
        <v>837</v>
      </c>
      <c r="W1346" t="str">
        <f t="shared" si="380"/>
        <v>048314-004796-**-**</v>
      </c>
      <c r="X1346" t="s">
        <v>838</v>
      </c>
      <c r="Y1346">
        <v>1254.5</v>
      </c>
      <c r="Z1346">
        <v>1254.5</v>
      </c>
      <c r="AA1346" t="str">
        <f t="shared" si="379"/>
        <v>06/08/2016</v>
      </c>
    </row>
    <row r="1347" spans="1:27" x14ac:dyDescent="0.3">
      <c r="A1347" t="str">
        <f t="shared" si="381"/>
        <v>048314</v>
      </c>
      <c r="B1347" t="str">
        <f t="shared" si="373"/>
        <v>004796</v>
      </c>
      <c r="C1347" t="s">
        <v>3165</v>
      </c>
      <c r="D1347" t="s">
        <v>3839</v>
      </c>
      <c r="E1347" t="s">
        <v>3840</v>
      </c>
      <c r="F1347" t="s">
        <v>3841</v>
      </c>
      <c r="G1347" t="s">
        <v>3842</v>
      </c>
      <c r="H1347" t="str">
        <f t="shared" si="377"/>
        <v>048314</v>
      </c>
      <c r="I1347" t="s">
        <v>833</v>
      </c>
      <c r="J1347" t="str">
        <f t="shared" si="375"/>
        <v>2015-07-01 00:00:00.0</v>
      </c>
      <c r="K1347" t="s">
        <v>834</v>
      </c>
      <c r="L1347" t="s">
        <v>0</v>
      </c>
      <c r="M1347" t="str">
        <f t="shared" si="368"/>
        <v>048314</v>
      </c>
      <c r="N1347">
        <v>0.290155</v>
      </c>
      <c r="O1347">
        <v>0.290155</v>
      </c>
      <c r="P1347" t="str">
        <f>"12"</f>
        <v>12</v>
      </c>
      <c r="Q1347" t="s">
        <v>835</v>
      </c>
      <c r="S1347" t="s">
        <v>836</v>
      </c>
      <c r="T1347" t="s">
        <v>836</v>
      </c>
      <c r="U1347" t="str">
        <f>"2015-11-17 00:00:00.0"</f>
        <v>2015-11-17 00:00:00.0</v>
      </c>
      <c r="V1347" t="s">
        <v>837</v>
      </c>
      <c r="W1347" t="str">
        <f>"048314-004796-12-SE"</f>
        <v>048314-004796-12-SE</v>
      </c>
      <c r="X1347" t="s">
        <v>838</v>
      </c>
      <c r="Y1347">
        <v>364</v>
      </c>
      <c r="Z1347">
        <v>1254.5</v>
      </c>
      <c r="AA1347" t="str">
        <f t="shared" si="379"/>
        <v>06/08/2016</v>
      </c>
    </row>
    <row r="1348" spans="1:27" x14ac:dyDescent="0.3">
      <c r="A1348" t="str">
        <f t="shared" si="381"/>
        <v>048314</v>
      </c>
      <c r="B1348" t="str">
        <f t="shared" si="373"/>
        <v>004796</v>
      </c>
      <c r="C1348" t="s">
        <v>3165</v>
      </c>
      <c r="D1348" t="s">
        <v>3839</v>
      </c>
      <c r="E1348" t="s">
        <v>3840</v>
      </c>
      <c r="F1348" t="s">
        <v>3841</v>
      </c>
      <c r="G1348" t="s">
        <v>3842</v>
      </c>
      <c r="H1348" t="str">
        <f t="shared" si="377"/>
        <v>048314</v>
      </c>
      <c r="I1348" t="s">
        <v>833</v>
      </c>
      <c r="J1348" t="str">
        <f>"2015-11-18 00:00:00.0"</f>
        <v>2015-11-18 00:00:00.0</v>
      </c>
      <c r="K1348" t="s">
        <v>834</v>
      </c>
      <c r="L1348" t="s">
        <v>0</v>
      </c>
      <c r="M1348" t="str">
        <f>"050195"</f>
        <v>050195</v>
      </c>
      <c r="N1348">
        <v>0.70984499999999995</v>
      </c>
      <c r="O1348">
        <v>0.70984499999999995</v>
      </c>
      <c r="P1348" t="str">
        <f>"12"</f>
        <v>12</v>
      </c>
      <c r="Q1348" t="s">
        <v>835</v>
      </c>
      <c r="S1348" t="s">
        <v>836</v>
      </c>
      <c r="T1348" t="s">
        <v>836</v>
      </c>
      <c r="U1348" t="str">
        <f t="shared" ref="U1348:U1354" si="382">"2500-12-31 00:00:00.0"</f>
        <v>2500-12-31 00:00:00.0</v>
      </c>
      <c r="V1348" t="s">
        <v>837</v>
      </c>
      <c r="W1348" t="str">
        <f>"048314-004796-12-SE"</f>
        <v>048314-004796-12-SE</v>
      </c>
      <c r="X1348" t="s">
        <v>838</v>
      </c>
      <c r="Y1348">
        <v>890.5</v>
      </c>
      <c r="Z1348">
        <v>1254.5</v>
      </c>
      <c r="AA1348" t="str">
        <f t="shared" si="379"/>
        <v>06/08/2016</v>
      </c>
    </row>
    <row r="1349" spans="1:27" x14ac:dyDescent="0.3">
      <c r="A1349" t="str">
        <f t="shared" si="381"/>
        <v>048314</v>
      </c>
      <c r="B1349" t="str">
        <f t="shared" si="373"/>
        <v>004796</v>
      </c>
      <c r="C1349" t="s">
        <v>1360</v>
      </c>
      <c r="D1349" t="s">
        <v>3839</v>
      </c>
      <c r="E1349" t="s">
        <v>3840</v>
      </c>
      <c r="F1349" t="s">
        <v>3841</v>
      </c>
      <c r="G1349" t="s">
        <v>3842</v>
      </c>
      <c r="H1349" t="str">
        <f t="shared" si="377"/>
        <v>048314</v>
      </c>
      <c r="I1349" t="s">
        <v>833</v>
      </c>
      <c r="J1349" t="str">
        <f t="shared" ref="J1349:J1355" si="383">"2015-07-01 00:00:00.0"</f>
        <v>2015-07-01 00:00:00.0</v>
      </c>
      <c r="K1349" t="s">
        <v>834</v>
      </c>
      <c r="L1349" t="s">
        <v>0</v>
      </c>
      <c r="M1349" t="str">
        <f t="shared" ref="M1349:M1412" si="384">"048314"</f>
        <v>048314</v>
      </c>
      <c r="N1349">
        <v>1</v>
      </c>
      <c r="O1349">
        <v>1</v>
      </c>
      <c r="P1349" t="str">
        <f>"11"</f>
        <v>11</v>
      </c>
      <c r="Q1349" t="s">
        <v>835</v>
      </c>
      <c r="S1349" t="s">
        <v>836</v>
      </c>
      <c r="T1349" t="s">
        <v>836</v>
      </c>
      <c r="U1349" t="str">
        <f t="shared" si="382"/>
        <v>2500-12-31 00:00:00.0</v>
      </c>
      <c r="V1349" t="s">
        <v>837</v>
      </c>
      <c r="W1349" t="str">
        <f>"048314-004796-**-**"</f>
        <v>048314-004796-**-**</v>
      </c>
      <c r="X1349" t="s">
        <v>838</v>
      </c>
      <c r="Y1349">
        <v>1254.5</v>
      </c>
      <c r="Z1349">
        <v>1254.5</v>
      </c>
      <c r="AA1349" t="str">
        <f t="shared" si="379"/>
        <v>06/08/2016</v>
      </c>
    </row>
    <row r="1350" spans="1:27" x14ac:dyDescent="0.3">
      <c r="A1350" t="str">
        <f t="shared" si="381"/>
        <v>048314</v>
      </c>
      <c r="B1350" t="str">
        <f t="shared" si="373"/>
        <v>004796</v>
      </c>
      <c r="C1350" t="s">
        <v>1688</v>
      </c>
      <c r="D1350" t="s">
        <v>3839</v>
      </c>
      <c r="E1350" t="s">
        <v>3840</v>
      </c>
      <c r="F1350" t="s">
        <v>3841</v>
      </c>
      <c r="G1350" t="s">
        <v>3842</v>
      </c>
      <c r="H1350" t="str">
        <f t="shared" si="377"/>
        <v>048314</v>
      </c>
      <c r="I1350" t="s">
        <v>833</v>
      </c>
      <c r="J1350" t="str">
        <f t="shared" si="383"/>
        <v>2015-07-01 00:00:00.0</v>
      </c>
      <c r="K1350" t="s">
        <v>834</v>
      </c>
      <c r="L1350" t="s">
        <v>0</v>
      </c>
      <c r="M1350" t="str">
        <f t="shared" si="384"/>
        <v>048314</v>
      </c>
      <c r="N1350">
        <v>1</v>
      </c>
      <c r="O1350">
        <v>1</v>
      </c>
      <c r="P1350" t="str">
        <f>"10"</f>
        <v>10</v>
      </c>
      <c r="Q1350" t="s">
        <v>835</v>
      </c>
      <c r="S1350" t="s">
        <v>836</v>
      </c>
      <c r="T1350" t="s">
        <v>836</v>
      </c>
      <c r="U1350" t="str">
        <f t="shared" si="382"/>
        <v>2500-12-31 00:00:00.0</v>
      </c>
      <c r="V1350" t="s">
        <v>837</v>
      </c>
      <c r="W1350" t="str">
        <f>"048314-004796-**-**"</f>
        <v>048314-004796-**-**</v>
      </c>
      <c r="X1350" t="s">
        <v>838</v>
      </c>
      <c r="Y1350">
        <v>1254.5</v>
      </c>
      <c r="Z1350">
        <v>1254.5</v>
      </c>
      <c r="AA1350" t="str">
        <f t="shared" si="379"/>
        <v>06/08/2016</v>
      </c>
    </row>
    <row r="1351" spans="1:27" x14ac:dyDescent="0.3">
      <c r="A1351" t="str">
        <f t="shared" si="381"/>
        <v>048314</v>
      </c>
      <c r="B1351" t="str">
        <f t="shared" si="373"/>
        <v>004796</v>
      </c>
      <c r="C1351" t="s">
        <v>1730</v>
      </c>
      <c r="D1351" t="s">
        <v>3839</v>
      </c>
      <c r="E1351" t="s">
        <v>3840</v>
      </c>
      <c r="F1351" t="s">
        <v>3841</v>
      </c>
      <c r="G1351" t="s">
        <v>3842</v>
      </c>
      <c r="H1351" t="str">
        <f t="shared" si="377"/>
        <v>048314</v>
      </c>
      <c r="I1351" t="s">
        <v>833</v>
      </c>
      <c r="J1351" t="str">
        <f t="shared" si="383"/>
        <v>2015-07-01 00:00:00.0</v>
      </c>
      <c r="K1351" t="s">
        <v>834</v>
      </c>
      <c r="L1351" t="s">
        <v>0</v>
      </c>
      <c r="M1351" t="str">
        <f t="shared" si="384"/>
        <v>048314</v>
      </c>
      <c r="N1351">
        <v>1</v>
      </c>
      <c r="O1351">
        <v>1</v>
      </c>
      <c r="P1351" t="str">
        <f>"11"</f>
        <v>11</v>
      </c>
      <c r="Q1351" t="s">
        <v>835</v>
      </c>
      <c r="S1351" t="s">
        <v>836</v>
      </c>
      <c r="T1351" t="s">
        <v>836</v>
      </c>
      <c r="U1351" t="str">
        <f t="shared" si="382"/>
        <v>2500-12-31 00:00:00.0</v>
      </c>
      <c r="V1351" t="s">
        <v>837</v>
      </c>
      <c r="W1351" t="str">
        <f>"048314-004796-**-**"</f>
        <v>048314-004796-**-**</v>
      </c>
      <c r="X1351" t="s">
        <v>838</v>
      </c>
      <c r="Y1351">
        <v>1254.5</v>
      </c>
      <c r="Z1351">
        <v>1254.5</v>
      </c>
      <c r="AA1351" t="str">
        <f t="shared" si="379"/>
        <v>06/08/2016</v>
      </c>
    </row>
    <row r="1352" spans="1:27" x14ac:dyDescent="0.3">
      <c r="A1352" t="str">
        <f t="shared" si="381"/>
        <v>048314</v>
      </c>
      <c r="B1352" t="str">
        <f t="shared" si="373"/>
        <v>004796</v>
      </c>
      <c r="C1352" t="s">
        <v>1536</v>
      </c>
      <c r="D1352" t="s">
        <v>3839</v>
      </c>
      <c r="E1352" t="s">
        <v>3840</v>
      </c>
      <c r="F1352" t="s">
        <v>3841</v>
      </c>
      <c r="G1352" t="s">
        <v>3842</v>
      </c>
      <c r="H1352" t="str">
        <f t="shared" si="377"/>
        <v>048314</v>
      </c>
      <c r="I1352" t="s">
        <v>833</v>
      </c>
      <c r="J1352" t="str">
        <f t="shared" si="383"/>
        <v>2015-07-01 00:00:00.0</v>
      </c>
      <c r="K1352" t="s">
        <v>834</v>
      </c>
      <c r="L1352" t="s">
        <v>0</v>
      </c>
      <c r="M1352" t="str">
        <f t="shared" si="384"/>
        <v>048314</v>
      </c>
      <c r="N1352">
        <v>1</v>
      </c>
      <c r="O1352">
        <v>1</v>
      </c>
      <c r="P1352" t="str">
        <f>"10"</f>
        <v>10</v>
      </c>
      <c r="Q1352" t="s">
        <v>835</v>
      </c>
      <c r="S1352" t="s">
        <v>836</v>
      </c>
      <c r="T1352" t="s">
        <v>836</v>
      </c>
      <c r="U1352" t="str">
        <f t="shared" si="382"/>
        <v>2500-12-31 00:00:00.0</v>
      </c>
      <c r="V1352" t="s">
        <v>837</v>
      </c>
      <c r="W1352" t="str">
        <f>"048314-004796-**-**"</f>
        <v>048314-004796-**-**</v>
      </c>
      <c r="X1352" t="s">
        <v>838</v>
      </c>
      <c r="Y1352">
        <v>1254.5</v>
      </c>
      <c r="Z1352">
        <v>1254.5</v>
      </c>
      <c r="AA1352" t="str">
        <f t="shared" si="379"/>
        <v>06/08/2016</v>
      </c>
    </row>
    <row r="1353" spans="1:27" x14ac:dyDescent="0.3">
      <c r="A1353" t="str">
        <f t="shared" si="381"/>
        <v>048314</v>
      </c>
      <c r="B1353" t="str">
        <f t="shared" si="373"/>
        <v>004796</v>
      </c>
      <c r="C1353" t="s">
        <v>1208</v>
      </c>
      <c r="D1353" t="s">
        <v>3839</v>
      </c>
      <c r="E1353" t="s">
        <v>3840</v>
      </c>
      <c r="F1353" t="s">
        <v>3841</v>
      </c>
      <c r="G1353" t="s">
        <v>3842</v>
      </c>
      <c r="H1353" t="str">
        <f t="shared" si="377"/>
        <v>048314</v>
      </c>
      <c r="I1353" t="s">
        <v>833</v>
      </c>
      <c r="J1353" t="str">
        <f t="shared" si="383"/>
        <v>2015-07-01 00:00:00.0</v>
      </c>
      <c r="K1353" t="s">
        <v>834</v>
      </c>
      <c r="L1353" t="s">
        <v>0</v>
      </c>
      <c r="M1353" t="str">
        <f t="shared" si="384"/>
        <v>048314</v>
      </c>
      <c r="N1353">
        <v>1</v>
      </c>
      <c r="O1353">
        <v>1</v>
      </c>
      <c r="P1353" t="str">
        <f>"12"</f>
        <v>12</v>
      </c>
      <c r="Q1353" t="s">
        <v>835</v>
      </c>
      <c r="S1353" t="s">
        <v>836</v>
      </c>
      <c r="T1353" t="s">
        <v>836</v>
      </c>
      <c r="U1353" t="str">
        <f t="shared" si="382"/>
        <v>2500-12-31 00:00:00.0</v>
      </c>
      <c r="V1353" t="s">
        <v>837</v>
      </c>
      <c r="W1353" t="str">
        <f>"048314-004796-12-SE"</f>
        <v>048314-004796-12-SE</v>
      </c>
      <c r="X1353" t="s">
        <v>838</v>
      </c>
      <c r="Y1353">
        <v>1254.5</v>
      </c>
      <c r="Z1353">
        <v>1254.5</v>
      </c>
      <c r="AA1353" t="str">
        <f t="shared" si="379"/>
        <v>06/08/2016</v>
      </c>
    </row>
    <row r="1354" spans="1:27" x14ac:dyDescent="0.3">
      <c r="A1354" t="str">
        <f t="shared" si="381"/>
        <v>048314</v>
      </c>
      <c r="B1354" t="str">
        <f t="shared" si="373"/>
        <v>004796</v>
      </c>
      <c r="C1354" t="s">
        <v>1270</v>
      </c>
      <c r="D1354" t="s">
        <v>3839</v>
      </c>
      <c r="E1354" t="s">
        <v>3840</v>
      </c>
      <c r="F1354" t="s">
        <v>3841</v>
      </c>
      <c r="G1354" t="s">
        <v>3842</v>
      </c>
      <c r="H1354" t="str">
        <f t="shared" si="377"/>
        <v>048314</v>
      </c>
      <c r="I1354" t="s">
        <v>833</v>
      </c>
      <c r="J1354" t="str">
        <f t="shared" si="383"/>
        <v>2015-07-01 00:00:00.0</v>
      </c>
      <c r="K1354" t="s">
        <v>834</v>
      </c>
      <c r="L1354" t="s">
        <v>0</v>
      </c>
      <c r="M1354" t="str">
        <f t="shared" si="384"/>
        <v>048314</v>
      </c>
      <c r="N1354">
        <v>1</v>
      </c>
      <c r="O1354">
        <v>1</v>
      </c>
      <c r="P1354" t="str">
        <f>"12"</f>
        <v>12</v>
      </c>
      <c r="Q1354" t="s">
        <v>835</v>
      </c>
      <c r="S1354" t="s">
        <v>836</v>
      </c>
      <c r="T1354" t="s">
        <v>836</v>
      </c>
      <c r="U1354" t="str">
        <f t="shared" si="382"/>
        <v>2500-12-31 00:00:00.0</v>
      </c>
      <c r="V1354" t="s">
        <v>837</v>
      </c>
      <c r="W1354" t="str">
        <f>"048314-004796-12-SE"</f>
        <v>048314-004796-12-SE</v>
      </c>
      <c r="X1354" t="s">
        <v>838</v>
      </c>
      <c r="Y1354">
        <v>1254.5</v>
      </c>
      <c r="Z1354">
        <v>1254.5</v>
      </c>
      <c r="AA1354" t="str">
        <f t="shared" si="379"/>
        <v>06/08/2016</v>
      </c>
    </row>
    <row r="1355" spans="1:27" x14ac:dyDescent="0.3">
      <c r="A1355" t="str">
        <f t="shared" si="381"/>
        <v>048314</v>
      </c>
      <c r="B1355" t="str">
        <f t="shared" si="373"/>
        <v>004796</v>
      </c>
      <c r="C1355" t="s">
        <v>973</v>
      </c>
      <c r="D1355" t="s">
        <v>3839</v>
      </c>
      <c r="E1355" t="s">
        <v>3840</v>
      </c>
      <c r="F1355" t="s">
        <v>3841</v>
      </c>
      <c r="G1355" t="s">
        <v>3842</v>
      </c>
      <c r="H1355" t="str">
        <f t="shared" si="377"/>
        <v>048314</v>
      </c>
      <c r="I1355" t="s">
        <v>833</v>
      </c>
      <c r="J1355" t="str">
        <f t="shared" si="383"/>
        <v>2015-07-01 00:00:00.0</v>
      </c>
      <c r="K1355" t="s">
        <v>834</v>
      </c>
      <c r="L1355" t="s">
        <v>0</v>
      </c>
      <c r="M1355" t="str">
        <f t="shared" si="384"/>
        <v>048314</v>
      </c>
      <c r="N1355">
        <v>0.51295299999999999</v>
      </c>
      <c r="O1355">
        <v>0.51295299999999999</v>
      </c>
      <c r="P1355" t="str">
        <f>"12"</f>
        <v>12</v>
      </c>
      <c r="Q1355" t="s">
        <v>835</v>
      </c>
      <c r="S1355" t="s">
        <v>836</v>
      </c>
      <c r="T1355" t="s">
        <v>836</v>
      </c>
      <c r="U1355" t="str">
        <f>"2016-01-24 00:00:00.0"</f>
        <v>2016-01-24 00:00:00.0</v>
      </c>
      <c r="V1355" t="s">
        <v>837</v>
      </c>
      <c r="W1355" t="str">
        <f>"048314-004796-12-SE"</f>
        <v>048314-004796-12-SE</v>
      </c>
      <c r="X1355" t="s">
        <v>838</v>
      </c>
      <c r="Y1355">
        <v>643.5</v>
      </c>
      <c r="Z1355">
        <v>1254.5</v>
      </c>
      <c r="AA1355" t="str">
        <f t="shared" si="379"/>
        <v>06/08/2016</v>
      </c>
    </row>
    <row r="1356" spans="1:27" x14ac:dyDescent="0.3">
      <c r="A1356" t="str">
        <f t="shared" si="381"/>
        <v>048314</v>
      </c>
      <c r="B1356" t="str">
        <f t="shared" si="373"/>
        <v>004796</v>
      </c>
      <c r="C1356" t="s">
        <v>973</v>
      </c>
      <c r="D1356" t="s">
        <v>3839</v>
      </c>
      <c r="E1356" t="s">
        <v>3840</v>
      </c>
      <c r="F1356" t="s">
        <v>3841</v>
      </c>
      <c r="G1356" t="s">
        <v>3842</v>
      </c>
      <c r="H1356" t="str">
        <f t="shared" si="377"/>
        <v>048314</v>
      </c>
      <c r="I1356" t="s">
        <v>833</v>
      </c>
      <c r="J1356" t="str">
        <f>"2016-01-25 00:00:00.0"</f>
        <v>2016-01-25 00:00:00.0</v>
      </c>
      <c r="K1356" t="s">
        <v>834</v>
      </c>
      <c r="L1356" t="s">
        <v>0</v>
      </c>
      <c r="M1356" t="str">
        <f t="shared" si="384"/>
        <v>048314</v>
      </c>
      <c r="N1356">
        <v>0.48704700000000001</v>
      </c>
      <c r="O1356">
        <v>0.48704700000000001</v>
      </c>
      <c r="P1356" t="str">
        <f>"12"</f>
        <v>12</v>
      </c>
      <c r="Q1356" t="s">
        <v>835</v>
      </c>
      <c r="S1356" t="s">
        <v>836</v>
      </c>
      <c r="T1356" t="s">
        <v>836</v>
      </c>
      <c r="U1356" t="str">
        <f>"2500-12-31 00:00:00.0"</f>
        <v>2500-12-31 00:00:00.0</v>
      </c>
      <c r="V1356" t="s">
        <v>837</v>
      </c>
      <c r="W1356" t="str">
        <f>"048314-004796-12-SE"</f>
        <v>048314-004796-12-SE</v>
      </c>
      <c r="X1356" t="s">
        <v>838</v>
      </c>
      <c r="Y1356">
        <v>611</v>
      </c>
      <c r="Z1356">
        <v>1254.5</v>
      </c>
      <c r="AA1356" t="str">
        <f t="shared" si="379"/>
        <v>06/08/2016</v>
      </c>
    </row>
    <row r="1357" spans="1:27" x14ac:dyDescent="0.3">
      <c r="A1357" t="str">
        <f t="shared" si="381"/>
        <v>048314</v>
      </c>
      <c r="B1357" t="str">
        <f t="shared" si="373"/>
        <v>004796</v>
      </c>
      <c r="C1357" t="s">
        <v>1480</v>
      </c>
      <c r="D1357" t="s">
        <v>3839</v>
      </c>
      <c r="E1357" t="s">
        <v>3840</v>
      </c>
      <c r="F1357" t="s">
        <v>3841</v>
      </c>
      <c r="G1357" t="s">
        <v>3842</v>
      </c>
      <c r="H1357" t="str">
        <f>"050229"</f>
        <v>050229</v>
      </c>
      <c r="I1357" t="s">
        <v>833</v>
      </c>
      <c r="J1357" t="str">
        <f t="shared" ref="J1357:J1364" si="385">"2015-07-01 00:00:00.0"</f>
        <v>2015-07-01 00:00:00.0</v>
      </c>
      <c r="K1357" t="s">
        <v>834</v>
      </c>
      <c r="L1357" t="s">
        <v>1</v>
      </c>
      <c r="M1357" t="str">
        <f t="shared" si="384"/>
        <v>048314</v>
      </c>
      <c r="N1357">
        <v>1</v>
      </c>
      <c r="O1357">
        <v>1</v>
      </c>
      <c r="P1357" t="str">
        <f>"12"</f>
        <v>12</v>
      </c>
      <c r="Q1357" t="s">
        <v>835</v>
      </c>
      <c r="S1357" t="s">
        <v>836</v>
      </c>
      <c r="T1357" t="s">
        <v>836</v>
      </c>
      <c r="U1357" t="str">
        <f>"2016-05-23 00:00:00.0"</f>
        <v>2016-05-23 00:00:00.0</v>
      </c>
      <c r="V1357" t="s">
        <v>837</v>
      </c>
      <c r="W1357" t="str">
        <f>"050229-023515-12-SR"</f>
        <v>050229-023515-12-SR</v>
      </c>
      <c r="X1357" t="s">
        <v>838</v>
      </c>
      <c r="Y1357">
        <v>1036.27</v>
      </c>
      <c r="Z1357">
        <v>1036.27</v>
      </c>
      <c r="AA1357" t="str">
        <f>"06/16/2016"</f>
        <v>06/16/2016</v>
      </c>
    </row>
    <row r="1358" spans="1:27" x14ac:dyDescent="0.3">
      <c r="A1358" t="str">
        <f t="shared" si="381"/>
        <v>048314</v>
      </c>
      <c r="B1358" t="str">
        <f t="shared" si="373"/>
        <v>004796</v>
      </c>
      <c r="C1358" t="s">
        <v>1689</v>
      </c>
      <c r="D1358" t="s">
        <v>3839</v>
      </c>
      <c r="E1358" t="s">
        <v>3840</v>
      </c>
      <c r="F1358" t="s">
        <v>3841</v>
      </c>
      <c r="G1358" t="s">
        <v>3842</v>
      </c>
      <c r="H1358" t="str">
        <f t="shared" ref="H1358:H1370" si="386">"048314"</f>
        <v>048314</v>
      </c>
      <c r="I1358" t="s">
        <v>833</v>
      </c>
      <c r="J1358" t="str">
        <f t="shared" si="385"/>
        <v>2015-07-01 00:00:00.0</v>
      </c>
      <c r="K1358" t="s">
        <v>834</v>
      </c>
      <c r="L1358" t="s">
        <v>0</v>
      </c>
      <c r="M1358" t="str">
        <f t="shared" si="384"/>
        <v>048314</v>
      </c>
      <c r="N1358">
        <v>1</v>
      </c>
      <c r="O1358">
        <v>1</v>
      </c>
      <c r="P1358" t="str">
        <f>"10"</f>
        <v>10</v>
      </c>
      <c r="Q1358" t="str">
        <f>"15"</f>
        <v>15</v>
      </c>
      <c r="R1358" t="str">
        <f>"2"</f>
        <v>2</v>
      </c>
      <c r="S1358" t="s">
        <v>836</v>
      </c>
      <c r="T1358" t="s">
        <v>836</v>
      </c>
      <c r="U1358" t="str">
        <f t="shared" ref="U1358:U1363" si="387">"2500-12-31 00:00:00.0"</f>
        <v>2500-12-31 00:00:00.0</v>
      </c>
      <c r="V1358" t="s">
        <v>837</v>
      </c>
      <c r="W1358" t="str">
        <f>"048314-004796-**-**"</f>
        <v>048314-004796-**-**</v>
      </c>
      <c r="X1358" t="s">
        <v>838</v>
      </c>
      <c r="Y1358">
        <v>1254.5</v>
      </c>
      <c r="Z1358">
        <v>1254.5</v>
      </c>
      <c r="AA1358" t="str">
        <f t="shared" ref="AA1358:AA1370" si="388">"06/08/2016"</f>
        <v>06/08/2016</v>
      </c>
    </row>
    <row r="1359" spans="1:27" x14ac:dyDescent="0.3">
      <c r="A1359" t="str">
        <f t="shared" si="381"/>
        <v>048314</v>
      </c>
      <c r="B1359" t="str">
        <f t="shared" si="373"/>
        <v>004796</v>
      </c>
      <c r="C1359" t="s">
        <v>1361</v>
      </c>
      <c r="D1359" t="s">
        <v>3839</v>
      </c>
      <c r="E1359" t="s">
        <v>3840</v>
      </c>
      <c r="F1359" t="s">
        <v>3841</v>
      </c>
      <c r="G1359" t="s">
        <v>3842</v>
      </c>
      <c r="H1359" t="str">
        <f t="shared" si="386"/>
        <v>048314</v>
      </c>
      <c r="I1359" t="s">
        <v>833</v>
      </c>
      <c r="J1359" t="str">
        <f t="shared" si="385"/>
        <v>2015-07-01 00:00:00.0</v>
      </c>
      <c r="K1359" t="s">
        <v>834</v>
      </c>
      <c r="L1359" t="s">
        <v>0</v>
      </c>
      <c r="M1359" t="str">
        <f t="shared" si="384"/>
        <v>048314</v>
      </c>
      <c r="N1359">
        <v>1</v>
      </c>
      <c r="O1359">
        <v>1</v>
      </c>
      <c r="P1359" t="str">
        <f>"11"</f>
        <v>11</v>
      </c>
      <c r="Q1359" t="s">
        <v>835</v>
      </c>
      <c r="S1359" t="s">
        <v>836</v>
      </c>
      <c r="T1359" t="s">
        <v>836</v>
      </c>
      <c r="U1359" t="str">
        <f t="shared" si="387"/>
        <v>2500-12-31 00:00:00.0</v>
      </c>
      <c r="V1359" t="s">
        <v>837</v>
      </c>
      <c r="W1359" t="str">
        <f>"048314-004796-**-**"</f>
        <v>048314-004796-**-**</v>
      </c>
      <c r="X1359" t="s">
        <v>838</v>
      </c>
      <c r="Y1359">
        <v>1254.5</v>
      </c>
      <c r="Z1359">
        <v>1254.5</v>
      </c>
      <c r="AA1359" t="str">
        <f t="shared" si="388"/>
        <v>06/08/2016</v>
      </c>
    </row>
    <row r="1360" spans="1:27" x14ac:dyDescent="0.3">
      <c r="A1360" t="str">
        <f t="shared" si="381"/>
        <v>048314</v>
      </c>
      <c r="B1360" t="str">
        <f t="shared" si="373"/>
        <v>004796</v>
      </c>
      <c r="C1360" t="s">
        <v>1396</v>
      </c>
      <c r="D1360" t="s">
        <v>3839</v>
      </c>
      <c r="E1360" t="s">
        <v>3840</v>
      </c>
      <c r="F1360" t="s">
        <v>3841</v>
      </c>
      <c r="G1360" t="s">
        <v>3842</v>
      </c>
      <c r="H1360" t="str">
        <f t="shared" si="386"/>
        <v>048314</v>
      </c>
      <c r="I1360" t="s">
        <v>833</v>
      </c>
      <c r="J1360" t="str">
        <f t="shared" si="385"/>
        <v>2015-07-01 00:00:00.0</v>
      </c>
      <c r="K1360" t="s">
        <v>834</v>
      </c>
      <c r="L1360" t="s">
        <v>0</v>
      </c>
      <c r="M1360" t="str">
        <f t="shared" si="384"/>
        <v>048314</v>
      </c>
      <c r="N1360">
        <v>1</v>
      </c>
      <c r="O1360">
        <v>1</v>
      </c>
      <c r="P1360" t="str">
        <f>"11"</f>
        <v>11</v>
      </c>
      <c r="Q1360" t="s">
        <v>835</v>
      </c>
      <c r="S1360" t="s">
        <v>836</v>
      </c>
      <c r="T1360" t="s">
        <v>836</v>
      </c>
      <c r="U1360" t="str">
        <f t="shared" si="387"/>
        <v>2500-12-31 00:00:00.0</v>
      </c>
      <c r="V1360" t="s">
        <v>837</v>
      </c>
      <c r="W1360" t="str">
        <f>"048314-004796-**-**"</f>
        <v>048314-004796-**-**</v>
      </c>
      <c r="X1360" t="s">
        <v>838</v>
      </c>
      <c r="Y1360">
        <v>1254.5</v>
      </c>
      <c r="Z1360">
        <v>1254.5</v>
      </c>
      <c r="AA1360" t="str">
        <f t="shared" si="388"/>
        <v>06/08/2016</v>
      </c>
    </row>
    <row r="1361" spans="1:27" x14ac:dyDescent="0.3">
      <c r="A1361" t="str">
        <f t="shared" si="381"/>
        <v>048314</v>
      </c>
      <c r="B1361" t="str">
        <f t="shared" si="373"/>
        <v>004796</v>
      </c>
      <c r="C1361" t="s">
        <v>1711</v>
      </c>
      <c r="D1361" t="s">
        <v>3839</v>
      </c>
      <c r="E1361" t="s">
        <v>3840</v>
      </c>
      <c r="F1361" t="s">
        <v>3841</v>
      </c>
      <c r="G1361" t="s">
        <v>3842</v>
      </c>
      <c r="H1361" t="str">
        <f t="shared" si="386"/>
        <v>048314</v>
      </c>
      <c r="I1361" t="s">
        <v>833</v>
      </c>
      <c r="J1361" t="str">
        <f t="shared" si="385"/>
        <v>2015-07-01 00:00:00.0</v>
      </c>
      <c r="K1361" t="s">
        <v>834</v>
      </c>
      <c r="L1361" t="s">
        <v>0</v>
      </c>
      <c r="M1361" t="str">
        <f t="shared" si="384"/>
        <v>048314</v>
      </c>
      <c r="N1361">
        <v>1</v>
      </c>
      <c r="O1361">
        <v>1</v>
      </c>
      <c r="P1361" t="str">
        <f>"10"</f>
        <v>10</v>
      </c>
      <c r="Q1361" t="s">
        <v>835</v>
      </c>
      <c r="S1361" t="s">
        <v>836</v>
      </c>
      <c r="T1361" t="s">
        <v>836</v>
      </c>
      <c r="U1361" t="str">
        <f t="shared" si="387"/>
        <v>2500-12-31 00:00:00.0</v>
      </c>
      <c r="V1361" t="s">
        <v>837</v>
      </c>
      <c r="W1361" t="str">
        <f>"048314-004796-**-**"</f>
        <v>048314-004796-**-**</v>
      </c>
      <c r="X1361" t="s">
        <v>838</v>
      </c>
      <c r="Y1361">
        <v>1254.5</v>
      </c>
      <c r="Z1361">
        <v>1254.5</v>
      </c>
      <c r="AA1361" t="str">
        <f t="shared" si="388"/>
        <v>06/08/2016</v>
      </c>
    </row>
    <row r="1362" spans="1:27" x14ac:dyDescent="0.3">
      <c r="A1362" t="str">
        <f t="shared" si="381"/>
        <v>048314</v>
      </c>
      <c r="B1362" t="str">
        <f t="shared" si="373"/>
        <v>004796</v>
      </c>
      <c r="C1362" t="s">
        <v>1253</v>
      </c>
      <c r="D1362" t="s">
        <v>3839</v>
      </c>
      <c r="E1362" t="s">
        <v>3840</v>
      </c>
      <c r="F1362" t="s">
        <v>3841</v>
      </c>
      <c r="G1362" t="s">
        <v>3842</v>
      </c>
      <c r="H1362" t="str">
        <f t="shared" si="386"/>
        <v>048314</v>
      </c>
      <c r="I1362" t="s">
        <v>833</v>
      </c>
      <c r="J1362" t="str">
        <f t="shared" si="385"/>
        <v>2015-07-01 00:00:00.0</v>
      </c>
      <c r="K1362" t="s">
        <v>834</v>
      </c>
      <c r="L1362" t="s">
        <v>0</v>
      </c>
      <c r="M1362" t="str">
        <f t="shared" si="384"/>
        <v>048314</v>
      </c>
      <c r="N1362">
        <v>1</v>
      </c>
      <c r="O1362">
        <v>1</v>
      </c>
      <c r="P1362" t="str">
        <f>"11"</f>
        <v>11</v>
      </c>
      <c r="Q1362" t="s">
        <v>835</v>
      </c>
      <c r="S1362" t="s">
        <v>860</v>
      </c>
      <c r="T1362" t="s">
        <v>836</v>
      </c>
      <c r="U1362" t="str">
        <f t="shared" si="387"/>
        <v>2500-12-31 00:00:00.0</v>
      </c>
      <c r="V1362" t="s">
        <v>837</v>
      </c>
      <c r="W1362" t="str">
        <f>"048314-004796-**-**"</f>
        <v>048314-004796-**-**</v>
      </c>
      <c r="X1362" t="s">
        <v>838</v>
      </c>
      <c r="Y1362">
        <v>1254.5</v>
      </c>
      <c r="Z1362">
        <v>1254.5</v>
      </c>
      <c r="AA1362" t="str">
        <f t="shared" si="388"/>
        <v>06/08/2016</v>
      </c>
    </row>
    <row r="1363" spans="1:27" x14ac:dyDescent="0.3">
      <c r="A1363" t="str">
        <f t="shared" si="381"/>
        <v>048314</v>
      </c>
      <c r="B1363" t="str">
        <f t="shared" si="373"/>
        <v>004796</v>
      </c>
      <c r="C1363" t="s">
        <v>1209</v>
      </c>
      <c r="D1363" t="s">
        <v>3839</v>
      </c>
      <c r="E1363" t="s">
        <v>3840</v>
      </c>
      <c r="F1363" t="s">
        <v>3841</v>
      </c>
      <c r="G1363" t="s">
        <v>3842</v>
      </c>
      <c r="H1363" t="str">
        <f t="shared" si="386"/>
        <v>048314</v>
      </c>
      <c r="I1363" t="s">
        <v>833</v>
      </c>
      <c r="J1363" t="str">
        <f t="shared" si="385"/>
        <v>2015-07-01 00:00:00.0</v>
      </c>
      <c r="K1363" t="s">
        <v>834</v>
      </c>
      <c r="L1363" t="s">
        <v>0</v>
      </c>
      <c r="M1363" t="str">
        <f t="shared" si="384"/>
        <v>048314</v>
      </c>
      <c r="N1363">
        <v>1</v>
      </c>
      <c r="O1363">
        <v>1</v>
      </c>
      <c r="P1363" t="str">
        <f>"12"</f>
        <v>12</v>
      </c>
      <c r="Q1363" t="s">
        <v>835</v>
      </c>
      <c r="S1363" t="s">
        <v>836</v>
      </c>
      <c r="T1363" t="s">
        <v>836</v>
      </c>
      <c r="U1363" t="str">
        <f t="shared" si="387"/>
        <v>2500-12-31 00:00:00.0</v>
      </c>
      <c r="V1363" t="s">
        <v>837</v>
      </c>
      <c r="W1363" t="str">
        <f>"048314-004796-12-SE"</f>
        <v>048314-004796-12-SE</v>
      </c>
      <c r="X1363" t="s">
        <v>838</v>
      </c>
      <c r="Y1363">
        <v>1254.5</v>
      </c>
      <c r="Z1363">
        <v>1254.5</v>
      </c>
      <c r="AA1363" t="str">
        <f t="shared" si="388"/>
        <v>06/08/2016</v>
      </c>
    </row>
    <row r="1364" spans="1:27" x14ac:dyDescent="0.3">
      <c r="A1364" t="str">
        <f t="shared" si="381"/>
        <v>048314</v>
      </c>
      <c r="B1364" t="str">
        <f t="shared" si="373"/>
        <v>004796</v>
      </c>
      <c r="C1364" t="s">
        <v>1690</v>
      </c>
      <c r="D1364" t="s">
        <v>3839</v>
      </c>
      <c r="E1364" t="s">
        <v>3840</v>
      </c>
      <c r="F1364" t="s">
        <v>3841</v>
      </c>
      <c r="G1364" t="s">
        <v>3842</v>
      </c>
      <c r="H1364" t="str">
        <f t="shared" si="386"/>
        <v>048314</v>
      </c>
      <c r="I1364" t="s">
        <v>833</v>
      </c>
      <c r="J1364" t="str">
        <f t="shared" si="385"/>
        <v>2015-07-01 00:00:00.0</v>
      </c>
      <c r="K1364" t="s">
        <v>834</v>
      </c>
      <c r="L1364" t="s">
        <v>0</v>
      </c>
      <c r="M1364" t="str">
        <f t="shared" si="384"/>
        <v>048314</v>
      </c>
      <c r="N1364">
        <v>0.46632099999999999</v>
      </c>
      <c r="O1364">
        <v>0.46632099999999999</v>
      </c>
      <c r="P1364" t="str">
        <f>"10"</f>
        <v>10</v>
      </c>
      <c r="Q1364" t="s">
        <v>835</v>
      </c>
      <c r="S1364" t="s">
        <v>836</v>
      </c>
      <c r="T1364" t="s">
        <v>836</v>
      </c>
      <c r="U1364" t="str">
        <f>"2016-01-10 00:00:00.0"</f>
        <v>2016-01-10 00:00:00.0</v>
      </c>
      <c r="V1364" t="s">
        <v>837</v>
      </c>
      <c r="W1364" t="str">
        <f>"048314-004796-**-**"</f>
        <v>048314-004796-**-**</v>
      </c>
      <c r="X1364" t="s">
        <v>838</v>
      </c>
      <c r="Y1364">
        <v>585</v>
      </c>
      <c r="Z1364">
        <v>1254.5</v>
      </c>
      <c r="AA1364" t="str">
        <f t="shared" si="388"/>
        <v>06/08/2016</v>
      </c>
    </row>
    <row r="1365" spans="1:27" x14ac:dyDescent="0.3">
      <c r="A1365" t="str">
        <f t="shared" si="381"/>
        <v>048314</v>
      </c>
      <c r="B1365" t="str">
        <f t="shared" si="373"/>
        <v>004796</v>
      </c>
      <c r="C1365" t="s">
        <v>1690</v>
      </c>
      <c r="D1365" t="s">
        <v>3839</v>
      </c>
      <c r="E1365" t="s">
        <v>3840</v>
      </c>
      <c r="F1365" t="s">
        <v>3841</v>
      </c>
      <c r="G1365" t="s">
        <v>3842</v>
      </c>
      <c r="H1365" t="str">
        <f t="shared" si="386"/>
        <v>048314</v>
      </c>
      <c r="I1365" t="s">
        <v>833</v>
      </c>
      <c r="J1365" t="str">
        <f>"2016-01-11 00:00:00.0"</f>
        <v>2016-01-11 00:00:00.0</v>
      </c>
      <c r="K1365" t="s">
        <v>834</v>
      </c>
      <c r="L1365" t="s">
        <v>0</v>
      </c>
      <c r="M1365" t="str">
        <f t="shared" si="384"/>
        <v>048314</v>
      </c>
      <c r="N1365">
        <v>0.53367900000000001</v>
      </c>
      <c r="O1365">
        <v>0.53367900000000001</v>
      </c>
      <c r="P1365" t="str">
        <f>"10"</f>
        <v>10</v>
      </c>
      <c r="Q1365" t="s">
        <v>835</v>
      </c>
      <c r="S1365" t="s">
        <v>836</v>
      </c>
      <c r="T1365" t="s">
        <v>836</v>
      </c>
      <c r="U1365" t="str">
        <f t="shared" ref="U1365:U1375" si="389">"2500-12-31 00:00:00.0"</f>
        <v>2500-12-31 00:00:00.0</v>
      </c>
      <c r="V1365" t="s">
        <v>837</v>
      </c>
      <c r="W1365" t="str">
        <f>"048314-004796-**-**"</f>
        <v>048314-004796-**-**</v>
      </c>
      <c r="X1365" t="s">
        <v>838</v>
      </c>
      <c r="Y1365">
        <v>669.5</v>
      </c>
      <c r="Z1365">
        <v>1254.5</v>
      </c>
      <c r="AA1365" t="str">
        <f t="shared" si="388"/>
        <v>06/08/2016</v>
      </c>
    </row>
    <row r="1366" spans="1:27" x14ac:dyDescent="0.3">
      <c r="A1366" t="str">
        <f t="shared" si="381"/>
        <v>048314</v>
      </c>
      <c r="B1366" t="str">
        <f t="shared" si="373"/>
        <v>004796</v>
      </c>
      <c r="C1366" t="s">
        <v>1625</v>
      </c>
      <c r="D1366" t="s">
        <v>3839</v>
      </c>
      <c r="E1366" t="s">
        <v>3840</v>
      </c>
      <c r="F1366" t="s">
        <v>3841</v>
      </c>
      <c r="G1366" t="s">
        <v>3842</v>
      </c>
      <c r="H1366" t="str">
        <f t="shared" si="386"/>
        <v>048314</v>
      </c>
      <c r="I1366" t="s">
        <v>833</v>
      </c>
      <c r="J1366" t="str">
        <f>"2015-07-01 00:00:00.0"</f>
        <v>2015-07-01 00:00:00.0</v>
      </c>
      <c r="K1366" t="s">
        <v>834</v>
      </c>
      <c r="L1366" t="s">
        <v>0</v>
      </c>
      <c r="M1366" t="str">
        <f t="shared" si="384"/>
        <v>048314</v>
      </c>
      <c r="N1366">
        <v>1</v>
      </c>
      <c r="O1366">
        <v>1</v>
      </c>
      <c r="P1366" t="str">
        <f>"10"</f>
        <v>10</v>
      </c>
      <c r="Q1366" t="s">
        <v>835</v>
      </c>
      <c r="S1366" t="s">
        <v>836</v>
      </c>
      <c r="T1366" t="s">
        <v>836</v>
      </c>
      <c r="U1366" t="str">
        <f t="shared" si="389"/>
        <v>2500-12-31 00:00:00.0</v>
      </c>
      <c r="V1366" t="s">
        <v>837</v>
      </c>
      <c r="W1366" t="str">
        <f>"048314-004796-**-**"</f>
        <v>048314-004796-**-**</v>
      </c>
      <c r="X1366" t="s">
        <v>838</v>
      </c>
      <c r="Y1366">
        <v>1254.5</v>
      </c>
      <c r="Z1366">
        <v>1254.5</v>
      </c>
      <c r="AA1366" t="str">
        <f t="shared" si="388"/>
        <v>06/08/2016</v>
      </c>
    </row>
    <row r="1367" spans="1:27" x14ac:dyDescent="0.3">
      <c r="A1367" t="str">
        <f t="shared" si="381"/>
        <v>048314</v>
      </c>
      <c r="B1367" t="str">
        <f t="shared" si="373"/>
        <v>004796</v>
      </c>
      <c r="C1367" t="s">
        <v>1210</v>
      </c>
      <c r="D1367" t="s">
        <v>3839</v>
      </c>
      <c r="E1367" t="s">
        <v>3840</v>
      </c>
      <c r="F1367" t="s">
        <v>3841</v>
      </c>
      <c r="G1367" t="s">
        <v>3842</v>
      </c>
      <c r="H1367" t="str">
        <f t="shared" si="386"/>
        <v>048314</v>
      </c>
      <c r="I1367" t="s">
        <v>833</v>
      </c>
      <c r="J1367" t="str">
        <f>"2015-07-01 00:00:00.0"</f>
        <v>2015-07-01 00:00:00.0</v>
      </c>
      <c r="K1367" t="s">
        <v>834</v>
      </c>
      <c r="L1367" t="s">
        <v>0</v>
      </c>
      <c r="M1367" t="str">
        <f t="shared" si="384"/>
        <v>048314</v>
      </c>
      <c r="N1367">
        <v>1</v>
      </c>
      <c r="O1367">
        <v>1</v>
      </c>
      <c r="P1367" t="str">
        <f>"12"</f>
        <v>12</v>
      </c>
      <c r="Q1367" t="s">
        <v>835</v>
      </c>
      <c r="S1367" t="s">
        <v>836</v>
      </c>
      <c r="T1367" t="s">
        <v>836</v>
      </c>
      <c r="U1367" t="str">
        <f t="shared" si="389"/>
        <v>2500-12-31 00:00:00.0</v>
      </c>
      <c r="V1367" t="s">
        <v>837</v>
      </c>
      <c r="W1367" t="str">
        <f>"048314-004796-12-SE"</f>
        <v>048314-004796-12-SE</v>
      </c>
      <c r="X1367" t="s">
        <v>838</v>
      </c>
      <c r="Y1367">
        <v>1254.5</v>
      </c>
      <c r="Z1367">
        <v>1254.5</v>
      </c>
      <c r="AA1367" t="str">
        <f t="shared" si="388"/>
        <v>06/08/2016</v>
      </c>
    </row>
    <row r="1368" spans="1:27" x14ac:dyDescent="0.3">
      <c r="A1368" t="str">
        <f t="shared" si="381"/>
        <v>048314</v>
      </c>
      <c r="B1368" t="str">
        <f t="shared" si="373"/>
        <v>004796</v>
      </c>
      <c r="C1368" t="s">
        <v>3438</v>
      </c>
      <c r="D1368" t="s">
        <v>3839</v>
      </c>
      <c r="E1368" t="s">
        <v>3840</v>
      </c>
      <c r="F1368" t="s">
        <v>3841</v>
      </c>
      <c r="G1368" t="s">
        <v>3842</v>
      </c>
      <c r="H1368" t="str">
        <f t="shared" si="386"/>
        <v>048314</v>
      </c>
      <c r="I1368" t="s">
        <v>833</v>
      </c>
      <c r="J1368" t="str">
        <f>"2015-07-01 00:00:00.0"</f>
        <v>2015-07-01 00:00:00.0</v>
      </c>
      <c r="K1368" t="s">
        <v>834</v>
      </c>
      <c r="L1368" t="s">
        <v>0</v>
      </c>
      <c r="M1368" t="str">
        <f t="shared" si="384"/>
        <v>048314</v>
      </c>
      <c r="N1368">
        <v>1</v>
      </c>
      <c r="O1368">
        <v>1</v>
      </c>
      <c r="P1368" t="str">
        <f>"12"</f>
        <v>12</v>
      </c>
      <c r="Q1368" t="s">
        <v>835</v>
      </c>
      <c r="S1368" t="s">
        <v>836</v>
      </c>
      <c r="T1368" t="s">
        <v>836</v>
      </c>
      <c r="U1368" t="str">
        <f t="shared" si="389"/>
        <v>2500-12-31 00:00:00.0</v>
      </c>
      <c r="V1368" t="s">
        <v>837</v>
      </c>
      <c r="W1368" t="str">
        <f>"048314-004796-12-SE"</f>
        <v>048314-004796-12-SE</v>
      </c>
      <c r="X1368" t="s">
        <v>838</v>
      </c>
      <c r="Y1368">
        <v>1254.5</v>
      </c>
      <c r="Z1368">
        <v>1254.5</v>
      </c>
      <c r="AA1368" t="str">
        <f t="shared" si="388"/>
        <v>06/08/2016</v>
      </c>
    </row>
    <row r="1369" spans="1:27" x14ac:dyDescent="0.3">
      <c r="A1369" t="str">
        <f t="shared" si="381"/>
        <v>048314</v>
      </c>
      <c r="B1369" t="str">
        <f t="shared" si="373"/>
        <v>004796</v>
      </c>
      <c r="C1369" t="s">
        <v>1164</v>
      </c>
      <c r="D1369" t="s">
        <v>3839</v>
      </c>
      <c r="E1369" t="s">
        <v>3840</v>
      </c>
      <c r="F1369" t="s">
        <v>3841</v>
      </c>
      <c r="G1369" t="s">
        <v>3842</v>
      </c>
      <c r="H1369" t="str">
        <f t="shared" si="386"/>
        <v>048314</v>
      </c>
      <c r="I1369" t="s">
        <v>833</v>
      </c>
      <c r="J1369" t="str">
        <f>"2015-07-01 00:00:00.0"</f>
        <v>2015-07-01 00:00:00.0</v>
      </c>
      <c r="K1369" t="s">
        <v>834</v>
      </c>
      <c r="L1369" t="s">
        <v>0</v>
      </c>
      <c r="M1369" t="str">
        <f t="shared" si="384"/>
        <v>048314</v>
      </c>
      <c r="N1369">
        <v>1</v>
      </c>
      <c r="O1369">
        <v>1</v>
      </c>
      <c r="P1369" t="str">
        <f>"12"</f>
        <v>12</v>
      </c>
      <c r="Q1369" t="str">
        <f>"09"</f>
        <v>09</v>
      </c>
      <c r="R1369" t="str">
        <f>"2"</f>
        <v>2</v>
      </c>
      <c r="S1369" t="s">
        <v>836</v>
      </c>
      <c r="T1369" t="s">
        <v>836</v>
      </c>
      <c r="U1369" t="str">
        <f t="shared" si="389"/>
        <v>2500-12-31 00:00:00.0</v>
      </c>
      <c r="V1369" t="s">
        <v>837</v>
      </c>
      <c r="W1369" t="str">
        <f>"048314-004796-12-SE"</f>
        <v>048314-004796-12-SE</v>
      </c>
      <c r="X1369" t="s">
        <v>838</v>
      </c>
      <c r="Y1369">
        <v>1254.5</v>
      </c>
      <c r="Z1369">
        <v>1254.5</v>
      </c>
      <c r="AA1369" t="str">
        <f t="shared" si="388"/>
        <v>06/08/2016</v>
      </c>
    </row>
    <row r="1370" spans="1:27" x14ac:dyDescent="0.3">
      <c r="A1370" t="str">
        <f t="shared" si="381"/>
        <v>048314</v>
      </c>
      <c r="B1370" t="str">
        <f t="shared" si="373"/>
        <v>004796</v>
      </c>
      <c r="C1370" t="s">
        <v>1090</v>
      </c>
      <c r="D1370" t="s">
        <v>3839</v>
      </c>
      <c r="E1370" t="s">
        <v>3840</v>
      </c>
      <c r="F1370" t="s">
        <v>3841</v>
      </c>
      <c r="G1370" t="s">
        <v>3842</v>
      </c>
      <c r="H1370" t="str">
        <f t="shared" si="386"/>
        <v>048314</v>
      </c>
      <c r="I1370" t="s">
        <v>833</v>
      </c>
      <c r="J1370" t="str">
        <f>"2015-07-01 00:00:00.0"</f>
        <v>2015-07-01 00:00:00.0</v>
      </c>
      <c r="K1370" t="s">
        <v>834</v>
      </c>
      <c r="L1370" t="s">
        <v>0</v>
      </c>
      <c r="M1370" t="str">
        <f t="shared" si="384"/>
        <v>048314</v>
      </c>
      <c r="N1370">
        <v>1</v>
      </c>
      <c r="O1370">
        <v>1</v>
      </c>
      <c r="P1370" t="str">
        <f>"12"</f>
        <v>12</v>
      </c>
      <c r="Q1370" t="s">
        <v>835</v>
      </c>
      <c r="S1370" t="s">
        <v>836</v>
      </c>
      <c r="T1370" t="s">
        <v>836</v>
      </c>
      <c r="U1370" t="str">
        <f t="shared" si="389"/>
        <v>2500-12-31 00:00:00.0</v>
      </c>
      <c r="V1370" t="s">
        <v>837</v>
      </c>
      <c r="W1370" t="str">
        <f>"048314-004796-12-SE"</f>
        <v>048314-004796-12-SE</v>
      </c>
      <c r="X1370" t="s">
        <v>838</v>
      </c>
      <c r="Y1370">
        <v>1254.5</v>
      </c>
      <c r="Z1370">
        <v>1254.5</v>
      </c>
      <c r="AA1370" t="str">
        <f t="shared" si="388"/>
        <v>06/08/2016</v>
      </c>
    </row>
    <row r="1371" spans="1:27" x14ac:dyDescent="0.3">
      <c r="A1371" t="str">
        <f t="shared" si="381"/>
        <v>048314</v>
      </c>
      <c r="B1371" t="str">
        <f t="shared" si="373"/>
        <v>004796</v>
      </c>
      <c r="C1371" t="s">
        <v>2939</v>
      </c>
      <c r="D1371" t="s">
        <v>3839</v>
      </c>
      <c r="E1371" t="s">
        <v>3840</v>
      </c>
      <c r="F1371" t="s">
        <v>3841</v>
      </c>
      <c r="G1371" t="s">
        <v>3842</v>
      </c>
      <c r="H1371" t="str">
        <f>"048298"</f>
        <v>048298</v>
      </c>
      <c r="I1371" t="s">
        <v>833</v>
      </c>
      <c r="J1371" t="str">
        <f>"2015-08-24 00:00:00.0"</f>
        <v>2015-08-24 00:00:00.0</v>
      </c>
      <c r="K1371" t="s">
        <v>834</v>
      </c>
      <c r="L1371" t="s">
        <v>1</v>
      </c>
      <c r="M1371" t="str">
        <f t="shared" si="384"/>
        <v>048314</v>
      </c>
      <c r="N1371">
        <v>1</v>
      </c>
      <c r="O1371">
        <v>1</v>
      </c>
      <c r="P1371" t="str">
        <f>"10"</f>
        <v>10</v>
      </c>
      <c r="Q1371" t="s">
        <v>835</v>
      </c>
      <c r="S1371" t="s">
        <v>860</v>
      </c>
      <c r="T1371" t="s">
        <v>836</v>
      </c>
      <c r="U1371" t="str">
        <f t="shared" si="389"/>
        <v>2500-12-31 00:00:00.0</v>
      </c>
      <c r="V1371" t="s">
        <v>837</v>
      </c>
      <c r="W1371" t="str">
        <f>"048298-011791-**-**"</f>
        <v>048298-011791-**-**</v>
      </c>
      <c r="X1371" t="s">
        <v>838</v>
      </c>
      <c r="Y1371">
        <v>1163.5</v>
      </c>
      <c r="Z1371">
        <v>1163.5</v>
      </c>
      <c r="AA1371" t="str">
        <f>"06/15/2016"</f>
        <v>06/15/2016</v>
      </c>
    </row>
    <row r="1372" spans="1:27" x14ac:dyDescent="0.3">
      <c r="A1372" t="str">
        <f t="shared" si="381"/>
        <v>048314</v>
      </c>
      <c r="B1372" t="str">
        <f t="shared" si="373"/>
        <v>004796</v>
      </c>
      <c r="C1372" t="s">
        <v>2044</v>
      </c>
      <c r="D1372" t="s">
        <v>3839</v>
      </c>
      <c r="E1372" t="s">
        <v>3840</v>
      </c>
      <c r="F1372" t="s">
        <v>3841</v>
      </c>
      <c r="G1372" t="s">
        <v>3842</v>
      </c>
      <c r="H1372" t="str">
        <f>"048363"</f>
        <v>048363</v>
      </c>
      <c r="I1372" t="s">
        <v>833</v>
      </c>
      <c r="J1372" t="str">
        <f>"2015-07-01 00:00:00.0"</f>
        <v>2015-07-01 00:00:00.0</v>
      </c>
      <c r="K1372" t="s">
        <v>834</v>
      </c>
      <c r="L1372" t="s">
        <v>1</v>
      </c>
      <c r="M1372" t="str">
        <f t="shared" si="384"/>
        <v>048314</v>
      </c>
      <c r="N1372">
        <v>1</v>
      </c>
      <c r="O1372">
        <v>1</v>
      </c>
      <c r="P1372" t="str">
        <f>"10"</f>
        <v>10</v>
      </c>
      <c r="Q1372" t="s">
        <v>835</v>
      </c>
      <c r="S1372" t="s">
        <v>836</v>
      </c>
      <c r="T1372" t="s">
        <v>836</v>
      </c>
      <c r="U1372" t="str">
        <f t="shared" si="389"/>
        <v>2500-12-31 00:00:00.0</v>
      </c>
      <c r="V1372" t="s">
        <v>837</v>
      </c>
      <c r="W1372" t="str">
        <f>"048363-026229-**-**"</f>
        <v>048363-026229-**-**</v>
      </c>
      <c r="X1372" t="s">
        <v>838</v>
      </c>
      <c r="Y1372">
        <v>1127</v>
      </c>
      <c r="Z1372">
        <v>1127</v>
      </c>
      <c r="AA1372" t="str">
        <f>"06/15/2016"</f>
        <v>06/15/2016</v>
      </c>
    </row>
    <row r="1373" spans="1:27" x14ac:dyDescent="0.3">
      <c r="A1373" t="str">
        <f t="shared" si="381"/>
        <v>048314</v>
      </c>
      <c r="B1373" t="str">
        <f t="shared" si="373"/>
        <v>004796</v>
      </c>
      <c r="C1373" t="s">
        <v>1626</v>
      </c>
      <c r="D1373" t="s">
        <v>3839</v>
      </c>
      <c r="E1373" t="s">
        <v>3840</v>
      </c>
      <c r="F1373" t="s">
        <v>3841</v>
      </c>
      <c r="G1373" t="s">
        <v>3842</v>
      </c>
      <c r="H1373" t="str">
        <f>"048314"</f>
        <v>048314</v>
      </c>
      <c r="I1373" t="s">
        <v>833</v>
      </c>
      <c r="J1373" t="str">
        <f>"2015-07-01 00:00:00.0"</f>
        <v>2015-07-01 00:00:00.0</v>
      </c>
      <c r="K1373" t="s">
        <v>834</v>
      </c>
      <c r="L1373" t="s">
        <v>0</v>
      </c>
      <c r="M1373" t="str">
        <f t="shared" si="384"/>
        <v>048314</v>
      </c>
      <c r="N1373">
        <v>1</v>
      </c>
      <c r="O1373">
        <v>1</v>
      </c>
      <c r="P1373" t="str">
        <f>"10"</f>
        <v>10</v>
      </c>
      <c r="Q1373" t="s">
        <v>835</v>
      </c>
      <c r="S1373" t="s">
        <v>836</v>
      </c>
      <c r="T1373" t="s">
        <v>836</v>
      </c>
      <c r="U1373" t="str">
        <f t="shared" si="389"/>
        <v>2500-12-31 00:00:00.0</v>
      </c>
      <c r="V1373" t="s">
        <v>837</v>
      </c>
      <c r="W1373" t="str">
        <f>"048314-004796-**-**"</f>
        <v>048314-004796-**-**</v>
      </c>
      <c r="X1373" t="s">
        <v>838</v>
      </c>
      <c r="Y1373">
        <v>1254.5</v>
      </c>
      <c r="Z1373">
        <v>1254.5</v>
      </c>
      <c r="AA1373" t="str">
        <f>"06/08/2016"</f>
        <v>06/08/2016</v>
      </c>
    </row>
    <row r="1374" spans="1:27" x14ac:dyDescent="0.3">
      <c r="A1374" t="str">
        <f t="shared" si="381"/>
        <v>048314</v>
      </c>
      <c r="B1374" t="str">
        <f t="shared" si="373"/>
        <v>004796</v>
      </c>
      <c r="C1374" t="s">
        <v>1915</v>
      </c>
      <c r="D1374" t="s">
        <v>3839</v>
      </c>
      <c r="E1374" t="s">
        <v>3840</v>
      </c>
      <c r="F1374" t="s">
        <v>3841</v>
      </c>
      <c r="G1374" t="s">
        <v>3842</v>
      </c>
      <c r="H1374" t="str">
        <f>"048314"</f>
        <v>048314</v>
      </c>
      <c r="I1374" t="s">
        <v>833</v>
      </c>
      <c r="J1374" t="str">
        <f>"2016-01-26 00:00:00.0"</f>
        <v>2016-01-26 00:00:00.0</v>
      </c>
      <c r="K1374" t="s">
        <v>834</v>
      </c>
      <c r="L1374" t="s">
        <v>0</v>
      </c>
      <c r="M1374" t="str">
        <f t="shared" si="384"/>
        <v>048314</v>
      </c>
      <c r="N1374">
        <v>0.48186499999999999</v>
      </c>
      <c r="O1374">
        <v>0.47506100000000001</v>
      </c>
      <c r="P1374" t="str">
        <f>"09"</f>
        <v>09</v>
      </c>
      <c r="Q1374" t="s">
        <v>835</v>
      </c>
      <c r="S1374" t="s">
        <v>836</v>
      </c>
      <c r="T1374" t="s">
        <v>836</v>
      </c>
      <c r="U1374" t="str">
        <f t="shared" si="389"/>
        <v>2500-12-31 00:00:00.0</v>
      </c>
      <c r="V1374" t="s">
        <v>837</v>
      </c>
      <c r="W1374" t="str">
        <f>"048314-004796-**-**"</f>
        <v>048314-004796-**-**</v>
      </c>
      <c r="X1374" t="s">
        <v>838</v>
      </c>
      <c r="Y1374">
        <v>604.5</v>
      </c>
      <c r="Z1374">
        <v>1254.5</v>
      </c>
      <c r="AA1374" t="str">
        <f>"06/08/2016"</f>
        <v>06/08/2016</v>
      </c>
    </row>
    <row r="1375" spans="1:27" x14ac:dyDescent="0.3">
      <c r="A1375" t="str">
        <f t="shared" si="381"/>
        <v>048314</v>
      </c>
      <c r="B1375" t="str">
        <f t="shared" si="373"/>
        <v>004796</v>
      </c>
      <c r="C1375" t="s">
        <v>1094</v>
      </c>
      <c r="D1375" t="s">
        <v>3839</v>
      </c>
      <c r="E1375" t="s">
        <v>3840</v>
      </c>
      <c r="F1375" t="s">
        <v>3841</v>
      </c>
      <c r="G1375" t="s">
        <v>3842</v>
      </c>
      <c r="H1375" t="str">
        <f>"048314"</f>
        <v>048314</v>
      </c>
      <c r="I1375" t="s">
        <v>833</v>
      </c>
      <c r="J1375" t="str">
        <f>"2015-07-01 00:00:00.0"</f>
        <v>2015-07-01 00:00:00.0</v>
      </c>
      <c r="K1375" t="s">
        <v>834</v>
      </c>
      <c r="L1375" t="s">
        <v>0</v>
      </c>
      <c r="M1375" t="str">
        <f t="shared" si="384"/>
        <v>048314</v>
      </c>
      <c r="N1375">
        <v>1</v>
      </c>
      <c r="O1375">
        <v>1</v>
      </c>
      <c r="P1375" t="str">
        <f>"12"</f>
        <v>12</v>
      </c>
      <c r="Q1375" t="s">
        <v>835</v>
      </c>
      <c r="S1375" t="s">
        <v>836</v>
      </c>
      <c r="T1375" t="s">
        <v>836</v>
      </c>
      <c r="U1375" t="str">
        <f t="shared" si="389"/>
        <v>2500-12-31 00:00:00.0</v>
      </c>
      <c r="V1375" t="s">
        <v>837</v>
      </c>
      <c r="W1375" t="str">
        <f>"048314-004796-12-SE"</f>
        <v>048314-004796-12-SE</v>
      </c>
      <c r="X1375" t="s">
        <v>838</v>
      </c>
      <c r="Y1375">
        <v>1254.5</v>
      </c>
      <c r="Z1375">
        <v>1254.5</v>
      </c>
      <c r="AA1375" t="str">
        <f>"06/08/2016"</f>
        <v>06/08/2016</v>
      </c>
    </row>
    <row r="1376" spans="1:27" x14ac:dyDescent="0.3">
      <c r="A1376" t="str">
        <f t="shared" si="381"/>
        <v>048314</v>
      </c>
      <c r="B1376" t="str">
        <f t="shared" si="373"/>
        <v>004796</v>
      </c>
      <c r="C1376" t="s">
        <v>1846</v>
      </c>
      <c r="D1376" t="s">
        <v>3839</v>
      </c>
      <c r="E1376" t="s">
        <v>3840</v>
      </c>
      <c r="F1376" t="s">
        <v>3841</v>
      </c>
      <c r="G1376" t="s">
        <v>3842</v>
      </c>
      <c r="H1376" t="str">
        <f>"051243"</f>
        <v>051243</v>
      </c>
      <c r="I1376" t="s">
        <v>833</v>
      </c>
      <c r="J1376" t="str">
        <f>"2015-08-03 00:00:00.0"</f>
        <v>2015-08-03 00:00:00.0</v>
      </c>
      <c r="K1376" t="s">
        <v>834</v>
      </c>
      <c r="L1376" t="s">
        <v>0</v>
      </c>
      <c r="M1376" t="str">
        <f t="shared" si="384"/>
        <v>048314</v>
      </c>
      <c r="N1376">
        <v>1.1364000000000001E-2</v>
      </c>
      <c r="O1376">
        <v>1.1364000000000001E-2</v>
      </c>
      <c r="P1376" t="str">
        <f>"11"</f>
        <v>11</v>
      </c>
      <c r="Q1376" t="str">
        <f>"10"</f>
        <v>10</v>
      </c>
      <c r="R1376" t="str">
        <f>"2"</f>
        <v>2</v>
      </c>
      <c r="S1376" t="s">
        <v>836</v>
      </c>
      <c r="T1376" t="s">
        <v>836</v>
      </c>
      <c r="U1376" t="str">
        <f>"2015-08-27 00:00:00.0"</f>
        <v>2015-08-27 00:00:00.0</v>
      </c>
      <c r="V1376" t="s">
        <v>886</v>
      </c>
      <c r="W1376" t="str">
        <f>"051243-051250-11-**"</f>
        <v>051243-051250-11-**</v>
      </c>
      <c r="X1376" t="s">
        <v>838</v>
      </c>
      <c r="Y1376">
        <v>13</v>
      </c>
      <c r="Z1376">
        <v>1144</v>
      </c>
      <c r="AA1376" t="str">
        <f>"05/21/2016"</f>
        <v>05/21/2016</v>
      </c>
    </row>
    <row r="1377" spans="1:27" x14ac:dyDescent="0.3">
      <c r="A1377" t="str">
        <f t="shared" si="381"/>
        <v>048314</v>
      </c>
      <c r="B1377" t="str">
        <f t="shared" si="373"/>
        <v>004796</v>
      </c>
      <c r="C1377" t="s">
        <v>1846</v>
      </c>
      <c r="D1377" t="s">
        <v>3839</v>
      </c>
      <c r="E1377" t="s">
        <v>3840</v>
      </c>
      <c r="F1377" t="s">
        <v>3841</v>
      </c>
      <c r="G1377" t="s">
        <v>3842</v>
      </c>
      <c r="H1377" t="str">
        <f>"051243"</f>
        <v>051243</v>
      </c>
      <c r="I1377" t="s">
        <v>833</v>
      </c>
      <c r="J1377" t="str">
        <f>"2015-08-28 00:00:00.0"</f>
        <v>2015-08-28 00:00:00.0</v>
      </c>
      <c r="K1377" t="s">
        <v>834</v>
      </c>
      <c r="L1377" t="s">
        <v>0</v>
      </c>
      <c r="M1377" t="str">
        <f t="shared" si="384"/>
        <v>048314</v>
      </c>
      <c r="N1377">
        <v>0.46465899999999999</v>
      </c>
      <c r="O1377">
        <v>0.45863599999999999</v>
      </c>
      <c r="P1377" t="str">
        <f>"11"</f>
        <v>11</v>
      </c>
      <c r="Q1377" t="str">
        <f>"10"</f>
        <v>10</v>
      </c>
      <c r="R1377" t="str">
        <f>"2"</f>
        <v>2</v>
      </c>
      <c r="S1377" t="s">
        <v>836</v>
      </c>
      <c r="T1377" t="s">
        <v>836</v>
      </c>
      <c r="U1377" t="str">
        <f t="shared" ref="U1377:U1402" si="390">"2500-12-31 00:00:00.0"</f>
        <v>2500-12-31 00:00:00.0</v>
      </c>
      <c r="V1377" t="s">
        <v>886</v>
      </c>
      <c r="W1377" t="str">
        <f>"051243-051250-11-PM"</f>
        <v>051243-051250-11-PM</v>
      </c>
      <c r="X1377" t="s">
        <v>838</v>
      </c>
      <c r="Y1377">
        <v>531.57000000000005</v>
      </c>
      <c r="Z1377">
        <v>1144</v>
      </c>
      <c r="AA1377" t="str">
        <f>"05/21/2016"</f>
        <v>05/21/2016</v>
      </c>
    </row>
    <row r="1378" spans="1:27" x14ac:dyDescent="0.3">
      <c r="A1378" t="str">
        <f t="shared" si="381"/>
        <v>048314</v>
      </c>
      <c r="B1378" t="str">
        <f t="shared" si="373"/>
        <v>004796</v>
      </c>
      <c r="C1378" t="s">
        <v>1846</v>
      </c>
      <c r="D1378" t="s">
        <v>3839</v>
      </c>
      <c r="E1378" t="s">
        <v>3840</v>
      </c>
      <c r="F1378" t="s">
        <v>3841</v>
      </c>
      <c r="G1378" t="s">
        <v>3842</v>
      </c>
      <c r="H1378" t="str">
        <f t="shared" ref="H1378:H1383" si="391">"048314"</f>
        <v>048314</v>
      </c>
      <c r="I1378" t="s">
        <v>833</v>
      </c>
      <c r="J1378" t="str">
        <f t="shared" ref="J1378:J1402" si="392">"2015-07-01 00:00:00.0"</f>
        <v>2015-07-01 00:00:00.0</v>
      </c>
      <c r="K1378" t="s">
        <v>834</v>
      </c>
      <c r="L1378" t="s">
        <v>0</v>
      </c>
      <c r="M1378" t="str">
        <f t="shared" si="384"/>
        <v>048314</v>
      </c>
      <c r="N1378">
        <v>0.53</v>
      </c>
      <c r="O1378">
        <v>0.53</v>
      </c>
      <c r="P1378" t="str">
        <f>"11"</f>
        <v>11</v>
      </c>
      <c r="Q1378" t="str">
        <f>"10"</f>
        <v>10</v>
      </c>
      <c r="R1378" t="str">
        <f>"2"</f>
        <v>2</v>
      </c>
      <c r="S1378" t="s">
        <v>836</v>
      </c>
      <c r="T1378" t="s">
        <v>836</v>
      </c>
      <c r="U1378" t="str">
        <f t="shared" si="390"/>
        <v>2500-12-31 00:00:00.0</v>
      </c>
      <c r="V1378" t="s">
        <v>837</v>
      </c>
      <c r="W1378" t="str">
        <f>"048314-004796-**-**"</f>
        <v>048314-004796-**-**</v>
      </c>
      <c r="X1378" t="s">
        <v>838</v>
      </c>
      <c r="Y1378">
        <v>664.89</v>
      </c>
      <c r="Z1378">
        <v>1254.5</v>
      </c>
      <c r="AA1378" t="str">
        <f t="shared" ref="AA1378:AA1383" si="393">"06/08/2016"</f>
        <v>06/08/2016</v>
      </c>
    </row>
    <row r="1379" spans="1:27" x14ac:dyDescent="0.3">
      <c r="A1379" t="str">
        <f t="shared" si="381"/>
        <v>048314</v>
      </c>
      <c r="B1379" t="str">
        <f t="shared" si="373"/>
        <v>004796</v>
      </c>
      <c r="C1379" t="s">
        <v>1431</v>
      </c>
      <c r="D1379" t="s">
        <v>3839</v>
      </c>
      <c r="E1379" t="s">
        <v>3840</v>
      </c>
      <c r="F1379" t="s">
        <v>3841</v>
      </c>
      <c r="G1379" t="s">
        <v>3842</v>
      </c>
      <c r="H1379" t="str">
        <f t="shared" si="391"/>
        <v>048314</v>
      </c>
      <c r="I1379" t="s">
        <v>833</v>
      </c>
      <c r="J1379" t="str">
        <f t="shared" si="392"/>
        <v>2015-07-01 00:00:00.0</v>
      </c>
      <c r="K1379" t="s">
        <v>834</v>
      </c>
      <c r="L1379" t="s">
        <v>0</v>
      </c>
      <c r="M1379" t="str">
        <f t="shared" si="384"/>
        <v>048314</v>
      </c>
      <c r="N1379">
        <v>1</v>
      </c>
      <c r="O1379">
        <v>1</v>
      </c>
      <c r="P1379" t="str">
        <f>"12"</f>
        <v>12</v>
      </c>
      <c r="Q1379" t="s">
        <v>835</v>
      </c>
      <c r="S1379" t="s">
        <v>836</v>
      </c>
      <c r="T1379" t="s">
        <v>836</v>
      </c>
      <c r="U1379" t="str">
        <f t="shared" si="390"/>
        <v>2500-12-31 00:00:00.0</v>
      </c>
      <c r="V1379" t="s">
        <v>837</v>
      </c>
      <c r="W1379" t="str">
        <f>"048314-004796-12-SE"</f>
        <v>048314-004796-12-SE</v>
      </c>
      <c r="X1379" t="s">
        <v>838</v>
      </c>
      <c r="Y1379">
        <v>1254.5</v>
      </c>
      <c r="Z1379">
        <v>1254.5</v>
      </c>
      <c r="AA1379" t="str">
        <f t="shared" si="393"/>
        <v>06/08/2016</v>
      </c>
    </row>
    <row r="1380" spans="1:27" x14ac:dyDescent="0.3">
      <c r="A1380" t="str">
        <f t="shared" si="381"/>
        <v>048314</v>
      </c>
      <c r="B1380" t="str">
        <f t="shared" si="373"/>
        <v>004796</v>
      </c>
      <c r="C1380" t="s">
        <v>2509</v>
      </c>
      <c r="D1380" t="s">
        <v>3839</v>
      </c>
      <c r="E1380" t="s">
        <v>3840</v>
      </c>
      <c r="F1380" t="s">
        <v>3841</v>
      </c>
      <c r="G1380" t="s">
        <v>3842</v>
      </c>
      <c r="H1380" t="str">
        <f t="shared" si="391"/>
        <v>048314</v>
      </c>
      <c r="I1380" t="s">
        <v>833</v>
      </c>
      <c r="J1380" t="str">
        <f t="shared" si="392"/>
        <v>2015-07-01 00:00:00.0</v>
      </c>
      <c r="K1380" t="s">
        <v>834</v>
      </c>
      <c r="L1380" t="s">
        <v>0</v>
      </c>
      <c r="M1380" t="str">
        <f t="shared" si="384"/>
        <v>048314</v>
      </c>
      <c r="N1380">
        <v>1</v>
      </c>
      <c r="O1380">
        <v>1</v>
      </c>
      <c r="P1380" t="str">
        <f>"10"</f>
        <v>10</v>
      </c>
      <c r="Q1380" t="s">
        <v>835</v>
      </c>
      <c r="S1380" t="s">
        <v>836</v>
      </c>
      <c r="T1380" t="s">
        <v>836</v>
      </c>
      <c r="U1380" t="str">
        <f t="shared" si="390"/>
        <v>2500-12-31 00:00:00.0</v>
      </c>
      <c r="V1380" t="s">
        <v>837</v>
      </c>
      <c r="W1380" t="str">
        <f>"048314-004796-**-**"</f>
        <v>048314-004796-**-**</v>
      </c>
      <c r="X1380" t="s">
        <v>838</v>
      </c>
      <c r="Y1380">
        <v>1254.5</v>
      </c>
      <c r="Z1380">
        <v>1254.5</v>
      </c>
      <c r="AA1380" t="str">
        <f t="shared" si="393"/>
        <v>06/08/2016</v>
      </c>
    </row>
    <row r="1381" spans="1:27" x14ac:dyDescent="0.3">
      <c r="A1381" t="str">
        <f t="shared" si="381"/>
        <v>048314</v>
      </c>
      <c r="B1381" t="str">
        <f t="shared" si="373"/>
        <v>004796</v>
      </c>
      <c r="C1381" t="s">
        <v>1397</v>
      </c>
      <c r="D1381" t="s">
        <v>3839</v>
      </c>
      <c r="E1381" t="s">
        <v>3840</v>
      </c>
      <c r="F1381" t="s">
        <v>3841</v>
      </c>
      <c r="G1381" t="s">
        <v>3842</v>
      </c>
      <c r="H1381" t="str">
        <f t="shared" si="391"/>
        <v>048314</v>
      </c>
      <c r="I1381" t="s">
        <v>833</v>
      </c>
      <c r="J1381" t="str">
        <f t="shared" si="392"/>
        <v>2015-07-01 00:00:00.0</v>
      </c>
      <c r="K1381" t="s">
        <v>834</v>
      </c>
      <c r="L1381" t="s">
        <v>0</v>
      </c>
      <c r="M1381" t="str">
        <f t="shared" si="384"/>
        <v>048314</v>
      </c>
      <c r="N1381">
        <v>1</v>
      </c>
      <c r="O1381">
        <v>1</v>
      </c>
      <c r="P1381" t="str">
        <f>"11"</f>
        <v>11</v>
      </c>
      <c r="Q1381" t="s">
        <v>835</v>
      </c>
      <c r="S1381" t="s">
        <v>836</v>
      </c>
      <c r="T1381" t="s">
        <v>836</v>
      </c>
      <c r="U1381" t="str">
        <f t="shared" si="390"/>
        <v>2500-12-31 00:00:00.0</v>
      </c>
      <c r="V1381" t="s">
        <v>837</v>
      </c>
      <c r="W1381" t="str">
        <f>"048314-004796-**-**"</f>
        <v>048314-004796-**-**</v>
      </c>
      <c r="X1381" t="s">
        <v>838</v>
      </c>
      <c r="Y1381">
        <v>1254.5</v>
      </c>
      <c r="Z1381">
        <v>1254.5</v>
      </c>
      <c r="AA1381" t="str">
        <f t="shared" si="393"/>
        <v>06/08/2016</v>
      </c>
    </row>
    <row r="1382" spans="1:27" x14ac:dyDescent="0.3">
      <c r="A1382" t="str">
        <f t="shared" si="381"/>
        <v>048314</v>
      </c>
      <c r="B1382" t="str">
        <f t="shared" si="373"/>
        <v>004796</v>
      </c>
      <c r="C1382" t="s">
        <v>1398</v>
      </c>
      <c r="D1382" t="s">
        <v>3839</v>
      </c>
      <c r="E1382" t="s">
        <v>3840</v>
      </c>
      <c r="F1382" t="s">
        <v>3841</v>
      </c>
      <c r="G1382" t="s">
        <v>3842</v>
      </c>
      <c r="H1382" t="str">
        <f t="shared" si="391"/>
        <v>048314</v>
      </c>
      <c r="I1382" t="s">
        <v>833</v>
      </c>
      <c r="J1382" t="str">
        <f t="shared" si="392"/>
        <v>2015-07-01 00:00:00.0</v>
      </c>
      <c r="K1382" t="s">
        <v>834</v>
      </c>
      <c r="L1382" t="s">
        <v>0</v>
      </c>
      <c r="M1382" t="str">
        <f t="shared" si="384"/>
        <v>048314</v>
      </c>
      <c r="N1382">
        <v>1</v>
      </c>
      <c r="O1382">
        <v>1</v>
      </c>
      <c r="P1382" t="str">
        <f>"11"</f>
        <v>11</v>
      </c>
      <c r="Q1382" t="s">
        <v>835</v>
      </c>
      <c r="S1382" t="s">
        <v>836</v>
      </c>
      <c r="T1382" t="s">
        <v>836</v>
      </c>
      <c r="U1382" t="str">
        <f t="shared" si="390"/>
        <v>2500-12-31 00:00:00.0</v>
      </c>
      <c r="V1382" t="s">
        <v>837</v>
      </c>
      <c r="W1382" t="str">
        <f>"048314-004796-**-**"</f>
        <v>048314-004796-**-**</v>
      </c>
      <c r="X1382" t="s">
        <v>838</v>
      </c>
      <c r="Y1382">
        <v>1254.5</v>
      </c>
      <c r="Z1382">
        <v>1254.5</v>
      </c>
      <c r="AA1382" t="str">
        <f t="shared" si="393"/>
        <v>06/08/2016</v>
      </c>
    </row>
    <row r="1383" spans="1:27" x14ac:dyDescent="0.3">
      <c r="A1383" t="str">
        <f t="shared" si="381"/>
        <v>048314</v>
      </c>
      <c r="B1383" t="str">
        <f t="shared" si="373"/>
        <v>004796</v>
      </c>
      <c r="C1383" t="s">
        <v>1627</v>
      </c>
      <c r="D1383" t="s">
        <v>3839</v>
      </c>
      <c r="E1383" t="s">
        <v>3840</v>
      </c>
      <c r="F1383" t="s">
        <v>3841</v>
      </c>
      <c r="G1383" t="s">
        <v>3842</v>
      </c>
      <c r="H1383" t="str">
        <f t="shared" si="391"/>
        <v>048314</v>
      </c>
      <c r="I1383" t="s">
        <v>833</v>
      </c>
      <c r="J1383" t="str">
        <f t="shared" si="392"/>
        <v>2015-07-01 00:00:00.0</v>
      </c>
      <c r="K1383" t="s">
        <v>834</v>
      </c>
      <c r="L1383" t="s">
        <v>0</v>
      </c>
      <c r="M1383" t="str">
        <f t="shared" si="384"/>
        <v>048314</v>
      </c>
      <c r="N1383">
        <v>1</v>
      </c>
      <c r="O1383">
        <v>1</v>
      </c>
      <c r="P1383" t="str">
        <f>"10"</f>
        <v>10</v>
      </c>
      <c r="Q1383" t="s">
        <v>835</v>
      </c>
      <c r="S1383" t="s">
        <v>836</v>
      </c>
      <c r="T1383" t="s">
        <v>836</v>
      </c>
      <c r="U1383" t="str">
        <f t="shared" si="390"/>
        <v>2500-12-31 00:00:00.0</v>
      </c>
      <c r="V1383" t="s">
        <v>837</v>
      </c>
      <c r="W1383" t="str">
        <f>"048314-004796-**-**"</f>
        <v>048314-004796-**-**</v>
      </c>
      <c r="X1383" t="s">
        <v>838</v>
      </c>
      <c r="Y1383">
        <v>1254.5</v>
      </c>
      <c r="Z1383">
        <v>1254.5</v>
      </c>
      <c r="AA1383" t="str">
        <f t="shared" si="393"/>
        <v>06/08/2016</v>
      </c>
    </row>
    <row r="1384" spans="1:27" x14ac:dyDescent="0.3">
      <c r="A1384" t="str">
        <f t="shared" si="381"/>
        <v>048314</v>
      </c>
      <c r="B1384" t="str">
        <f t="shared" si="373"/>
        <v>004796</v>
      </c>
      <c r="C1384" t="s">
        <v>1083</v>
      </c>
      <c r="D1384" t="s">
        <v>3839</v>
      </c>
      <c r="E1384" t="s">
        <v>3840</v>
      </c>
      <c r="F1384" t="s">
        <v>3841</v>
      </c>
      <c r="G1384" t="s">
        <v>3842</v>
      </c>
      <c r="H1384" t="str">
        <f>"050252"</f>
        <v>050252</v>
      </c>
      <c r="I1384" t="s">
        <v>833</v>
      </c>
      <c r="J1384" t="str">
        <f t="shared" si="392"/>
        <v>2015-07-01 00:00:00.0</v>
      </c>
      <c r="K1384" t="s">
        <v>834</v>
      </c>
      <c r="L1384" t="s">
        <v>1</v>
      </c>
      <c r="M1384" t="str">
        <f t="shared" si="384"/>
        <v>048314</v>
      </c>
      <c r="N1384">
        <v>1</v>
      </c>
      <c r="O1384">
        <v>1</v>
      </c>
      <c r="P1384" t="str">
        <f>"12"</f>
        <v>12</v>
      </c>
      <c r="Q1384" t="s">
        <v>835</v>
      </c>
      <c r="S1384" t="s">
        <v>836</v>
      </c>
      <c r="T1384" t="s">
        <v>836</v>
      </c>
      <c r="U1384" t="str">
        <f t="shared" si="390"/>
        <v>2500-12-31 00:00:00.0</v>
      </c>
      <c r="V1384" t="s">
        <v>837</v>
      </c>
      <c r="W1384" t="str">
        <f>"050252-025023-12-SR"</f>
        <v>050252-025023-12-SR</v>
      </c>
      <c r="X1384" t="s">
        <v>838</v>
      </c>
      <c r="Y1384">
        <v>1117</v>
      </c>
      <c r="Z1384">
        <v>1117</v>
      </c>
      <c r="AA1384" t="str">
        <f>"06/13/2016"</f>
        <v>06/13/2016</v>
      </c>
    </row>
    <row r="1385" spans="1:27" x14ac:dyDescent="0.3">
      <c r="A1385" t="str">
        <f t="shared" si="381"/>
        <v>048314</v>
      </c>
      <c r="B1385" t="str">
        <f t="shared" si="373"/>
        <v>004796</v>
      </c>
      <c r="C1385" t="s">
        <v>1628</v>
      </c>
      <c r="D1385" t="s">
        <v>3839</v>
      </c>
      <c r="E1385" t="s">
        <v>3840</v>
      </c>
      <c r="F1385" t="s">
        <v>3841</v>
      </c>
      <c r="G1385" t="s">
        <v>3842</v>
      </c>
      <c r="H1385" t="str">
        <f>"048397"</f>
        <v>048397</v>
      </c>
      <c r="I1385" t="s">
        <v>833</v>
      </c>
      <c r="J1385" t="str">
        <f t="shared" si="392"/>
        <v>2015-07-01 00:00:00.0</v>
      </c>
      <c r="K1385" t="s">
        <v>834</v>
      </c>
      <c r="L1385" t="s">
        <v>1</v>
      </c>
      <c r="M1385" t="str">
        <f t="shared" si="384"/>
        <v>048314</v>
      </c>
      <c r="N1385">
        <v>1</v>
      </c>
      <c r="O1385">
        <v>1</v>
      </c>
      <c r="P1385" t="str">
        <f>"10"</f>
        <v>10</v>
      </c>
      <c r="Q1385" t="s">
        <v>835</v>
      </c>
      <c r="S1385" t="s">
        <v>836</v>
      </c>
      <c r="T1385" t="s">
        <v>836</v>
      </c>
      <c r="U1385" t="str">
        <f t="shared" si="390"/>
        <v>2500-12-31 00:00:00.0</v>
      </c>
      <c r="V1385" t="s">
        <v>837</v>
      </c>
      <c r="W1385" t="str">
        <f>"048397-042333-**-**"</f>
        <v>048397-042333-**-**</v>
      </c>
      <c r="X1385" t="s">
        <v>838</v>
      </c>
      <c r="Y1385">
        <v>1113.0999999999999</v>
      </c>
      <c r="Z1385">
        <v>1113.0999999999999</v>
      </c>
      <c r="AA1385" t="str">
        <f t="shared" ref="AA1385:AA1402" si="394">"06/08/2016"</f>
        <v>06/08/2016</v>
      </c>
    </row>
    <row r="1386" spans="1:27" x14ac:dyDescent="0.3">
      <c r="A1386" t="str">
        <f t="shared" si="381"/>
        <v>048314</v>
      </c>
      <c r="B1386" t="str">
        <f t="shared" si="373"/>
        <v>004796</v>
      </c>
      <c r="C1386" t="s">
        <v>2502</v>
      </c>
      <c r="D1386" t="s">
        <v>3839</v>
      </c>
      <c r="E1386" t="s">
        <v>3840</v>
      </c>
      <c r="F1386" t="s">
        <v>3841</v>
      </c>
      <c r="G1386" t="s">
        <v>3842</v>
      </c>
      <c r="H1386" t="str">
        <f t="shared" ref="H1386:H1402" si="395">"048314"</f>
        <v>048314</v>
      </c>
      <c r="I1386" t="s">
        <v>833</v>
      </c>
      <c r="J1386" t="str">
        <f t="shared" si="392"/>
        <v>2015-07-01 00:00:00.0</v>
      </c>
      <c r="K1386" t="s">
        <v>834</v>
      </c>
      <c r="L1386" t="s">
        <v>0</v>
      </c>
      <c r="M1386" t="str">
        <f t="shared" si="384"/>
        <v>048314</v>
      </c>
      <c r="N1386">
        <v>1</v>
      </c>
      <c r="O1386">
        <v>1</v>
      </c>
      <c r="P1386" t="str">
        <f>"10"</f>
        <v>10</v>
      </c>
      <c r="Q1386" t="s">
        <v>835</v>
      </c>
      <c r="S1386" t="s">
        <v>836</v>
      </c>
      <c r="T1386" t="s">
        <v>836</v>
      </c>
      <c r="U1386" t="str">
        <f t="shared" si="390"/>
        <v>2500-12-31 00:00:00.0</v>
      </c>
      <c r="V1386" t="s">
        <v>837</v>
      </c>
      <c r="W1386" t="str">
        <f>"048314-004796-**-**"</f>
        <v>048314-004796-**-**</v>
      </c>
      <c r="X1386" t="s">
        <v>838</v>
      </c>
      <c r="Y1386">
        <v>1254.5</v>
      </c>
      <c r="Z1386">
        <v>1254.5</v>
      </c>
      <c r="AA1386" t="str">
        <f t="shared" si="394"/>
        <v>06/08/2016</v>
      </c>
    </row>
    <row r="1387" spans="1:27" x14ac:dyDescent="0.3">
      <c r="A1387" t="str">
        <f t="shared" si="381"/>
        <v>048314</v>
      </c>
      <c r="B1387" t="str">
        <f t="shared" si="373"/>
        <v>004796</v>
      </c>
      <c r="C1387" t="s">
        <v>1807</v>
      </c>
      <c r="D1387" t="s">
        <v>3839</v>
      </c>
      <c r="E1387" t="s">
        <v>3840</v>
      </c>
      <c r="F1387" t="s">
        <v>3841</v>
      </c>
      <c r="G1387" t="s">
        <v>3842</v>
      </c>
      <c r="H1387" t="str">
        <f t="shared" si="395"/>
        <v>048314</v>
      </c>
      <c r="I1387" t="s">
        <v>833</v>
      </c>
      <c r="J1387" t="str">
        <f t="shared" si="392"/>
        <v>2015-07-01 00:00:00.0</v>
      </c>
      <c r="K1387" t="s">
        <v>834</v>
      </c>
      <c r="L1387" t="s">
        <v>0</v>
      </c>
      <c r="M1387" t="str">
        <f t="shared" si="384"/>
        <v>048314</v>
      </c>
      <c r="N1387">
        <v>1</v>
      </c>
      <c r="O1387">
        <v>1</v>
      </c>
      <c r="P1387" t="str">
        <f>"10"</f>
        <v>10</v>
      </c>
      <c r="Q1387" t="str">
        <f>"10"</f>
        <v>10</v>
      </c>
      <c r="R1387" t="str">
        <f>"2"</f>
        <v>2</v>
      </c>
      <c r="S1387" t="s">
        <v>836</v>
      </c>
      <c r="T1387" t="s">
        <v>836</v>
      </c>
      <c r="U1387" t="str">
        <f t="shared" si="390"/>
        <v>2500-12-31 00:00:00.0</v>
      </c>
      <c r="V1387" t="s">
        <v>837</v>
      </c>
      <c r="W1387" t="str">
        <f>"048314-004796-**-**"</f>
        <v>048314-004796-**-**</v>
      </c>
      <c r="X1387" t="s">
        <v>838</v>
      </c>
      <c r="Y1387">
        <v>1254.5</v>
      </c>
      <c r="Z1387">
        <v>1254.5</v>
      </c>
      <c r="AA1387" t="str">
        <f t="shared" si="394"/>
        <v>06/08/2016</v>
      </c>
    </row>
    <row r="1388" spans="1:27" x14ac:dyDescent="0.3">
      <c r="A1388" t="str">
        <f t="shared" si="381"/>
        <v>048314</v>
      </c>
      <c r="B1388" t="str">
        <f t="shared" si="373"/>
        <v>004796</v>
      </c>
      <c r="C1388" t="s">
        <v>1279</v>
      </c>
      <c r="D1388" t="s">
        <v>3839</v>
      </c>
      <c r="E1388" t="s">
        <v>3840</v>
      </c>
      <c r="F1388" t="s">
        <v>3841</v>
      </c>
      <c r="G1388" t="s">
        <v>3842</v>
      </c>
      <c r="H1388" t="str">
        <f t="shared" si="395"/>
        <v>048314</v>
      </c>
      <c r="I1388" t="s">
        <v>833</v>
      </c>
      <c r="J1388" t="str">
        <f t="shared" si="392"/>
        <v>2015-07-01 00:00:00.0</v>
      </c>
      <c r="K1388" t="s">
        <v>834</v>
      </c>
      <c r="L1388" t="s">
        <v>0</v>
      </c>
      <c r="M1388" t="str">
        <f t="shared" si="384"/>
        <v>048314</v>
      </c>
      <c r="N1388">
        <v>1</v>
      </c>
      <c r="O1388">
        <v>1</v>
      </c>
      <c r="P1388" t="str">
        <f>"10"</f>
        <v>10</v>
      </c>
      <c r="Q1388" t="str">
        <f>"12"</f>
        <v>12</v>
      </c>
      <c r="R1388" t="str">
        <f>"6"</f>
        <v>6</v>
      </c>
      <c r="S1388" t="s">
        <v>836</v>
      </c>
      <c r="T1388" t="s">
        <v>836</v>
      </c>
      <c r="U1388" t="str">
        <f t="shared" si="390"/>
        <v>2500-12-31 00:00:00.0</v>
      </c>
      <c r="V1388" t="s">
        <v>837</v>
      </c>
      <c r="W1388" t="str">
        <f>"048314-004796-**-**"</f>
        <v>048314-004796-**-**</v>
      </c>
      <c r="X1388" t="s">
        <v>838</v>
      </c>
      <c r="Y1388">
        <v>1254.5</v>
      </c>
      <c r="Z1388">
        <v>1254.5</v>
      </c>
      <c r="AA1388" t="str">
        <f t="shared" si="394"/>
        <v>06/08/2016</v>
      </c>
    </row>
    <row r="1389" spans="1:27" x14ac:dyDescent="0.3">
      <c r="A1389" t="str">
        <f t="shared" si="381"/>
        <v>048314</v>
      </c>
      <c r="B1389" t="str">
        <f t="shared" ref="B1389:B1443" si="396">"004796"</f>
        <v>004796</v>
      </c>
      <c r="C1389" t="s">
        <v>1629</v>
      </c>
      <c r="D1389" t="s">
        <v>3839</v>
      </c>
      <c r="E1389" t="s">
        <v>3840</v>
      </c>
      <c r="F1389" t="s">
        <v>3841</v>
      </c>
      <c r="G1389" t="s">
        <v>3842</v>
      </c>
      <c r="H1389" t="str">
        <f t="shared" si="395"/>
        <v>048314</v>
      </c>
      <c r="I1389" t="s">
        <v>833</v>
      </c>
      <c r="J1389" t="str">
        <f t="shared" si="392"/>
        <v>2015-07-01 00:00:00.0</v>
      </c>
      <c r="K1389" t="s">
        <v>834</v>
      </c>
      <c r="L1389" t="s">
        <v>0</v>
      </c>
      <c r="M1389" t="str">
        <f t="shared" si="384"/>
        <v>048314</v>
      </c>
      <c r="N1389">
        <v>1</v>
      </c>
      <c r="O1389">
        <v>1</v>
      </c>
      <c r="P1389" t="str">
        <f>"10"</f>
        <v>10</v>
      </c>
      <c r="Q1389" t="s">
        <v>835</v>
      </c>
      <c r="S1389" t="s">
        <v>836</v>
      </c>
      <c r="T1389" t="s">
        <v>836</v>
      </c>
      <c r="U1389" t="str">
        <f t="shared" si="390"/>
        <v>2500-12-31 00:00:00.0</v>
      </c>
      <c r="V1389" t="s">
        <v>837</v>
      </c>
      <c r="W1389" t="str">
        <f>"048314-004796-**-**"</f>
        <v>048314-004796-**-**</v>
      </c>
      <c r="X1389" t="s">
        <v>838</v>
      </c>
      <c r="Y1389">
        <v>1254.5</v>
      </c>
      <c r="Z1389">
        <v>1254.5</v>
      </c>
      <c r="AA1389" t="str">
        <f t="shared" si="394"/>
        <v>06/08/2016</v>
      </c>
    </row>
    <row r="1390" spans="1:27" x14ac:dyDescent="0.3">
      <c r="A1390" t="str">
        <f t="shared" si="381"/>
        <v>048314</v>
      </c>
      <c r="B1390" t="str">
        <f t="shared" si="396"/>
        <v>004796</v>
      </c>
      <c r="C1390" t="s">
        <v>1309</v>
      </c>
      <c r="D1390" t="s">
        <v>3839</v>
      </c>
      <c r="E1390" t="s">
        <v>3840</v>
      </c>
      <c r="F1390" t="s">
        <v>3841</v>
      </c>
      <c r="G1390" t="s">
        <v>3842</v>
      </c>
      <c r="H1390" t="str">
        <f t="shared" si="395"/>
        <v>048314</v>
      </c>
      <c r="I1390" t="s">
        <v>833</v>
      </c>
      <c r="J1390" t="str">
        <f t="shared" si="392"/>
        <v>2015-07-01 00:00:00.0</v>
      </c>
      <c r="K1390" t="s">
        <v>834</v>
      </c>
      <c r="L1390" t="s">
        <v>0</v>
      </c>
      <c r="M1390" t="str">
        <f t="shared" si="384"/>
        <v>048314</v>
      </c>
      <c r="N1390">
        <v>1</v>
      </c>
      <c r="O1390">
        <v>1</v>
      </c>
      <c r="P1390" t="str">
        <f>"11"</f>
        <v>11</v>
      </c>
      <c r="Q1390" t="s">
        <v>835</v>
      </c>
      <c r="S1390" t="s">
        <v>836</v>
      </c>
      <c r="T1390" t="s">
        <v>836</v>
      </c>
      <c r="U1390" t="str">
        <f t="shared" si="390"/>
        <v>2500-12-31 00:00:00.0</v>
      </c>
      <c r="V1390" t="s">
        <v>837</v>
      </c>
      <c r="W1390" t="str">
        <f>"048314-004796-**-**"</f>
        <v>048314-004796-**-**</v>
      </c>
      <c r="X1390" t="s">
        <v>838</v>
      </c>
      <c r="Y1390">
        <v>1254.5</v>
      </c>
      <c r="Z1390">
        <v>1254.5</v>
      </c>
      <c r="AA1390" t="str">
        <f t="shared" si="394"/>
        <v>06/08/2016</v>
      </c>
    </row>
    <row r="1391" spans="1:27" x14ac:dyDescent="0.3">
      <c r="A1391" t="str">
        <f t="shared" si="381"/>
        <v>048314</v>
      </c>
      <c r="B1391" t="str">
        <f t="shared" si="396"/>
        <v>004796</v>
      </c>
      <c r="C1391" t="s">
        <v>1250</v>
      </c>
      <c r="D1391" t="s">
        <v>3839</v>
      </c>
      <c r="E1391" t="s">
        <v>3840</v>
      </c>
      <c r="F1391" t="s">
        <v>3841</v>
      </c>
      <c r="G1391" t="s">
        <v>3842</v>
      </c>
      <c r="H1391" t="str">
        <f t="shared" si="395"/>
        <v>048314</v>
      </c>
      <c r="I1391" t="s">
        <v>833</v>
      </c>
      <c r="J1391" t="str">
        <f t="shared" si="392"/>
        <v>2015-07-01 00:00:00.0</v>
      </c>
      <c r="K1391" t="s">
        <v>834</v>
      </c>
      <c r="L1391" t="s">
        <v>0</v>
      </c>
      <c r="M1391" t="str">
        <f t="shared" si="384"/>
        <v>048314</v>
      </c>
      <c r="N1391">
        <v>1</v>
      </c>
      <c r="O1391">
        <v>1</v>
      </c>
      <c r="P1391" t="str">
        <f>"12"</f>
        <v>12</v>
      </c>
      <c r="Q1391" t="s">
        <v>835</v>
      </c>
      <c r="S1391" t="s">
        <v>860</v>
      </c>
      <c r="T1391" t="s">
        <v>836</v>
      </c>
      <c r="U1391" t="str">
        <f t="shared" si="390"/>
        <v>2500-12-31 00:00:00.0</v>
      </c>
      <c r="V1391" t="s">
        <v>837</v>
      </c>
      <c r="W1391" t="str">
        <f>"048314-004796-12-SE"</f>
        <v>048314-004796-12-SE</v>
      </c>
      <c r="X1391" t="s">
        <v>838</v>
      </c>
      <c r="Y1391">
        <v>1254.5</v>
      </c>
      <c r="Z1391">
        <v>1254.5</v>
      </c>
      <c r="AA1391" t="str">
        <f t="shared" si="394"/>
        <v>06/08/2016</v>
      </c>
    </row>
    <row r="1392" spans="1:27" x14ac:dyDescent="0.3">
      <c r="A1392" t="str">
        <f t="shared" si="381"/>
        <v>048314</v>
      </c>
      <c r="B1392" t="str">
        <f t="shared" si="396"/>
        <v>004796</v>
      </c>
      <c r="C1392" t="s">
        <v>2045</v>
      </c>
      <c r="D1392" t="s">
        <v>3839</v>
      </c>
      <c r="E1392" t="s">
        <v>3840</v>
      </c>
      <c r="F1392" t="s">
        <v>3841</v>
      </c>
      <c r="G1392" t="s">
        <v>3842</v>
      </c>
      <c r="H1392" t="str">
        <f t="shared" si="395"/>
        <v>048314</v>
      </c>
      <c r="I1392" t="s">
        <v>833</v>
      </c>
      <c r="J1392" t="str">
        <f t="shared" si="392"/>
        <v>2015-07-01 00:00:00.0</v>
      </c>
      <c r="K1392" t="s">
        <v>834</v>
      </c>
      <c r="L1392" t="s">
        <v>0</v>
      </c>
      <c r="M1392" t="str">
        <f t="shared" si="384"/>
        <v>048314</v>
      </c>
      <c r="N1392">
        <v>1</v>
      </c>
      <c r="O1392">
        <v>1</v>
      </c>
      <c r="P1392" t="str">
        <f>"10"</f>
        <v>10</v>
      </c>
      <c r="Q1392" t="s">
        <v>835</v>
      </c>
      <c r="S1392" t="s">
        <v>836</v>
      </c>
      <c r="T1392" t="s">
        <v>836</v>
      </c>
      <c r="U1392" t="str">
        <f t="shared" si="390"/>
        <v>2500-12-31 00:00:00.0</v>
      </c>
      <c r="V1392" t="s">
        <v>837</v>
      </c>
      <c r="W1392" t="str">
        <f>"048314-004796-**-**"</f>
        <v>048314-004796-**-**</v>
      </c>
      <c r="X1392" t="s">
        <v>838</v>
      </c>
      <c r="Y1392">
        <v>1254.5</v>
      </c>
      <c r="Z1392">
        <v>1254.5</v>
      </c>
      <c r="AA1392" t="str">
        <f t="shared" si="394"/>
        <v>06/08/2016</v>
      </c>
    </row>
    <row r="1393" spans="1:27" x14ac:dyDescent="0.3">
      <c r="A1393" t="str">
        <f t="shared" si="381"/>
        <v>048314</v>
      </c>
      <c r="B1393" t="str">
        <f t="shared" si="396"/>
        <v>004796</v>
      </c>
      <c r="C1393" t="s">
        <v>1093</v>
      </c>
      <c r="D1393" t="s">
        <v>3839</v>
      </c>
      <c r="E1393" t="s">
        <v>3840</v>
      </c>
      <c r="F1393" t="s">
        <v>3841</v>
      </c>
      <c r="G1393" t="s">
        <v>3842</v>
      </c>
      <c r="H1393" t="str">
        <f t="shared" si="395"/>
        <v>048314</v>
      </c>
      <c r="I1393" t="s">
        <v>833</v>
      </c>
      <c r="J1393" t="str">
        <f t="shared" si="392"/>
        <v>2015-07-01 00:00:00.0</v>
      </c>
      <c r="K1393" t="s">
        <v>834</v>
      </c>
      <c r="L1393" t="s">
        <v>0</v>
      </c>
      <c r="M1393" t="str">
        <f t="shared" si="384"/>
        <v>048314</v>
      </c>
      <c r="N1393">
        <v>1</v>
      </c>
      <c r="O1393">
        <v>1</v>
      </c>
      <c r="P1393" t="str">
        <f>"12"</f>
        <v>12</v>
      </c>
      <c r="Q1393" t="s">
        <v>835</v>
      </c>
      <c r="S1393" t="s">
        <v>836</v>
      </c>
      <c r="T1393" t="s">
        <v>836</v>
      </c>
      <c r="U1393" t="str">
        <f t="shared" si="390"/>
        <v>2500-12-31 00:00:00.0</v>
      </c>
      <c r="V1393" t="s">
        <v>837</v>
      </c>
      <c r="W1393" t="str">
        <f>"048314-004796-12-SE"</f>
        <v>048314-004796-12-SE</v>
      </c>
      <c r="X1393" t="s">
        <v>838</v>
      </c>
      <c r="Y1393">
        <v>1254.5</v>
      </c>
      <c r="Z1393">
        <v>1254.5</v>
      </c>
      <c r="AA1393" t="str">
        <f t="shared" si="394"/>
        <v>06/08/2016</v>
      </c>
    </row>
    <row r="1394" spans="1:27" x14ac:dyDescent="0.3">
      <c r="A1394" t="str">
        <f t="shared" si="381"/>
        <v>048314</v>
      </c>
      <c r="B1394" t="str">
        <f t="shared" si="396"/>
        <v>004796</v>
      </c>
      <c r="C1394" t="s">
        <v>1165</v>
      </c>
      <c r="D1394" t="s">
        <v>3839</v>
      </c>
      <c r="E1394" t="s">
        <v>3840</v>
      </c>
      <c r="F1394" t="s">
        <v>3841</v>
      </c>
      <c r="G1394" t="s">
        <v>3842</v>
      </c>
      <c r="H1394" t="str">
        <f t="shared" si="395"/>
        <v>048314</v>
      </c>
      <c r="I1394" t="s">
        <v>833</v>
      </c>
      <c r="J1394" t="str">
        <f t="shared" si="392"/>
        <v>2015-07-01 00:00:00.0</v>
      </c>
      <c r="K1394" t="s">
        <v>834</v>
      </c>
      <c r="L1394" t="s">
        <v>0</v>
      </c>
      <c r="M1394" t="str">
        <f t="shared" si="384"/>
        <v>048314</v>
      </c>
      <c r="N1394">
        <v>1</v>
      </c>
      <c r="O1394">
        <v>1</v>
      </c>
      <c r="P1394" t="str">
        <f>"12"</f>
        <v>12</v>
      </c>
      <c r="Q1394" t="s">
        <v>835</v>
      </c>
      <c r="S1394" t="s">
        <v>836</v>
      </c>
      <c r="T1394" t="s">
        <v>836</v>
      </c>
      <c r="U1394" t="str">
        <f t="shared" si="390"/>
        <v>2500-12-31 00:00:00.0</v>
      </c>
      <c r="V1394" t="s">
        <v>837</v>
      </c>
      <c r="W1394" t="str">
        <f>"048314-004796-12-SE"</f>
        <v>048314-004796-12-SE</v>
      </c>
      <c r="X1394" t="s">
        <v>838</v>
      </c>
      <c r="Y1394">
        <v>1254.5</v>
      </c>
      <c r="Z1394">
        <v>1254.5</v>
      </c>
      <c r="AA1394" t="str">
        <f t="shared" si="394"/>
        <v>06/08/2016</v>
      </c>
    </row>
    <row r="1395" spans="1:27" x14ac:dyDescent="0.3">
      <c r="A1395" t="str">
        <f t="shared" si="381"/>
        <v>048314</v>
      </c>
      <c r="B1395" t="str">
        <f t="shared" si="396"/>
        <v>004796</v>
      </c>
      <c r="C1395" t="s">
        <v>1399</v>
      </c>
      <c r="D1395" t="s">
        <v>3839</v>
      </c>
      <c r="E1395" t="s">
        <v>3840</v>
      </c>
      <c r="F1395" t="s">
        <v>3841</v>
      </c>
      <c r="G1395" t="s">
        <v>3842</v>
      </c>
      <c r="H1395" t="str">
        <f t="shared" si="395"/>
        <v>048314</v>
      </c>
      <c r="I1395" t="s">
        <v>833</v>
      </c>
      <c r="J1395" t="str">
        <f t="shared" si="392"/>
        <v>2015-07-01 00:00:00.0</v>
      </c>
      <c r="K1395" t="s">
        <v>834</v>
      </c>
      <c r="L1395" t="s">
        <v>0</v>
      </c>
      <c r="M1395" t="str">
        <f t="shared" si="384"/>
        <v>048314</v>
      </c>
      <c r="N1395">
        <v>1</v>
      </c>
      <c r="O1395">
        <v>1</v>
      </c>
      <c r="P1395" t="str">
        <f>"11"</f>
        <v>11</v>
      </c>
      <c r="Q1395" t="s">
        <v>835</v>
      </c>
      <c r="S1395" t="s">
        <v>836</v>
      </c>
      <c r="T1395" t="s">
        <v>836</v>
      </c>
      <c r="U1395" t="str">
        <f t="shared" si="390"/>
        <v>2500-12-31 00:00:00.0</v>
      </c>
      <c r="V1395" t="s">
        <v>837</v>
      </c>
      <c r="W1395" t="str">
        <f>"048314-004796-**-**"</f>
        <v>048314-004796-**-**</v>
      </c>
      <c r="X1395" t="s">
        <v>838</v>
      </c>
      <c r="Y1395">
        <v>1254.5</v>
      </c>
      <c r="Z1395">
        <v>1254.5</v>
      </c>
      <c r="AA1395" t="str">
        <f t="shared" si="394"/>
        <v>06/08/2016</v>
      </c>
    </row>
    <row r="1396" spans="1:27" x14ac:dyDescent="0.3">
      <c r="A1396" t="str">
        <f t="shared" si="381"/>
        <v>048314</v>
      </c>
      <c r="B1396" t="str">
        <f t="shared" si="396"/>
        <v>004796</v>
      </c>
      <c r="C1396" t="s">
        <v>1362</v>
      </c>
      <c r="D1396" t="s">
        <v>3839</v>
      </c>
      <c r="E1396" t="s">
        <v>3840</v>
      </c>
      <c r="F1396" t="s">
        <v>3841</v>
      </c>
      <c r="G1396" t="s">
        <v>3842</v>
      </c>
      <c r="H1396" t="str">
        <f t="shared" si="395"/>
        <v>048314</v>
      </c>
      <c r="I1396" t="s">
        <v>833</v>
      </c>
      <c r="J1396" t="str">
        <f t="shared" si="392"/>
        <v>2015-07-01 00:00:00.0</v>
      </c>
      <c r="K1396" t="s">
        <v>834</v>
      </c>
      <c r="L1396" t="s">
        <v>0</v>
      </c>
      <c r="M1396" t="str">
        <f t="shared" si="384"/>
        <v>048314</v>
      </c>
      <c r="N1396">
        <v>1</v>
      </c>
      <c r="O1396">
        <v>1</v>
      </c>
      <c r="P1396" t="str">
        <f>"11"</f>
        <v>11</v>
      </c>
      <c r="Q1396" t="s">
        <v>835</v>
      </c>
      <c r="S1396" t="s">
        <v>836</v>
      </c>
      <c r="T1396" t="s">
        <v>836</v>
      </c>
      <c r="U1396" t="str">
        <f t="shared" si="390"/>
        <v>2500-12-31 00:00:00.0</v>
      </c>
      <c r="V1396" t="s">
        <v>837</v>
      </c>
      <c r="W1396" t="str">
        <f>"048314-004796-**-**"</f>
        <v>048314-004796-**-**</v>
      </c>
      <c r="X1396" t="s">
        <v>838</v>
      </c>
      <c r="Y1396">
        <v>1254.5</v>
      </c>
      <c r="Z1396">
        <v>1254.5</v>
      </c>
      <c r="AA1396" t="str">
        <f t="shared" si="394"/>
        <v>06/08/2016</v>
      </c>
    </row>
    <row r="1397" spans="1:27" x14ac:dyDescent="0.3">
      <c r="A1397" t="str">
        <f t="shared" si="381"/>
        <v>048314</v>
      </c>
      <c r="B1397" t="str">
        <f t="shared" si="396"/>
        <v>004796</v>
      </c>
      <c r="C1397" t="s">
        <v>1257</v>
      </c>
      <c r="D1397" t="s">
        <v>3839</v>
      </c>
      <c r="E1397" t="s">
        <v>3840</v>
      </c>
      <c r="F1397" t="s">
        <v>3841</v>
      </c>
      <c r="G1397" t="s">
        <v>3842</v>
      </c>
      <c r="H1397" t="str">
        <f t="shared" si="395"/>
        <v>048314</v>
      </c>
      <c r="I1397" t="s">
        <v>833</v>
      </c>
      <c r="J1397" t="str">
        <f t="shared" si="392"/>
        <v>2015-07-01 00:00:00.0</v>
      </c>
      <c r="K1397" t="s">
        <v>834</v>
      </c>
      <c r="L1397" t="s">
        <v>0</v>
      </c>
      <c r="M1397" t="str">
        <f t="shared" si="384"/>
        <v>048314</v>
      </c>
      <c r="N1397">
        <v>1</v>
      </c>
      <c r="O1397">
        <v>1</v>
      </c>
      <c r="P1397" t="str">
        <f>"12"</f>
        <v>12</v>
      </c>
      <c r="Q1397" t="s">
        <v>835</v>
      </c>
      <c r="S1397" t="s">
        <v>836</v>
      </c>
      <c r="T1397" t="s">
        <v>836</v>
      </c>
      <c r="U1397" t="str">
        <f t="shared" si="390"/>
        <v>2500-12-31 00:00:00.0</v>
      </c>
      <c r="V1397" t="s">
        <v>837</v>
      </c>
      <c r="W1397" t="str">
        <f>"048314-004796-12-SE"</f>
        <v>048314-004796-12-SE</v>
      </c>
      <c r="X1397" t="s">
        <v>838</v>
      </c>
      <c r="Y1397">
        <v>1254.5</v>
      </c>
      <c r="Z1397">
        <v>1254.5</v>
      </c>
      <c r="AA1397" t="str">
        <f t="shared" si="394"/>
        <v>06/08/2016</v>
      </c>
    </row>
    <row r="1398" spans="1:27" x14ac:dyDescent="0.3">
      <c r="A1398" t="str">
        <f t="shared" si="381"/>
        <v>048314</v>
      </c>
      <c r="B1398" t="str">
        <f t="shared" si="396"/>
        <v>004796</v>
      </c>
      <c r="C1398" t="s">
        <v>1731</v>
      </c>
      <c r="D1398" t="s">
        <v>3839</v>
      </c>
      <c r="E1398" t="s">
        <v>3840</v>
      </c>
      <c r="F1398" t="s">
        <v>3841</v>
      </c>
      <c r="G1398" t="s">
        <v>3842</v>
      </c>
      <c r="H1398" t="str">
        <f t="shared" si="395"/>
        <v>048314</v>
      </c>
      <c r="I1398" t="s">
        <v>833</v>
      </c>
      <c r="J1398" t="str">
        <f t="shared" si="392"/>
        <v>2015-07-01 00:00:00.0</v>
      </c>
      <c r="K1398" t="s">
        <v>834</v>
      </c>
      <c r="L1398" t="s">
        <v>0</v>
      </c>
      <c r="M1398" t="str">
        <f t="shared" si="384"/>
        <v>048314</v>
      </c>
      <c r="N1398">
        <v>1</v>
      </c>
      <c r="O1398">
        <v>1</v>
      </c>
      <c r="P1398" t="str">
        <f>"11"</f>
        <v>11</v>
      </c>
      <c r="Q1398" t="s">
        <v>835</v>
      </c>
      <c r="S1398" t="s">
        <v>836</v>
      </c>
      <c r="T1398" t="s">
        <v>836</v>
      </c>
      <c r="U1398" t="str">
        <f t="shared" si="390"/>
        <v>2500-12-31 00:00:00.0</v>
      </c>
      <c r="V1398" t="s">
        <v>837</v>
      </c>
      <c r="W1398" t="str">
        <f>"048314-004796-**-**"</f>
        <v>048314-004796-**-**</v>
      </c>
      <c r="X1398" t="s">
        <v>838</v>
      </c>
      <c r="Y1398">
        <v>1254.5</v>
      </c>
      <c r="Z1398">
        <v>1254.5</v>
      </c>
      <c r="AA1398" t="str">
        <f t="shared" si="394"/>
        <v>06/08/2016</v>
      </c>
    </row>
    <row r="1399" spans="1:27" x14ac:dyDescent="0.3">
      <c r="A1399" t="str">
        <f t="shared" si="381"/>
        <v>048314</v>
      </c>
      <c r="B1399" t="str">
        <f t="shared" si="396"/>
        <v>004796</v>
      </c>
      <c r="C1399" t="s">
        <v>3481</v>
      </c>
      <c r="D1399" t="s">
        <v>3839</v>
      </c>
      <c r="E1399" t="s">
        <v>3840</v>
      </c>
      <c r="F1399" t="s">
        <v>3841</v>
      </c>
      <c r="G1399" t="s">
        <v>3842</v>
      </c>
      <c r="H1399" t="str">
        <f t="shared" si="395"/>
        <v>048314</v>
      </c>
      <c r="I1399" t="s">
        <v>833</v>
      </c>
      <c r="J1399" t="str">
        <f t="shared" si="392"/>
        <v>2015-07-01 00:00:00.0</v>
      </c>
      <c r="K1399" t="s">
        <v>834</v>
      </c>
      <c r="L1399" t="s">
        <v>0</v>
      </c>
      <c r="M1399" t="str">
        <f t="shared" si="384"/>
        <v>048314</v>
      </c>
      <c r="N1399">
        <v>1</v>
      </c>
      <c r="O1399">
        <v>1</v>
      </c>
      <c r="P1399" t="str">
        <f>"10"</f>
        <v>10</v>
      </c>
      <c r="Q1399" t="s">
        <v>835</v>
      </c>
      <c r="S1399" t="s">
        <v>836</v>
      </c>
      <c r="T1399" t="s">
        <v>836</v>
      </c>
      <c r="U1399" t="str">
        <f t="shared" si="390"/>
        <v>2500-12-31 00:00:00.0</v>
      </c>
      <c r="V1399" t="s">
        <v>837</v>
      </c>
      <c r="W1399" t="str">
        <f>"048314-004796-**-**"</f>
        <v>048314-004796-**-**</v>
      </c>
      <c r="X1399" t="s">
        <v>838</v>
      </c>
      <c r="Y1399">
        <v>1254.5</v>
      </c>
      <c r="Z1399">
        <v>1254.5</v>
      </c>
      <c r="AA1399" t="str">
        <f t="shared" si="394"/>
        <v>06/08/2016</v>
      </c>
    </row>
    <row r="1400" spans="1:27" x14ac:dyDescent="0.3">
      <c r="A1400" t="str">
        <f t="shared" si="381"/>
        <v>048314</v>
      </c>
      <c r="B1400" t="str">
        <f t="shared" si="396"/>
        <v>004796</v>
      </c>
      <c r="C1400" t="s">
        <v>1630</v>
      </c>
      <c r="D1400" t="s">
        <v>3839</v>
      </c>
      <c r="E1400" t="s">
        <v>3840</v>
      </c>
      <c r="F1400" t="s">
        <v>3841</v>
      </c>
      <c r="G1400" t="s">
        <v>3842</v>
      </c>
      <c r="H1400" t="str">
        <f t="shared" si="395"/>
        <v>048314</v>
      </c>
      <c r="I1400" t="s">
        <v>833</v>
      </c>
      <c r="J1400" t="str">
        <f t="shared" si="392"/>
        <v>2015-07-01 00:00:00.0</v>
      </c>
      <c r="K1400" t="s">
        <v>834</v>
      </c>
      <c r="L1400" t="s">
        <v>0</v>
      </c>
      <c r="M1400" t="str">
        <f t="shared" si="384"/>
        <v>048314</v>
      </c>
      <c r="N1400">
        <v>1</v>
      </c>
      <c r="O1400">
        <v>1</v>
      </c>
      <c r="P1400" t="str">
        <f>"10"</f>
        <v>10</v>
      </c>
      <c r="Q1400" t="s">
        <v>835</v>
      </c>
      <c r="S1400" t="s">
        <v>836</v>
      </c>
      <c r="T1400" t="s">
        <v>836</v>
      </c>
      <c r="U1400" t="str">
        <f t="shared" si="390"/>
        <v>2500-12-31 00:00:00.0</v>
      </c>
      <c r="V1400" t="s">
        <v>837</v>
      </c>
      <c r="W1400" t="str">
        <f>"048314-004796-**-**"</f>
        <v>048314-004796-**-**</v>
      </c>
      <c r="X1400" t="s">
        <v>838</v>
      </c>
      <c r="Y1400">
        <v>1254.5</v>
      </c>
      <c r="Z1400">
        <v>1254.5</v>
      </c>
      <c r="AA1400" t="str">
        <f t="shared" si="394"/>
        <v>06/08/2016</v>
      </c>
    </row>
    <row r="1401" spans="1:27" x14ac:dyDescent="0.3">
      <c r="A1401" t="str">
        <f t="shared" si="381"/>
        <v>048314</v>
      </c>
      <c r="B1401" t="str">
        <f t="shared" si="396"/>
        <v>004796</v>
      </c>
      <c r="C1401" t="s">
        <v>1400</v>
      </c>
      <c r="D1401" t="s">
        <v>3839</v>
      </c>
      <c r="E1401" t="s">
        <v>3840</v>
      </c>
      <c r="F1401" t="s">
        <v>3841</v>
      </c>
      <c r="G1401" t="s">
        <v>3842</v>
      </c>
      <c r="H1401" t="str">
        <f t="shared" si="395"/>
        <v>048314</v>
      </c>
      <c r="I1401" t="s">
        <v>833</v>
      </c>
      <c r="J1401" t="str">
        <f t="shared" si="392"/>
        <v>2015-07-01 00:00:00.0</v>
      </c>
      <c r="K1401" t="s">
        <v>834</v>
      </c>
      <c r="L1401" t="s">
        <v>0</v>
      </c>
      <c r="M1401" t="str">
        <f t="shared" si="384"/>
        <v>048314</v>
      </c>
      <c r="N1401">
        <v>1</v>
      </c>
      <c r="O1401">
        <v>1</v>
      </c>
      <c r="P1401" t="str">
        <f>"11"</f>
        <v>11</v>
      </c>
      <c r="Q1401" t="s">
        <v>835</v>
      </c>
      <c r="S1401" t="s">
        <v>836</v>
      </c>
      <c r="T1401" t="s">
        <v>836</v>
      </c>
      <c r="U1401" t="str">
        <f t="shared" si="390"/>
        <v>2500-12-31 00:00:00.0</v>
      </c>
      <c r="V1401" t="s">
        <v>837</v>
      </c>
      <c r="W1401" t="str">
        <f>"048314-004796-**-**"</f>
        <v>048314-004796-**-**</v>
      </c>
      <c r="X1401" t="s">
        <v>838</v>
      </c>
      <c r="Y1401">
        <v>1254.5</v>
      </c>
      <c r="Z1401">
        <v>1254.5</v>
      </c>
      <c r="AA1401" t="str">
        <f t="shared" si="394"/>
        <v>06/08/2016</v>
      </c>
    </row>
    <row r="1402" spans="1:27" x14ac:dyDescent="0.3">
      <c r="A1402" t="str">
        <f t="shared" si="381"/>
        <v>048314</v>
      </c>
      <c r="B1402" t="str">
        <f t="shared" si="396"/>
        <v>004796</v>
      </c>
      <c r="C1402" t="s">
        <v>1363</v>
      </c>
      <c r="D1402" t="s">
        <v>3839</v>
      </c>
      <c r="E1402" t="s">
        <v>3840</v>
      </c>
      <c r="F1402" t="s">
        <v>3841</v>
      </c>
      <c r="G1402" t="s">
        <v>3842</v>
      </c>
      <c r="H1402" t="str">
        <f t="shared" si="395"/>
        <v>048314</v>
      </c>
      <c r="I1402" t="s">
        <v>833</v>
      </c>
      <c r="J1402" t="str">
        <f t="shared" si="392"/>
        <v>2015-07-01 00:00:00.0</v>
      </c>
      <c r="K1402" t="s">
        <v>834</v>
      </c>
      <c r="L1402" t="s">
        <v>0</v>
      </c>
      <c r="M1402" t="str">
        <f t="shared" si="384"/>
        <v>048314</v>
      </c>
      <c r="N1402">
        <v>1</v>
      </c>
      <c r="O1402">
        <v>1</v>
      </c>
      <c r="P1402" t="str">
        <f>"10"</f>
        <v>10</v>
      </c>
      <c r="Q1402" t="s">
        <v>835</v>
      </c>
      <c r="S1402" t="s">
        <v>836</v>
      </c>
      <c r="T1402" t="s">
        <v>836</v>
      </c>
      <c r="U1402" t="str">
        <f t="shared" si="390"/>
        <v>2500-12-31 00:00:00.0</v>
      </c>
      <c r="V1402" t="s">
        <v>837</v>
      </c>
      <c r="W1402" t="str">
        <f>"048314-004796-**-**"</f>
        <v>048314-004796-**-**</v>
      </c>
      <c r="X1402" t="s">
        <v>838</v>
      </c>
      <c r="Y1402">
        <v>1254.5</v>
      </c>
      <c r="Z1402">
        <v>1254.5</v>
      </c>
      <c r="AA1402" t="str">
        <f t="shared" si="394"/>
        <v>06/08/2016</v>
      </c>
    </row>
    <row r="1403" spans="1:27" x14ac:dyDescent="0.3">
      <c r="A1403" t="str">
        <f t="shared" si="381"/>
        <v>048314</v>
      </c>
      <c r="B1403" t="str">
        <f t="shared" si="396"/>
        <v>004796</v>
      </c>
      <c r="C1403" t="s">
        <v>1034</v>
      </c>
      <c r="D1403" t="s">
        <v>3839</v>
      </c>
      <c r="E1403" t="s">
        <v>3840</v>
      </c>
      <c r="F1403" t="s">
        <v>3841</v>
      </c>
      <c r="G1403" t="s">
        <v>3842</v>
      </c>
      <c r="H1403" t="str">
        <f>"048363"</f>
        <v>048363</v>
      </c>
      <c r="I1403" t="s">
        <v>833</v>
      </c>
      <c r="J1403" t="str">
        <f>"2015-08-01 00:00:00.0"</f>
        <v>2015-08-01 00:00:00.0</v>
      </c>
      <c r="K1403" t="s">
        <v>834</v>
      </c>
      <c r="L1403" t="s">
        <v>1</v>
      </c>
      <c r="M1403" t="str">
        <f t="shared" si="384"/>
        <v>048314</v>
      </c>
      <c r="N1403">
        <v>0.46140199999999998</v>
      </c>
      <c r="O1403">
        <v>0.46140199999999998</v>
      </c>
      <c r="P1403" t="str">
        <f>"12"</f>
        <v>12</v>
      </c>
      <c r="Q1403" t="s">
        <v>835</v>
      </c>
      <c r="S1403" t="s">
        <v>836</v>
      </c>
      <c r="T1403" t="s">
        <v>836</v>
      </c>
      <c r="U1403" t="str">
        <f>"2016-01-05 00:00:00.0"</f>
        <v>2016-01-05 00:00:00.0</v>
      </c>
      <c r="V1403" t="s">
        <v>837</v>
      </c>
      <c r="W1403" t="str">
        <f>"048363-026229-**-**"</f>
        <v>048363-026229-**-**</v>
      </c>
      <c r="X1403" t="s">
        <v>838</v>
      </c>
      <c r="Y1403">
        <v>520</v>
      </c>
      <c r="Z1403">
        <v>1127</v>
      </c>
      <c r="AA1403" t="str">
        <f>"06/15/2016"</f>
        <v>06/15/2016</v>
      </c>
    </row>
    <row r="1404" spans="1:27" x14ac:dyDescent="0.3">
      <c r="A1404" t="str">
        <f t="shared" si="381"/>
        <v>048314</v>
      </c>
      <c r="B1404" t="str">
        <f t="shared" si="396"/>
        <v>004796</v>
      </c>
      <c r="C1404" t="s">
        <v>1631</v>
      </c>
      <c r="D1404" t="s">
        <v>3839</v>
      </c>
      <c r="E1404" t="s">
        <v>3840</v>
      </c>
      <c r="F1404" t="s">
        <v>3841</v>
      </c>
      <c r="G1404" t="s">
        <v>3842</v>
      </c>
      <c r="H1404" t="str">
        <f t="shared" ref="H1404:H1421" si="397">"048314"</f>
        <v>048314</v>
      </c>
      <c r="I1404" t="s">
        <v>833</v>
      </c>
      <c r="J1404" t="str">
        <f t="shared" ref="J1404:J1410" si="398">"2015-07-01 00:00:00.0"</f>
        <v>2015-07-01 00:00:00.0</v>
      </c>
      <c r="K1404" t="s">
        <v>834</v>
      </c>
      <c r="L1404" t="s">
        <v>0</v>
      </c>
      <c r="M1404" t="str">
        <f t="shared" si="384"/>
        <v>048314</v>
      </c>
      <c r="N1404">
        <v>1</v>
      </c>
      <c r="O1404">
        <v>1</v>
      </c>
      <c r="P1404" t="str">
        <f>"10"</f>
        <v>10</v>
      </c>
      <c r="Q1404" t="str">
        <f>"10"</f>
        <v>10</v>
      </c>
      <c r="R1404" t="str">
        <f>"2"</f>
        <v>2</v>
      </c>
      <c r="S1404" t="s">
        <v>836</v>
      </c>
      <c r="T1404" t="s">
        <v>836</v>
      </c>
      <c r="U1404" t="str">
        <f t="shared" ref="U1404:U1427" si="399">"2500-12-31 00:00:00.0"</f>
        <v>2500-12-31 00:00:00.0</v>
      </c>
      <c r="V1404" t="s">
        <v>837</v>
      </c>
      <c r="W1404" t="str">
        <f>"048314-004796-**-**"</f>
        <v>048314-004796-**-**</v>
      </c>
      <c r="X1404" t="s">
        <v>838</v>
      </c>
      <c r="Y1404">
        <v>1254.5</v>
      </c>
      <c r="Z1404">
        <v>1254.5</v>
      </c>
      <c r="AA1404" t="str">
        <f t="shared" ref="AA1404:AA1421" si="400">"06/08/2016"</f>
        <v>06/08/2016</v>
      </c>
    </row>
    <row r="1405" spans="1:27" x14ac:dyDescent="0.3">
      <c r="A1405" t="str">
        <f t="shared" si="381"/>
        <v>048314</v>
      </c>
      <c r="B1405" t="str">
        <f t="shared" si="396"/>
        <v>004796</v>
      </c>
      <c r="C1405" t="s">
        <v>2005</v>
      </c>
      <c r="D1405" t="s">
        <v>3839</v>
      </c>
      <c r="E1405" t="s">
        <v>3840</v>
      </c>
      <c r="F1405" t="s">
        <v>3841</v>
      </c>
      <c r="G1405" t="s">
        <v>3842</v>
      </c>
      <c r="H1405" t="str">
        <f t="shared" si="397"/>
        <v>048314</v>
      </c>
      <c r="I1405" t="s">
        <v>833</v>
      </c>
      <c r="J1405" t="str">
        <f t="shared" si="398"/>
        <v>2015-07-01 00:00:00.0</v>
      </c>
      <c r="K1405" t="s">
        <v>834</v>
      </c>
      <c r="L1405" t="s">
        <v>0</v>
      </c>
      <c r="M1405" t="str">
        <f t="shared" si="384"/>
        <v>048314</v>
      </c>
      <c r="N1405">
        <v>1</v>
      </c>
      <c r="O1405">
        <v>1</v>
      </c>
      <c r="P1405" t="str">
        <f>"12"</f>
        <v>12</v>
      </c>
      <c r="Q1405" t="s">
        <v>835</v>
      </c>
      <c r="S1405" t="s">
        <v>836</v>
      </c>
      <c r="T1405" t="s">
        <v>836</v>
      </c>
      <c r="U1405" t="str">
        <f t="shared" si="399"/>
        <v>2500-12-31 00:00:00.0</v>
      </c>
      <c r="V1405" t="s">
        <v>837</v>
      </c>
      <c r="W1405" t="str">
        <f>"048314-004796-12-SE"</f>
        <v>048314-004796-12-SE</v>
      </c>
      <c r="X1405" t="s">
        <v>838</v>
      </c>
      <c r="Y1405">
        <v>1254.5</v>
      </c>
      <c r="Z1405">
        <v>1254.5</v>
      </c>
      <c r="AA1405" t="str">
        <f t="shared" si="400"/>
        <v>06/08/2016</v>
      </c>
    </row>
    <row r="1406" spans="1:27" x14ac:dyDescent="0.3">
      <c r="A1406" t="str">
        <f t="shared" si="381"/>
        <v>048314</v>
      </c>
      <c r="B1406" t="str">
        <f t="shared" si="396"/>
        <v>004796</v>
      </c>
      <c r="C1406" t="s">
        <v>1811</v>
      </c>
      <c r="D1406" t="s">
        <v>3839</v>
      </c>
      <c r="E1406" t="s">
        <v>3840</v>
      </c>
      <c r="F1406" t="s">
        <v>3841</v>
      </c>
      <c r="G1406" t="s">
        <v>3842</v>
      </c>
      <c r="H1406" t="str">
        <f t="shared" si="397"/>
        <v>048314</v>
      </c>
      <c r="I1406" t="s">
        <v>833</v>
      </c>
      <c r="J1406" t="str">
        <f t="shared" si="398"/>
        <v>2015-07-01 00:00:00.0</v>
      </c>
      <c r="K1406" t="s">
        <v>834</v>
      </c>
      <c r="L1406" t="s">
        <v>0</v>
      </c>
      <c r="M1406" t="str">
        <f t="shared" si="384"/>
        <v>048314</v>
      </c>
      <c r="N1406">
        <v>1</v>
      </c>
      <c r="O1406">
        <v>1</v>
      </c>
      <c r="P1406" t="str">
        <f>"10"</f>
        <v>10</v>
      </c>
      <c r="Q1406" t="s">
        <v>835</v>
      </c>
      <c r="S1406" t="s">
        <v>836</v>
      </c>
      <c r="T1406" t="s">
        <v>836</v>
      </c>
      <c r="U1406" t="str">
        <f t="shared" si="399"/>
        <v>2500-12-31 00:00:00.0</v>
      </c>
      <c r="V1406" t="s">
        <v>837</v>
      </c>
      <c r="W1406" t="str">
        <f>"048314-004796-**-**"</f>
        <v>048314-004796-**-**</v>
      </c>
      <c r="X1406" t="s">
        <v>838</v>
      </c>
      <c r="Y1406">
        <v>1254.5</v>
      </c>
      <c r="Z1406">
        <v>1254.5</v>
      </c>
      <c r="AA1406" t="str">
        <f t="shared" si="400"/>
        <v>06/08/2016</v>
      </c>
    </row>
    <row r="1407" spans="1:27" x14ac:dyDescent="0.3">
      <c r="A1407" t="str">
        <f t="shared" si="381"/>
        <v>048314</v>
      </c>
      <c r="B1407" t="str">
        <f t="shared" si="396"/>
        <v>004796</v>
      </c>
      <c r="C1407" t="s">
        <v>1211</v>
      </c>
      <c r="D1407" t="s">
        <v>3839</v>
      </c>
      <c r="E1407" t="s">
        <v>3840</v>
      </c>
      <c r="F1407" t="s">
        <v>3841</v>
      </c>
      <c r="G1407" t="s">
        <v>3842</v>
      </c>
      <c r="H1407" t="str">
        <f t="shared" si="397"/>
        <v>048314</v>
      </c>
      <c r="I1407" t="s">
        <v>833</v>
      </c>
      <c r="J1407" t="str">
        <f t="shared" si="398"/>
        <v>2015-07-01 00:00:00.0</v>
      </c>
      <c r="K1407" t="s">
        <v>834</v>
      </c>
      <c r="L1407" t="s">
        <v>0</v>
      </c>
      <c r="M1407" t="str">
        <f t="shared" si="384"/>
        <v>048314</v>
      </c>
      <c r="N1407">
        <v>1</v>
      </c>
      <c r="O1407">
        <v>1</v>
      </c>
      <c r="P1407" t="str">
        <f>"12"</f>
        <v>12</v>
      </c>
      <c r="Q1407" t="s">
        <v>835</v>
      </c>
      <c r="S1407" t="s">
        <v>836</v>
      </c>
      <c r="T1407" t="s">
        <v>836</v>
      </c>
      <c r="U1407" t="str">
        <f t="shared" si="399"/>
        <v>2500-12-31 00:00:00.0</v>
      </c>
      <c r="V1407" t="s">
        <v>837</v>
      </c>
      <c r="W1407" t="str">
        <f>"048314-004796-12-SE"</f>
        <v>048314-004796-12-SE</v>
      </c>
      <c r="X1407" t="s">
        <v>838</v>
      </c>
      <c r="Y1407">
        <v>1254.5</v>
      </c>
      <c r="Z1407">
        <v>1254.5</v>
      </c>
      <c r="AA1407" t="str">
        <f t="shared" si="400"/>
        <v>06/08/2016</v>
      </c>
    </row>
    <row r="1408" spans="1:27" x14ac:dyDescent="0.3">
      <c r="A1408" t="str">
        <f t="shared" si="381"/>
        <v>048314</v>
      </c>
      <c r="B1408" t="str">
        <f t="shared" si="396"/>
        <v>004796</v>
      </c>
      <c r="C1408" t="s">
        <v>1691</v>
      </c>
      <c r="D1408" t="s">
        <v>3839</v>
      </c>
      <c r="E1408" t="s">
        <v>3840</v>
      </c>
      <c r="F1408" t="s">
        <v>3841</v>
      </c>
      <c r="G1408" t="s">
        <v>3842</v>
      </c>
      <c r="H1408" t="str">
        <f t="shared" si="397"/>
        <v>048314</v>
      </c>
      <c r="I1408" t="s">
        <v>833</v>
      </c>
      <c r="J1408" t="str">
        <f t="shared" si="398"/>
        <v>2015-07-01 00:00:00.0</v>
      </c>
      <c r="K1408" t="s">
        <v>834</v>
      </c>
      <c r="L1408" t="s">
        <v>0</v>
      </c>
      <c r="M1408" t="str">
        <f t="shared" si="384"/>
        <v>048314</v>
      </c>
      <c r="N1408">
        <v>1</v>
      </c>
      <c r="O1408">
        <v>1</v>
      </c>
      <c r="P1408" t="str">
        <f>"10"</f>
        <v>10</v>
      </c>
      <c r="Q1408" t="s">
        <v>835</v>
      </c>
      <c r="S1408" t="s">
        <v>836</v>
      </c>
      <c r="T1408" t="s">
        <v>836</v>
      </c>
      <c r="U1408" t="str">
        <f t="shared" si="399"/>
        <v>2500-12-31 00:00:00.0</v>
      </c>
      <c r="V1408" t="s">
        <v>837</v>
      </c>
      <c r="W1408" t="str">
        <f>"048314-004796-**-**"</f>
        <v>048314-004796-**-**</v>
      </c>
      <c r="X1408" t="s">
        <v>838</v>
      </c>
      <c r="Y1408">
        <v>1254.5</v>
      </c>
      <c r="Z1408">
        <v>1254.5</v>
      </c>
      <c r="AA1408" t="str">
        <f t="shared" si="400"/>
        <v>06/08/2016</v>
      </c>
    </row>
    <row r="1409" spans="1:27" x14ac:dyDescent="0.3">
      <c r="A1409" t="str">
        <f t="shared" si="381"/>
        <v>048314</v>
      </c>
      <c r="B1409" t="str">
        <f t="shared" si="396"/>
        <v>004796</v>
      </c>
      <c r="C1409" t="s">
        <v>1212</v>
      </c>
      <c r="D1409" t="s">
        <v>3839</v>
      </c>
      <c r="E1409" t="s">
        <v>3840</v>
      </c>
      <c r="F1409" t="s">
        <v>3841</v>
      </c>
      <c r="G1409" t="s">
        <v>3842</v>
      </c>
      <c r="H1409" t="str">
        <f t="shared" si="397"/>
        <v>048314</v>
      </c>
      <c r="I1409" t="s">
        <v>833</v>
      </c>
      <c r="J1409" t="str">
        <f t="shared" si="398"/>
        <v>2015-07-01 00:00:00.0</v>
      </c>
      <c r="K1409" t="s">
        <v>834</v>
      </c>
      <c r="L1409" t="s">
        <v>0</v>
      </c>
      <c r="M1409" t="str">
        <f t="shared" si="384"/>
        <v>048314</v>
      </c>
      <c r="N1409">
        <v>1</v>
      </c>
      <c r="O1409">
        <v>1</v>
      </c>
      <c r="P1409" t="str">
        <f>"12"</f>
        <v>12</v>
      </c>
      <c r="Q1409" t="s">
        <v>835</v>
      </c>
      <c r="S1409" t="s">
        <v>836</v>
      </c>
      <c r="T1409" t="s">
        <v>836</v>
      </c>
      <c r="U1409" t="str">
        <f t="shared" si="399"/>
        <v>2500-12-31 00:00:00.0</v>
      </c>
      <c r="V1409" t="s">
        <v>837</v>
      </c>
      <c r="W1409" t="str">
        <f>"048314-004796-12-SE"</f>
        <v>048314-004796-12-SE</v>
      </c>
      <c r="X1409" t="s">
        <v>838</v>
      </c>
      <c r="Y1409">
        <v>1254.5</v>
      </c>
      <c r="Z1409">
        <v>1254.5</v>
      </c>
      <c r="AA1409" t="str">
        <f t="shared" si="400"/>
        <v>06/08/2016</v>
      </c>
    </row>
    <row r="1410" spans="1:27" x14ac:dyDescent="0.3">
      <c r="A1410" t="str">
        <f t="shared" ref="A1410:A1473" si="401">"048314"</f>
        <v>048314</v>
      </c>
      <c r="B1410" t="str">
        <f t="shared" si="396"/>
        <v>004796</v>
      </c>
      <c r="C1410" t="s">
        <v>2046</v>
      </c>
      <c r="D1410" t="s">
        <v>3839</v>
      </c>
      <c r="E1410" t="s">
        <v>3840</v>
      </c>
      <c r="F1410" t="s">
        <v>3841</v>
      </c>
      <c r="G1410" t="s">
        <v>3842</v>
      </c>
      <c r="H1410" t="str">
        <f t="shared" si="397"/>
        <v>048314</v>
      </c>
      <c r="I1410" t="s">
        <v>833</v>
      </c>
      <c r="J1410" t="str">
        <f t="shared" si="398"/>
        <v>2015-07-01 00:00:00.0</v>
      </c>
      <c r="K1410" t="s">
        <v>834</v>
      </c>
      <c r="L1410" t="s">
        <v>0</v>
      </c>
      <c r="M1410" t="str">
        <f t="shared" si="384"/>
        <v>048314</v>
      </c>
      <c r="N1410">
        <v>1</v>
      </c>
      <c r="O1410">
        <v>1</v>
      </c>
      <c r="P1410" t="str">
        <f>"10"</f>
        <v>10</v>
      </c>
      <c r="Q1410" t="s">
        <v>835</v>
      </c>
      <c r="S1410" t="s">
        <v>836</v>
      </c>
      <c r="T1410" t="s">
        <v>836</v>
      </c>
      <c r="U1410" t="str">
        <f t="shared" si="399"/>
        <v>2500-12-31 00:00:00.0</v>
      </c>
      <c r="V1410" t="s">
        <v>837</v>
      </c>
      <c r="W1410" t="str">
        <f>"048314-004796-**-**"</f>
        <v>048314-004796-**-**</v>
      </c>
      <c r="X1410" t="s">
        <v>838</v>
      </c>
      <c r="Y1410">
        <v>1254.5</v>
      </c>
      <c r="Z1410">
        <v>1254.5</v>
      </c>
      <c r="AA1410" t="str">
        <f t="shared" si="400"/>
        <v>06/08/2016</v>
      </c>
    </row>
    <row r="1411" spans="1:27" x14ac:dyDescent="0.3">
      <c r="A1411" t="str">
        <f t="shared" si="401"/>
        <v>048314</v>
      </c>
      <c r="B1411" t="str">
        <f t="shared" si="396"/>
        <v>004796</v>
      </c>
      <c r="C1411" t="s">
        <v>2047</v>
      </c>
      <c r="D1411" t="s">
        <v>3839</v>
      </c>
      <c r="E1411" t="s">
        <v>3840</v>
      </c>
      <c r="F1411" t="s">
        <v>3841</v>
      </c>
      <c r="G1411" t="s">
        <v>3842</v>
      </c>
      <c r="H1411" t="str">
        <f t="shared" si="397"/>
        <v>048314</v>
      </c>
      <c r="I1411" t="s">
        <v>833</v>
      </c>
      <c r="J1411" t="str">
        <f>"2015-08-03 00:00:00.0"</f>
        <v>2015-08-03 00:00:00.0</v>
      </c>
      <c r="K1411" t="s">
        <v>834</v>
      </c>
      <c r="L1411" t="s">
        <v>0</v>
      </c>
      <c r="M1411" t="str">
        <f t="shared" si="384"/>
        <v>048314</v>
      </c>
      <c r="N1411">
        <v>1</v>
      </c>
      <c r="O1411">
        <v>1</v>
      </c>
      <c r="P1411" t="str">
        <f>"10"</f>
        <v>10</v>
      </c>
      <c r="Q1411" t="s">
        <v>835</v>
      </c>
      <c r="S1411" t="s">
        <v>836</v>
      </c>
      <c r="T1411" t="s">
        <v>836</v>
      </c>
      <c r="U1411" t="str">
        <f t="shared" si="399"/>
        <v>2500-12-31 00:00:00.0</v>
      </c>
      <c r="V1411" t="s">
        <v>837</v>
      </c>
      <c r="W1411" t="str">
        <f>"048314-004796-**-**"</f>
        <v>048314-004796-**-**</v>
      </c>
      <c r="X1411" t="s">
        <v>838</v>
      </c>
      <c r="Y1411">
        <v>1254.5</v>
      </c>
      <c r="Z1411">
        <v>1254.5</v>
      </c>
      <c r="AA1411" t="str">
        <f t="shared" si="400"/>
        <v>06/08/2016</v>
      </c>
    </row>
    <row r="1412" spans="1:27" x14ac:dyDescent="0.3">
      <c r="A1412" t="str">
        <f t="shared" si="401"/>
        <v>048314</v>
      </c>
      <c r="B1412" t="str">
        <f t="shared" si="396"/>
        <v>004796</v>
      </c>
      <c r="C1412" t="s">
        <v>1217</v>
      </c>
      <c r="D1412" t="s">
        <v>3839</v>
      </c>
      <c r="E1412" t="s">
        <v>3840</v>
      </c>
      <c r="F1412" t="s">
        <v>3841</v>
      </c>
      <c r="G1412" t="s">
        <v>3842</v>
      </c>
      <c r="H1412" t="str">
        <f t="shared" si="397"/>
        <v>048314</v>
      </c>
      <c r="I1412" t="s">
        <v>833</v>
      </c>
      <c r="J1412" t="str">
        <f t="shared" ref="J1412:J1429" si="402">"2015-07-01 00:00:00.0"</f>
        <v>2015-07-01 00:00:00.0</v>
      </c>
      <c r="K1412" t="s">
        <v>834</v>
      </c>
      <c r="L1412" t="s">
        <v>0</v>
      </c>
      <c r="M1412" t="str">
        <f t="shared" si="384"/>
        <v>048314</v>
      </c>
      <c r="N1412">
        <v>1</v>
      </c>
      <c r="O1412">
        <v>1</v>
      </c>
      <c r="P1412" t="str">
        <f>"11"</f>
        <v>11</v>
      </c>
      <c r="Q1412" t="s">
        <v>835</v>
      </c>
      <c r="S1412" t="s">
        <v>860</v>
      </c>
      <c r="T1412" t="s">
        <v>836</v>
      </c>
      <c r="U1412" t="str">
        <f t="shared" si="399"/>
        <v>2500-12-31 00:00:00.0</v>
      </c>
      <c r="V1412" t="s">
        <v>837</v>
      </c>
      <c r="W1412" t="str">
        <f>"048314-004796-**-**"</f>
        <v>048314-004796-**-**</v>
      </c>
      <c r="X1412" t="s">
        <v>838</v>
      </c>
      <c r="Y1412">
        <v>1254.5</v>
      </c>
      <c r="Z1412">
        <v>1254.5</v>
      </c>
      <c r="AA1412" t="str">
        <f t="shared" si="400"/>
        <v>06/08/2016</v>
      </c>
    </row>
    <row r="1413" spans="1:27" x14ac:dyDescent="0.3">
      <c r="A1413" t="str">
        <f t="shared" si="401"/>
        <v>048314</v>
      </c>
      <c r="B1413" t="str">
        <f t="shared" si="396"/>
        <v>004796</v>
      </c>
      <c r="C1413" t="s">
        <v>1732</v>
      </c>
      <c r="D1413" t="s">
        <v>3839</v>
      </c>
      <c r="E1413" t="s">
        <v>3840</v>
      </c>
      <c r="F1413" t="s">
        <v>3841</v>
      </c>
      <c r="G1413" t="s">
        <v>3842</v>
      </c>
      <c r="H1413" t="str">
        <f t="shared" si="397"/>
        <v>048314</v>
      </c>
      <c r="I1413" t="s">
        <v>833</v>
      </c>
      <c r="J1413" t="str">
        <f t="shared" si="402"/>
        <v>2015-07-01 00:00:00.0</v>
      </c>
      <c r="K1413" t="s">
        <v>834</v>
      </c>
      <c r="L1413" t="s">
        <v>0</v>
      </c>
      <c r="M1413" t="str">
        <f t="shared" ref="M1413:M1476" si="403">"048314"</f>
        <v>048314</v>
      </c>
      <c r="N1413">
        <v>1</v>
      </c>
      <c r="O1413">
        <v>1</v>
      </c>
      <c r="P1413" t="str">
        <f>"12"</f>
        <v>12</v>
      </c>
      <c r="Q1413" t="str">
        <f>"10"</f>
        <v>10</v>
      </c>
      <c r="R1413" t="str">
        <f>"2"</f>
        <v>2</v>
      </c>
      <c r="S1413" t="s">
        <v>836</v>
      </c>
      <c r="T1413" t="s">
        <v>836</v>
      </c>
      <c r="U1413" t="str">
        <f t="shared" si="399"/>
        <v>2500-12-31 00:00:00.0</v>
      </c>
      <c r="V1413" t="s">
        <v>837</v>
      </c>
      <c r="W1413" t="str">
        <f>"048314-004796-12-SE"</f>
        <v>048314-004796-12-SE</v>
      </c>
      <c r="X1413" t="s">
        <v>838</v>
      </c>
      <c r="Y1413">
        <v>1254.5</v>
      </c>
      <c r="Z1413">
        <v>1254.5</v>
      </c>
      <c r="AA1413" t="str">
        <f t="shared" si="400"/>
        <v>06/08/2016</v>
      </c>
    </row>
    <row r="1414" spans="1:27" x14ac:dyDescent="0.3">
      <c r="A1414" t="str">
        <f t="shared" si="401"/>
        <v>048314</v>
      </c>
      <c r="B1414" t="str">
        <f t="shared" si="396"/>
        <v>004796</v>
      </c>
      <c r="C1414" t="s">
        <v>2503</v>
      </c>
      <c r="D1414" t="s">
        <v>3839</v>
      </c>
      <c r="E1414" t="s">
        <v>3840</v>
      </c>
      <c r="F1414" t="s">
        <v>3841</v>
      </c>
      <c r="G1414" t="s">
        <v>3842</v>
      </c>
      <c r="H1414" t="str">
        <f t="shared" si="397"/>
        <v>048314</v>
      </c>
      <c r="I1414" t="s">
        <v>833</v>
      </c>
      <c r="J1414" t="str">
        <f t="shared" si="402"/>
        <v>2015-07-01 00:00:00.0</v>
      </c>
      <c r="K1414" t="s">
        <v>834</v>
      </c>
      <c r="L1414" t="s">
        <v>0</v>
      </c>
      <c r="M1414" t="str">
        <f t="shared" si="403"/>
        <v>048314</v>
      </c>
      <c r="N1414">
        <v>1</v>
      </c>
      <c r="O1414">
        <v>1</v>
      </c>
      <c r="P1414" t="str">
        <f>"11"</f>
        <v>11</v>
      </c>
      <c r="Q1414" t="s">
        <v>835</v>
      </c>
      <c r="S1414" t="s">
        <v>836</v>
      </c>
      <c r="T1414" t="s">
        <v>836</v>
      </c>
      <c r="U1414" t="str">
        <f t="shared" si="399"/>
        <v>2500-12-31 00:00:00.0</v>
      </c>
      <c r="V1414" t="s">
        <v>837</v>
      </c>
      <c r="W1414" t="str">
        <f>"048314-004796-**-**"</f>
        <v>048314-004796-**-**</v>
      </c>
      <c r="X1414" t="s">
        <v>838</v>
      </c>
      <c r="Y1414">
        <v>1254.5</v>
      </c>
      <c r="Z1414">
        <v>1254.5</v>
      </c>
      <c r="AA1414" t="str">
        <f t="shared" si="400"/>
        <v>06/08/2016</v>
      </c>
    </row>
    <row r="1415" spans="1:27" x14ac:dyDescent="0.3">
      <c r="A1415" t="str">
        <f t="shared" si="401"/>
        <v>048314</v>
      </c>
      <c r="B1415" t="str">
        <f t="shared" si="396"/>
        <v>004796</v>
      </c>
      <c r="C1415" t="s">
        <v>1462</v>
      </c>
      <c r="D1415" t="s">
        <v>3839</v>
      </c>
      <c r="E1415" t="s">
        <v>3840</v>
      </c>
      <c r="F1415" t="s">
        <v>3841</v>
      </c>
      <c r="G1415" t="s">
        <v>3842</v>
      </c>
      <c r="H1415" t="str">
        <f t="shared" si="397"/>
        <v>048314</v>
      </c>
      <c r="I1415" t="s">
        <v>833</v>
      </c>
      <c r="J1415" t="str">
        <f t="shared" si="402"/>
        <v>2015-07-01 00:00:00.0</v>
      </c>
      <c r="K1415" t="s">
        <v>834</v>
      </c>
      <c r="L1415" t="s">
        <v>0</v>
      </c>
      <c r="M1415" t="str">
        <f t="shared" si="403"/>
        <v>048314</v>
      </c>
      <c r="N1415">
        <v>1</v>
      </c>
      <c r="O1415">
        <v>1</v>
      </c>
      <c r="P1415" t="str">
        <f>"11"</f>
        <v>11</v>
      </c>
      <c r="Q1415" t="s">
        <v>835</v>
      </c>
      <c r="S1415" t="s">
        <v>860</v>
      </c>
      <c r="T1415" t="s">
        <v>836</v>
      </c>
      <c r="U1415" t="str">
        <f t="shared" si="399"/>
        <v>2500-12-31 00:00:00.0</v>
      </c>
      <c r="V1415" t="s">
        <v>837</v>
      </c>
      <c r="W1415" t="str">
        <f>"048314-004796-**-**"</f>
        <v>048314-004796-**-**</v>
      </c>
      <c r="X1415" t="s">
        <v>838</v>
      </c>
      <c r="Y1415">
        <v>1254.5</v>
      </c>
      <c r="Z1415">
        <v>1254.5</v>
      </c>
      <c r="AA1415" t="str">
        <f t="shared" si="400"/>
        <v>06/08/2016</v>
      </c>
    </row>
    <row r="1416" spans="1:27" x14ac:dyDescent="0.3">
      <c r="A1416" t="str">
        <f t="shared" si="401"/>
        <v>048314</v>
      </c>
      <c r="B1416" t="str">
        <f t="shared" si="396"/>
        <v>004796</v>
      </c>
      <c r="C1416" t="s">
        <v>1733</v>
      </c>
      <c r="D1416" t="s">
        <v>3839</v>
      </c>
      <c r="E1416" t="s">
        <v>3840</v>
      </c>
      <c r="F1416" t="s">
        <v>3841</v>
      </c>
      <c r="G1416" t="s">
        <v>3842</v>
      </c>
      <c r="H1416" t="str">
        <f t="shared" si="397"/>
        <v>048314</v>
      </c>
      <c r="I1416" t="s">
        <v>833</v>
      </c>
      <c r="J1416" t="str">
        <f t="shared" si="402"/>
        <v>2015-07-01 00:00:00.0</v>
      </c>
      <c r="K1416" t="s">
        <v>834</v>
      </c>
      <c r="L1416" t="s">
        <v>0</v>
      </c>
      <c r="M1416" t="str">
        <f t="shared" si="403"/>
        <v>048314</v>
      </c>
      <c r="N1416">
        <v>1</v>
      </c>
      <c r="O1416">
        <v>1</v>
      </c>
      <c r="P1416" t="str">
        <f>"11"</f>
        <v>11</v>
      </c>
      <c r="Q1416" t="s">
        <v>835</v>
      </c>
      <c r="S1416" t="s">
        <v>836</v>
      </c>
      <c r="T1416" t="s">
        <v>836</v>
      </c>
      <c r="U1416" t="str">
        <f t="shared" si="399"/>
        <v>2500-12-31 00:00:00.0</v>
      </c>
      <c r="V1416" t="s">
        <v>837</v>
      </c>
      <c r="W1416" t="str">
        <f>"048314-004796-**-**"</f>
        <v>048314-004796-**-**</v>
      </c>
      <c r="X1416" t="s">
        <v>838</v>
      </c>
      <c r="Y1416">
        <v>1254.5</v>
      </c>
      <c r="Z1416">
        <v>1254.5</v>
      </c>
      <c r="AA1416" t="str">
        <f t="shared" si="400"/>
        <v>06/08/2016</v>
      </c>
    </row>
    <row r="1417" spans="1:27" x14ac:dyDescent="0.3">
      <c r="A1417" t="str">
        <f t="shared" si="401"/>
        <v>048314</v>
      </c>
      <c r="B1417" t="str">
        <f t="shared" si="396"/>
        <v>004796</v>
      </c>
      <c r="C1417" t="s">
        <v>1491</v>
      </c>
      <c r="D1417" t="s">
        <v>3839</v>
      </c>
      <c r="E1417" t="s">
        <v>3840</v>
      </c>
      <c r="F1417" t="s">
        <v>3841</v>
      </c>
      <c r="G1417" t="s">
        <v>3842</v>
      </c>
      <c r="H1417" t="str">
        <f t="shared" si="397"/>
        <v>048314</v>
      </c>
      <c r="I1417" t="s">
        <v>833</v>
      </c>
      <c r="J1417" t="str">
        <f t="shared" si="402"/>
        <v>2015-07-01 00:00:00.0</v>
      </c>
      <c r="K1417" t="s">
        <v>834</v>
      </c>
      <c r="L1417" t="s">
        <v>0</v>
      </c>
      <c r="M1417" t="str">
        <f t="shared" si="403"/>
        <v>048314</v>
      </c>
      <c r="N1417">
        <v>1</v>
      </c>
      <c r="O1417">
        <v>1</v>
      </c>
      <c r="P1417" t="str">
        <f>"11"</f>
        <v>11</v>
      </c>
      <c r="Q1417" t="s">
        <v>835</v>
      </c>
      <c r="S1417" t="s">
        <v>836</v>
      </c>
      <c r="T1417" t="s">
        <v>836</v>
      </c>
      <c r="U1417" t="str">
        <f t="shared" si="399"/>
        <v>2500-12-31 00:00:00.0</v>
      </c>
      <c r="V1417" t="s">
        <v>837</v>
      </c>
      <c r="W1417" t="str">
        <f>"048314-004796-**-**"</f>
        <v>048314-004796-**-**</v>
      </c>
      <c r="X1417" t="s">
        <v>838</v>
      </c>
      <c r="Y1417">
        <v>1254.5</v>
      </c>
      <c r="Z1417">
        <v>1254.5</v>
      </c>
      <c r="AA1417" t="str">
        <f t="shared" si="400"/>
        <v>06/08/2016</v>
      </c>
    </row>
    <row r="1418" spans="1:27" x14ac:dyDescent="0.3">
      <c r="A1418" t="str">
        <f t="shared" si="401"/>
        <v>048314</v>
      </c>
      <c r="B1418" t="str">
        <f t="shared" si="396"/>
        <v>004796</v>
      </c>
      <c r="C1418" t="s">
        <v>1241</v>
      </c>
      <c r="D1418" t="s">
        <v>3839</v>
      </c>
      <c r="E1418" t="s">
        <v>3840</v>
      </c>
      <c r="F1418" t="s">
        <v>3841</v>
      </c>
      <c r="G1418" t="s">
        <v>3842</v>
      </c>
      <c r="H1418" t="str">
        <f t="shared" si="397"/>
        <v>048314</v>
      </c>
      <c r="I1418" t="s">
        <v>833</v>
      </c>
      <c r="J1418" t="str">
        <f t="shared" si="402"/>
        <v>2015-07-01 00:00:00.0</v>
      </c>
      <c r="K1418" t="s">
        <v>834</v>
      </c>
      <c r="L1418" t="s">
        <v>0</v>
      </c>
      <c r="M1418" t="str">
        <f t="shared" si="403"/>
        <v>048314</v>
      </c>
      <c r="N1418">
        <v>1</v>
      </c>
      <c r="O1418">
        <v>1</v>
      </c>
      <c r="P1418" t="str">
        <f>"12"</f>
        <v>12</v>
      </c>
      <c r="Q1418" t="s">
        <v>835</v>
      </c>
      <c r="S1418" t="s">
        <v>836</v>
      </c>
      <c r="T1418" t="s">
        <v>836</v>
      </c>
      <c r="U1418" t="str">
        <f t="shared" si="399"/>
        <v>2500-12-31 00:00:00.0</v>
      </c>
      <c r="V1418" t="s">
        <v>837</v>
      </c>
      <c r="W1418" t="str">
        <f>"048314-004796-12-SE"</f>
        <v>048314-004796-12-SE</v>
      </c>
      <c r="X1418" t="s">
        <v>838</v>
      </c>
      <c r="Y1418">
        <v>1254.5</v>
      </c>
      <c r="Z1418">
        <v>1254.5</v>
      </c>
      <c r="AA1418" t="str">
        <f t="shared" si="400"/>
        <v>06/08/2016</v>
      </c>
    </row>
    <row r="1419" spans="1:27" x14ac:dyDescent="0.3">
      <c r="A1419" t="str">
        <f t="shared" si="401"/>
        <v>048314</v>
      </c>
      <c r="B1419" t="str">
        <f t="shared" si="396"/>
        <v>004796</v>
      </c>
      <c r="C1419" t="s">
        <v>1525</v>
      </c>
      <c r="D1419" t="s">
        <v>3839</v>
      </c>
      <c r="E1419" t="s">
        <v>3840</v>
      </c>
      <c r="F1419" t="s">
        <v>3841</v>
      </c>
      <c r="G1419" t="s">
        <v>3842</v>
      </c>
      <c r="H1419" t="str">
        <f t="shared" si="397"/>
        <v>048314</v>
      </c>
      <c r="I1419" t="s">
        <v>833</v>
      </c>
      <c r="J1419" t="str">
        <f t="shared" si="402"/>
        <v>2015-07-01 00:00:00.0</v>
      </c>
      <c r="K1419" t="s">
        <v>834</v>
      </c>
      <c r="L1419" t="s">
        <v>0</v>
      </c>
      <c r="M1419" t="str">
        <f t="shared" si="403"/>
        <v>048314</v>
      </c>
      <c r="N1419">
        <v>1</v>
      </c>
      <c r="O1419">
        <v>1</v>
      </c>
      <c r="P1419" t="str">
        <f>"10"</f>
        <v>10</v>
      </c>
      <c r="Q1419" t="s">
        <v>835</v>
      </c>
      <c r="S1419" t="s">
        <v>836</v>
      </c>
      <c r="T1419" t="s">
        <v>836</v>
      </c>
      <c r="U1419" t="str">
        <f t="shared" si="399"/>
        <v>2500-12-31 00:00:00.0</v>
      </c>
      <c r="V1419" t="s">
        <v>837</v>
      </c>
      <c r="W1419" t="str">
        <f>"048314-004796-**-**"</f>
        <v>048314-004796-**-**</v>
      </c>
      <c r="X1419" t="s">
        <v>838</v>
      </c>
      <c r="Y1419">
        <v>1254.5</v>
      </c>
      <c r="Z1419">
        <v>1254.5</v>
      </c>
      <c r="AA1419" t="str">
        <f t="shared" si="400"/>
        <v>06/08/2016</v>
      </c>
    </row>
    <row r="1420" spans="1:27" x14ac:dyDescent="0.3">
      <c r="A1420" t="str">
        <f t="shared" si="401"/>
        <v>048314</v>
      </c>
      <c r="B1420" t="str">
        <f t="shared" si="396"/>
        <v>004796</v>
      </c>
      <c r="C1420" t="s">
        <v>960</v>
      </c>
      <c r="D1420" t="s">
        <v>3839</v>
      </c>
      <c r="E1420" t="s">
        <v>3840</v>
      </c>
      <c r="F1420" t="s">
        <v>3841</v>
      </c>
      <c r="G1420" t="s">
        <v>3842</v>
      </c>
      <c r="H1420" t="str">
        <f t="shared" si="397"/>
        <v>048314</v>
      </c>
      <c r="I1420" t="s">
        <v>833</v>
      </c>
      <c r="J1420" t="str">
        <f t="shared" si="402"/>
        <v>2015-07-01 00:00:00.0</v>
      </c>
      <c r="K1420" t="s">
        <v>834</v>
      </c>
      <c r="L1420" t="s">
        <v>0</v>
      </c>
      <c r="M1420" t="str">
        <f t="shared" si="403"/>
        <v>048314</v>
      </c>
      <c r="N1420">
        <v>1</v>
      </c>
      <c r="O1420">
        <v>1</v>
      </c>
      <c r="P1420" t="str">
        <f>"12"</f>
        <v>12</v>
      </c>
      <c r="Q1420" t="s">
        <v>835</v>
      </c>
      <c r="S1420" t="s">
        <v>836</v>
      </c>
      <c r="T1420" t="s">
        <v>836</v>
      </c>
      <c r="U1420" t="str">
        <f t="shared" si="399"/>
        <v>2500-12-31 00:00:00.0</v>
      </c>
      <c r="V1420" t="s">
        <v>837</v>
      </c>
      <c r="W1420" t="str">
        <f>"048314-004796-12-SE"</f>
        <v>048314-004796-12-SE</v>
      </c>
      <c r="X1420" t="s">
        <v>838</v>
      </c>
      <c r="Y1420">
        <v>1254.5</v>
      </c>
      <c r="Z1420">
        <v>1254.5</v>
      </c>
      <c r="AA1420" t="str">
        <f t="shared" si="400"/>
        <v>06/08/2016</v>
      </c>
    </row>
    <row r="1421" spans="1:27" x14ac:dyDescent="0.3">
      <c r="A1421" t="str">
        <f t="shared" si="401"/>
        <v>048314</v>
      </c>
      <c r="B1421" t="str">
        <f t="shared" si="396"/>
        <v>004796</v>
      </c>
      <c r="C1421" t="s">
        <v>1166</v>
      </c>
      <c r="D1421" t="s">
        <v>3839</v>
      </c>
      <c r="E1421" t="s">
        <v>3840</v>
      </c>
      <c r="F1421" t="s">
        <v>3841</v>
      </c>
      <c r="G1421" t="s">
        <v>3842</v>
      </c>
      <c r="H1421" t="str">
        <f t="shared" si="397"/>
        <v>048314</v>
      </c>
      <c r="I1421" t="s">
        <v>833</v>
      </c>
      <c r="J1421" t="str">
        <f t="shared" si="402"/>
        <v>2015-07-01 00:00:00.0</v>
      </c>
      <c r="K1421" t="s">
        <v>834</v>
      </c>
      <c r="L1421" t="s">
        <v>0</v>
      </c>
      <c r="M1421" t="str">
        <f t="shared" si="403"/>
        <v>048314</v>
      </c>
      <c r="N1421">
        <v>1</v>
      </c>
      <c r="O1421">
        <v>1</v>
      </c>
      <c r="P1421" t="str">
        <f>"12"</f>
        <v>12</v>
      </c>
      <c r="Q1421" t="s">
        <v>835</v>
      </c>
      <c r="S1421" t="s">
        <v>836</v>
      </c>
      <c r="T1421" t="s">
        <v>836</v>
      </c>
      <c r="U1421" t="str">
        <f t="shared" si="399"/>
        <v>2500-12-31 00:00:00.0</v>
      </c>
      <c r="V1421" t="s">
        <v>837</v>
      </c>
      <c r="W1421" t="str">
        <f>"048314-004796-12-SE"</f>
        <v>048314-004796-12-SE</v>
      </c>
      <c r="X1421" t="s">
        <v>838</v>
      </c>
      <c r="Y1421">
        <v>1254.5</v>
      </c>
      <c r="Z1421">
        <v>1254.5</v>
      </c>
      <c r="AA1421" t="str">
        <f t="shared" si="400"/>
        <v>06/08/2016</v>
      </c>
    </row>
    <row r="1422" spans="1:27" x14ac:dyDescent="0.3">
      <c r="A1422" t="str">
        <f t="shared" si="401"/>
        <v>048314</v>
      </c>
      <c r="B1422" t="str">
        <f t="shared" si="396"/>
        <v>004796</v>
      </c>
      <c r="C1422" t="s">
        <v>1734</v>
      </c>
      <c r="D1422" t="s">
        <v>3839</v>
      </c>
      <c r="E1422" t="s">
        <v>3840</v>
      </c>
      <c r="F1422" t="s">
        <v>3841</v>
      </c>
      <c r="G1422" t="s">
        <v>3842</v>
      </c>
      <c r="H1422" t="str">
        <f>"050203"</f>
        <v>050203</v>
      </c>
      <c r="I1422" t="s">
        <v>833</v>
      </c>
      <c r="J1422" t="str">
        <f t="shared" si="402"/>
        <v>2015-07-01 00:00:00.0</v>
      </c>
      <c r="K1422" t="s">
        <v>834</v>
      </c>
      <c r="L1422" t="s">
        <v>1</v>
      </c>
      <c r="M1422" t="str">
        <f t="shared" si="403"/>
        <v>048314</v>
      </c>
      <c r="N1422">
        <v>1</v>
      </c>
      <c r="O1422">
        <v>1</v>
      </c>
      <c r="P1422" t="str">
        <f>"11"</f>
        <v>11</v>
      </c>
      <c r="Q1422" t="s">
        <v>835</v>
      </c>
      <c r="S1422" t="s">
        <v>836</v>
      </c>
      <c r="T1422" t="s">
        <v>836</v>
      </c>
      <c r="U1422" t="str">
        <f t="shared" si="399"/>
        <v>2500-12-31 00:00:00.0</v>
      </c>
      <c r="V1422" t="s">
        <v>837</v>
      </c>
      <c r="W1422" t="str">
        <f>"050203-021477-11-**"</f>
        <v>050203-021477-11-**</v>
      </c>
      <c r="X1422" t="s">
        <v>838</v>
      </c>
      <c r="Y1422">
        <v>1058.71</v>
      </c>
      <c r="Z1422">
        <v>1058.71</v>
      </c>
      <c r="AA1422" t="str">
        <f>"06/15/2016"</f>
        <v>06/15/2016</v>
      </c>
    </row>
    <row r="1423" spans="1:27" x14ac:dyDescent="0.3">
      <c r="A1423" t="str">
        <f t="shared" si="401"/>
        <v>048314</v>
      </c>
      <c r="B1423" t="str">
        <f t="shared" si="396"/>
        <v>004796</v>
      </c>
      <c r="C1423" t="s">
        <v>1632</v>
      </c>
      <c r="D1423" t="s">
        <v>3839</v>
      </c>
      <c r="E1423" t="s">
        <v>3840</v>
      </c>
      <c r="F1423" t="s">
        <v>3841</v>
      </c>
      <c r="G1423" t="s">
        <v>3842</v>
      </c>
      <c r="H1423" t="str">
        <f>"048314"</f>
        <v>048314</v>
      </c>
      <c r="I1423" t="s">
        <v>833</v>
      </c>
      <c r="J1423" t="str">
        <f t="shared" si="402"/>
        <v>2015-07-01 00:00:00.0</v>
      </c>
      <c r="K1423" t="s">
        <v>834</v>
      </c>
      <c r="L1423" t="s">
        <v>0</v>
      </c>
      <c r="M1423" t="str">
        <f t="shared" si="403"/>
        <v>048314</v>
      </c>
      <c r="N1423">
        <v>1</v>
      </c>
      <c r="O1423">
        <v>1</v>
      </c>
      <c r="P1423" t="str">
        <f>"10"</f>
        <v>10</v>
      </c>
      <c r="Q1423" t="str">
        <f>"01"</f>
        <v>01</v>
      </c>
      <c r="R1423" t="str">
        <f>"5"</f>
        <v>5</v>
      </c>
      <c r="S1423" t="s">
        <v>836</v>
      </c>
      <c r="T1423" t="s">
        <v>836</v>
      </c>
      <c r="U1423" t="str">
        <f t="shared" si="399"/>
        <v>2500-12-31 00:00:00.0</v>
      </c>
      <c r="V1423" t="s">
        <v>837</v>
      </c>
      <c r="W1423" t="str">
        <f>"048314-004796-**-**"</f>
        <v>048314-004796-**-**</v>
      </c>
      <c r="X1423" t="s">
        <v>838</v>
      </c>
      <c r="Y1423">
        <v>1254.5</v>
      </c>
      <c r="Z1423">
        <v>1254.5</v>
      </c>
      <c r="AA1423" t="str">
        <f>"06/08/2016"</f>
        <v>06/08/2016</v>
      </c>
    </row>
    <row r="1424" spans="1:27" x14ac:dyDescent="0.3">
      <c r="A1424" t="str">
        <f t="shared" si="401"/>
        <v>048314</v>
      </c>
      <c r="B1424" t="str">
        <f t="shared" si="396"/>
        <v>004796</v>
      </c>
      <c r="C1424" t="s">
        <v>1401</v>
      </c>
      <c r="D1424" t="s">
        <v>3839</v>
      </c>
      <c r="E1424" t="s">
        <v>3840</v>
      </c>
      <c r="F1424" t="s">
        <v>3841</v>
      </c>
      <c r="G1424" t="s">
        <v>3842</v>
      </c>
      <c r="H1424" t="str">
        <f>"048314"</f>
        <v>048314</v>
      </c>
      <c r="I1424" t="s">
        <v>833</v>
      </c>
      <c r="J1424" t="str">
        <f t="shared" si="402"/>
        <v>2015-07-01 00:00:00.0</v>
      </c>
      <c r="K1424" t="s">
        <v>834</v>
      </c>
      <c r="L1424" t="s">
        <v>0</v>
      </c>
      <c r="M1424" t="str">
        <f t="shared" si="403"/>
        <v>048314</v>
      </c>
      <c r="N1424">
        <v>1</v>
      </c>
      <c r="O1424">
        <v>1</v>
      </c>
      <c r="P1424" t="str">
        <f>"11"</f>
        <v>11</v>
      </c>
      <c r="Q1424" t="s">
        <v>835</v>
      </c>
      <c r="S1424" t="s">
        <v>836</v>
      </c>
      <c r="T1424" t="s">
        <v>836</v>
      </c>
      <c r="U1424" t="str">
        <f t="shared" si="399"/>
        <v>2500-12-31 00:00:00.0</v>
      </c>
      <c r="V1424" t="s">
        <v>837</v>
      </c>
      <c r="W1424" t="str">
        <f>"048314-004796-**-**"</f>
        <v>048314-004796-**-**</v>
      </c>
      <c r="X1424" t="s">
        <v>838</v>
      </c>
      <c r="Y1424">
        <v>1254.5</v>
      </c>
      <c r="Z1424">
        <v>1254.5</v>
      </c>
      <c r="AA1424" t="str">
        <f>"06/08/2016"</f>
        <v>06/08/2016</v>
      </c>
    </row>
    <row r="1425" spans="1:27" x14ac:dyDescent="0.3">
      <c r="A1425" t="str">
        <f t="shared" si="401"/>
        <v>048314</v>
      </c>
      <c r="B1425" t="str">
        <f t="shared" si="396"/>
        <v>004796</v>
      </c>
      <c r="C1425" t="s">
        <v>908</v>
      </c>
      <c r="D1425" t="s">
        <v>3839</v>
      </c>
      <c r="E1425" t="s">
        <v>3840</v>
      </c>
      <c r="F1425" t="s">
        <v>3841</v>
      </c>
      <c r="G1425" t="s">
        <v>3842</v>
      </c>
      <c r="H1425" t="str">
        <f>"051243"</f>
        <v>051243</v>
      </c>
      <c r="I1425" t="s">
        <v>833</v>
      </c>
      <c r="J1425" t="str">
        <f t="shared" si="402"/>
        <v>2015-07-01 00:00:00.0</v>
      </c>
      <c r="K1425" t="s">
        <v>834</v>
      </c>
      <c r="L1425" t="s">
        <v>0</v>
      </c>
      <c r="M1425" t="str">
        <f t="shared" si="403"/>
        <v>048314</v>
      </c>
      <c r="N1425">
        <v>0.7</v>
      </c>
      <c r="O1425">
        <v>0.7</v>
      </c>
      <c r="P1425" t="str">
        <f>"23"</f>
        <v>23</v>
      </c>
      <c r="Q1425" t="str">
        <f>"13"</f>
        <v>13</v>
      </c>
      <c r="R1425" t="str">
        <f>"6"</f>
        <v>6</v>
      </c>
      <c r="S1425" t="s">
        <v>836</v>
      </c>
      <c r="T1425" t="s">
        <v>836</v>
      </c>
      <c r="U1425" t="str">
        <f t="shared" si="399"/>
        <v>2500-12-31 00:00:00.0</v>
      </c>
      <c r="V1425" t="s">
        <v>886</v>
      </c>
      <c r="W1425" t="str">
        <f>"051243-051250-23-PM"</f>
        <v>051243-051250-23-PM</v>
      </c>
      <c r="X1425" t="s">
        <v>838</v>
      </c>
      <c r="Y1425">
        <v>800.8</v>
      </c>
      <c r="Z1425">
        <v>1144</v>
      </c>
      <c r="AA1425" t="str">
        <f>"05/21/2016"</f>
        <v>05/21/2016</v>
      </c>
    </row>
    <row r="1426" spans="1:27" x14ac:dyDescent="0.3">
      <c r="A1426" t="str">
        <f t="shared" si="401"/>
        <v>048314</v>
      </c>
      <c r="B1426" t="str">
        <f t="shared" si="396"/>
        <v>004796</v>
      </c>
      <c r="C1426" t="s">
        <v>1512</v>
      </c>
      <c r="D1426" t="s">
        <v>3839</v>
      </c>
      <c r="E1426" t="s">
        <v>3840</v>
      </c>
      <c r="F1426" t="s">
        <v>3841</v>
      </c>
      <c r="G1426" t="s">
        <v>3842</v>
      </c>
      <c r="H1426" t="str">
        <f>"048314"</f>
        <v>048314</v>
      </c>
      <c r="I1426" t="s">
        <v>833</v>
      </c>
      <c r="J1426" t="str">
        <f t="shared" si="402"/>
        <v>2015-07-01 00:00:00.0</v>
      </c>
      <c r="K1426" t="s">
        <v>834</v>
      </c>
      <c r="L1426" t="s">
        <v>0</v>
      </c>
      <c r="M1426" t="str">
        <f t="shared" si="403"/>
        <v>048314</v>
      </c>
      <c r="N1426">
        <v>1</v>
      </c>
      <c r="O1426">
        <v>1</v>
      </c>
      <c r="P1426" t="str">
        <f>"10"</f>
        <v>10</v>
      </c>
      <c r="Q1426" t="s">
        <v>835</v>
      </c>
      <c r="S1426" t="s">
        <v>836</v>
      </c>
      <c r="T1426" t="s">
        <v>836</v>
      </c>
      <c r="U1426" t="str">
        <f t="shared" si="399"/>
        <v>2500-12-31 00:00:00.0</v>
      </c>
      <c r="V1426" t="s">
        <v>837</v>
      </c>
      <c r="W1426" t="str">
        <f>"048314-004796-**-**"</f>
        <v>048314-004796-**-**</v>
      </c>
      <c r="X1426" t="s">
        <v>838</v>
      </c>
      <c r="Y1426">
        <v>1254.5</v>
      </c>
      <c r="Z1426">
        <v>1254.5</v>
      </c>
      <c r="AA1426" t="str">
        <f>"06/08/2016"</f>
        <v>06/08/2016</v>
      </c>
    </row>
    <row r="1427" spans="1:27" x14ac:dyDescent="0.3">
      <c r="A1427" t="str">
        <f t="shared" si="401"/>
        <v>048314</v>
      </c>
      <c r="B1427" t="str">
        <f t="shared" si="396"/>
        <v>004796</v>
      </c>
      <c r="C1427" t="s">
        <v>1692</v>
      </c>
      <c r="D1427" t="s">
        <v>3839</v>
      </c>
      <c r="E1427" t="s">
        <v>3840</v>
      </c>
      <c r="F1427" t="s">
        <v>3841</v>
      </c>
      <c r="G1427" t="s">
        <v>3842</v>
      </c>
      <c r="H1427" t="str">
        <f>"048314"</f>
        <v>048314</v>
      </c>
      <c r="I1427" t="s">
        <v>833</v>
      </c>
      <c r="J1427" t="str">
        <f t="shared" si="402"/>
        <v>2015-07-01 00:00:00.0</v>
      </c>
      <c r="K1427" t="s">
        <v>834</v>
      </c>
      <c r="L1427" t="s">
        <v>0</v>
      </c>
      <c r="M1427" t="str">
        <f t="shared" si="403"/>
        <v>048314</v>
      </c>
      <c r="N1427">
        <v>1</v>
      </c>
      <c r="O1427">
        <v>1</v>
      </c>
      <c r="P1427" t="str">
        <f>"10"</f>
        <v>10</v>
      </c>
      <c r="Q1427" t="s">
        <v>835</v>
      </c>
      <c r="S1427" t="s">
        <v>836</v>
      </c>
      <c r="T1427" t="s">
        <v>836</v>
      </c>
      <c r="U1427" t="str">
        <f t="shared" si="399"/>
        <v>2500-12-31 00:00:00.0</v>
      </c>
      <c r="V1427" t="s">
        <v>837</v>
      </c>
      <c r="W1427" t="str">
        <f>"048314-004796-**-**"</f>
        <v>048314-004796-**-**</v>
      </c>
      <c r="X1427" t="s">
        <v>838</v>
      </c>
      <c r="Y1427">
        <v>1254.5</v>
      </c>
      <c r="Z1427">
        <v>1254.5</v>
      </c>
      <c r="AA1427" t="str">
        <f>"06/08/2016"</f>
        <v>06/08/2016</v>
      </c>
    </row>
    <row r="1428" spans="1:27" x14ac:dyDescent="0.3">
      <c r="A1428" t="str">
        <f t="shared" si="401"/>
        <v>048314</v>
      </c>
      <c r="B1428" t="str">
        <f t="shared" si="396"/>
        <v>004796</v>
      </c>
      <c r="C1428" t="s">
        <v>1296</v>
      </c>
      <c r="D1428" t="s">
        <v>3839</v>
      </c>
      <c r="E1428" t="s">
        <v>3840</v>
      </c>
      <c r="F1428" t="s">
        <v>3841</v>
      </c>
      <c r="G1428" t="s">
        <v>3842</v>
      </c>
      <c r="H1428" t="str">
        <f>"148999"</f>
        <v>148999</v>
      </c>
      <c r="I1428" t="s">
        <v>833</v>
      </c>
      <c r="J1428" t="str">
        <f t="shared" si="402"/>
        <v>2015-07-01 00:00:00.0</v>
      </c>
      <c r="K1428" t="s">
        <v>834</v>
      </c>
      <c r="L1428" t="s">
        <v>2</v>
      </c>
      <c r="M1428" t="str">
        <f t="shared" si="403"/>
        <v>048314</v>
      </c>
      <c r="N1428">
        <v>0.243094</v>
      </c>
      <c r="O1428">
        <v>0.243094</v>
      </c>
      <c r="P1428" t="str">
        <f>"09"</f>
        <v>09</v>
      </c>
      <c r="Q1428" t="str">
        <f>"15"</f>
        <v>15</v>
      </c>
      <c r="R1428" t="str">
        <f>"2"</f>
        <v>2</v>
      </c>
      <c r="S1428" t="s">
        <v>860</v>
      </c>
      <c r="T1428" t="s">
        <v>836</v>
      </c>
      <c r="U1428" t="str">
        <f>"2015-10-28 00:00:00.0"</f>
        <v>2015-10-28 00:00:00.0</v>
      </c>
      <c r="V1428" t="s">
        <v>837</v>
      </c>
      <c r="W1428" t="str">
        <f>"148999-148999-09-**"</f>
        <v>148999-148999-09-**</v>
      </c>
      <c r="X1428" t="s">
        <v>865</v>
      </c>
      <c r="Y1428">
        <v>242</v>
      </c>
      <c r="Z1428">
        <v>995.5</v>
      </c>
      <c r="AA1428" t="str">
        <f>"05/23/2016"</f>
        <v>05/23/2016</v>
      </c>
    </row>
    <row r="1429" spans="1:27" x14ac:dyDescent="0.3">
      <c r="A1429" t="str">
        <f t="shared" si="401"/>
        <v>048314</v>
      </c>
      <c r="B1429" t="str">
        <f t="shared" si="396"/>
        <v>004796</v>
      </c>
      <c r="C1429" t="s">
        <v>1167</v>
      </c>
      <c r="D1429" t="s">
        <v>3839</v>
      </c>
      <c r="E1429" t="s">
        <v>3840</v>
      </c>
      <c r="F1429" t="s">
        <v>3841</v>
      </c>
      <c r="G1429" t="s">
        <v>3842</v>
      </c>
      <c r="H1429" t="str">
        <f>"048314"</f>
        <v>048314</v>
      </c>
      <c r="I1429" t="s">
        <v>833</v>
      </c>
      <c r="J1429" t="str">
        <f t="shared" si="402"/>
        <v>2015-07-01 00:00:00.0</v>
      </c>
      <c r="K1429" t="s">
        <v>834</v>
      </c>
      <c r="L1429" t="s">
        <v>0</v>
      </c>
      <c r="M1429" t="str">
        <f t="shared" si="403"/>
        <v>048314</v>
      </c>
      <c r="N1429">
        <v>0.5</v>
      </c>
      <c r="O1429">
        <v>0.5</v>
      </c>
      <c r="P1429" t="str">
        <f>"11"</f>
        <v>11</v>
      </c>
      <c r="Q1429" t="s">
        <v>835</v>
      </c>
      <c r="S1429" t="s">
        <v>836</v>
      </c>
      <c r="T1429" t="s">
        <v>836</v>
      </c>
      <c r="U1429" t="str">
        <f>"2500-12-31 00:00:00.0"</f>
        <v>2500-12-31 00:00:00.0</v>
      </c>
      <c r="V1429" t="s">
        <v>837</v>
      </c>
      <c r="W1429" t="str">
        <f>"048314-004796-**-**"</f>
        <v>048314-004796-**-**</v>
      </c>
      <c r="X1429" t="s">
        <v>838</v>
      </c>
      <c r="Y1429">
        <v>627.25</v>
      </c>
      <c r="Z1429">
        <v>1254.5</v>
      </c>
      <c r="AA1429" t="str">
        <f>"06/08/2016"</f>
        <v>06/08/2016</v>
      </c>
    </row>
    <row r="1430" spans="1:27" x14ac:dyDescent="0.3">
      <c r="A1430" t="str">
        <f t="shared" si="401"/>
        <v>048314</v>
      </c>
      <c r="B1430" t="str">
        <f t="shared" si="396"/>
        <v>004796</v>
      </c>
      <c r="C1430" t="s">
        <v>1167</v>
      </c>
      <c r="D1430" t="s">
        <v>3839</v>
      </c>
      <c r="E1430" t="s">
        <v>3840</v>
      </c>
      <c r="F1430" t="s">
        <v>3841</v>
      </c>
      <c r="G1430" t="s">
        <v>3842</v>
      </c>
      <c r="H1430" t="str">
        <f>"051243"</f>
        <v>051243</v>
      </c>
      <c r="I1430" t="s">
        <v>833</v>
      </c>
      <c r="J1430" t="str">
        <f>"2015-08-03 00:00:00.0"</f>
        <v>2015-08-03 00:00:00.0</v>
      </c>
      <c r="K1430" t="s">
        <v>834</v>
      </c>
      <c r="L1430" t="s">
        <v>0</v>
      </c>
      <c r="M1430" t="str">
        <f t="shared" si="403"/>
        <v>048314</v>
      </c>
      <c r="N1430">
        <v>0.5</v>
      </c>
      <c r="O1430">
        <v>0.5</v>
      </c>
      <c r="P1430" t="str">
        <f>"11"</f>
        <v>11</v>
      </c>
      <c r="Q1430" t="s">
        <v>835</v>
      </c>
      <c r="S1430" t="s">
        <v>836</v>
      </c>
      <c r="T1430" t="s">
        <v>836</v>
      </c>
      <c r="U1430" t="str">
        <f>"2500-12-31 00:00:00.0"</f>
        <v>2500-12-31 00:00:00.0</v>
      </c>
      <c r="V1430" t="s">
        <v>886</v>
      </c>
      <c r="W1430" t="str">
        <f>"051243-051250-11-AM"</f>
        <v>051243-051250-11-AM</v>
      </c>
      <c r="X1430" t="s">
        <v>838</v>
      </c>
      <c r="Y1430">
        <v>572</v>
      </c>
      <c r="Z1430">
        <v>1144</v>
      </c>
      <c r="AA1430" t="str">
        <f>"05/21/2016"</f>
        <v>05/21/2016</v>
      </c>
    </row>
    <row r="1431" spans="1:27" x14ac:dyDescent="0.3">
      <c r="A1431" t="str">
        <f t="shared" si="401"/>
        <v>048314</v>
      </c>
      <c r="B1431" t="str">
        <f t="shared" si="396"/>
        <v>004796</v>
      </c>
      <c r="C1431" t="s">
        <v>1633</v>
      </c>
      <c r="D1431" t="s">
        <v>3839</v>
      </c>
      <c r="E1431" t="s">
        <v>3840</v>
      </c>
      <c r="F1431" t="s">
        <v>3841</v>
      </c>
      <c r="G1431" t="s">
        <v>3842</v>
      </c>
      <c r="H1431" t="str">
        <f t="shared" ref="H1431:H1444" si="404">"048314"</f>
        <v>048314</v>
      </c>
      <c r="I1431" t="s">
        <v>833</v>
      </c>
      <c r="J1431" t="str">
        <f>"2015-07-01 00:00:00.0"</f>
        <v>2015-07-01 00:00:00.0</v>
      </c>
      <c r="K1431" t="s">
        <v>834</v>
      </c>
      <c r="L1431" t="s">
        <v>0</v>
      </c>
      <c r="M1431" t="str">
        <f t="shared" si="403"/>
        <v>048314</v>
      </c>
      <c r="N1431">
        <v>1</v>
      </c>
      <c r="O1431">
        <v>1</v>
      </c>
      <c r="P1431" t="str">
        <f>"10"</f>
        <v>10</v>
      </c>
      <c r="Q1431" t="str">
        <f>"10"</f>
        <v>10</v>
      </c>
      <c r="R1431" t="str">
        <f>"2"</f>
        <v>2</v>
      </c>
      <c r="S1431" t="s">
        <v>836</v>
      </c>
      <c r="T1431" t="s">
        <v>836</v>
      </c>
      <c r="U1431" t="str">
        <f>"2500-12-31 00:00:00.0"</f>
        <v>2500-12-31 00:00:00.0</v>
      </c>
      <c r="V1431" t="s">
        <v>837</v>
      </c>
      <c r="W1431" t="str">
        <f>"048314-004796-**-**"</f>
        <v>048314-004796-**-**</v>
      </c>
      <c r="X1431" t="s">
        <v>838</v>
      </c>
      <c r="Y1431">
        <v>1254.5</v>
      </c>
      <c r="Z1431">
        <v>1254.5</v>
      </c>
      <c r="AA1431" t="str">
        <f t="shared" ref="AA1431:AA1444" si="405">"06/08/2016"</f>
        <v>06/08/2016</v>
      </c>
    </row>
    <row r="1432" spans="1:27" x14ac:dyDescent="0.3">
      <c r="A1432" t="str">
        <f t="shared" si="401"/>
        <v>048314</v>
      </c>
      <c r="B1432" t="str">
        <f t="shared" si="396"/>
        <v>004796</v>
      </c>
      <c r="C1432" t="s">
        <v>1168</v>
      </c>
      <c r="D1432" t="s">
        <v>3839</v>
      </c>
      <c r="E1432" t="s">
        <v>3840</v>
      </c>
      <c r="F1432" t="s">
        <v>3841</v>
      </c>
      <c r="G1432" t="s">
        <v>3842</v>
      </c>
      <c r="H1432" t="str">
        <f t="shared" si="404"/>
        <v>048314</v>
      </c>
      <c r="I1432" t="s">
        <v>833</v>
      </c>
      <c r="J1432" t="str">
        <f>"2016-01-06 00:00:00.0"</f>
        <v>2016-01-06 00:00:00.0</v>
      </c>
      <c r="K1432" t="s">
        <v>834</v>
      </c>
      <c r="L1432" t="s">
        <v>0</v>
      </c>
      <c r="M1432" t="str">
        <f t="shared" si="403"/>
        <v>048314</v>
      </c>
      <c r="N1432">
        <v>0.54922300000000002</v>
      </c>
      <c r="O1432">
        <v>0.54922300000000002</v>
      </c>
      <c r="P1432" t="str">
        <f>"12"</f>
        <v>12</v>
      </c>
      <c r="Q1432" t="s">
        <v>835</v>
      </c>
      <c r="S1432" t="s">
        <v>836</v>
      </c>
      <c r="T1432" t="s">
        <v>836</v>
      </c>
      <c r="U1432" t="str">
        <f>"2500-12-31 00:00:00.0"</f>
        <v>2500-12-31 00:00:00.0</v>
      </c>
      <c r="V1432" t="s">
        <v>837</v>
      </c>
      <c r="W1432" t="str">
        <f>"048314-004796-12-SE"</f>
        <v>048314-004796-12-SE</v>
      </c>
      <c r="X1432" t="s">
        <v>838</v>
      </c>
      <c r="Y1432">
        <v>689</v>
      </c>
      <c r="Z1432">
        <v>1254.5</v>
      </c>
      <c r="AA1432" t="str">
        <f t="shared" si="405"/>
        <v>06/08/2016</v>
      </c>
    </row>
    <row r="1433" spans="1:27" x14ac:dyDescent="0.3">
      <c r="A1433" t="str">
        <f t="shared" si="401"/>
        <v>048314</v>
      </c>
      <c r="B1433" t="str">
        <f t="shared" si="396"/>
        <v>004796</v>
      </c>
      <c r="C1433" t="s">
        <v>1168</v>
      </c>
      <c r="D1433" t="s">
        <v>3839</v>
      </c>
      <c r="E1433" t="s">
        <v>3840</v>
      </c>
      <c r="F1433" t="s">
        <v>3841</v>
      </c>
      <c r="G1433" t="s">
        <v>3842</v>
      </c>
      <c r="H1433" t="str">
        <f t="shared" si="404"/>
        <v>048314</v>
      </c>
      <c r="I1433" t="s">
        <v>833</v>
      </c>
      <c r="J1433" t="str">
        <f t="shared" ref="J1433:J1444" si="406">"2015-07-01 00:00:00.0"</f>
        <v>2015-07-01 00:00:00.0</v>
      </c>
      <c r="K1433" t="s">
        <v>834</v>
      </c>
      <c r="L1433" t="s">
        <v>0</v>
      </c>
      <c r="M1433" t="str">
        <f t="shared" si="403"/>
        <v>048314</v>
      </c>
      <c r="N1433">
        <v>0.45077699999999998</v>
      </c>
      <c r="O1433">
        <v>0.45077699999999998</v>
      </c>
      <c r="P1433" t="str">
        <f>"12"</f>
        <v>12</v>
      </c>
      <c r="Q1433" t="str">
        <f>"10"</f>
        <v>10</v>
      </c>
      <c r="R1433" t="str">
        <f>"2"</f>
        <v>2</v>
      </c>
      <c r="S1433" t="s">
        <v>836</v>
      </c>
      <c r="T1433" t="s">
        <v>836</v>
      </c>
      <c r="U1433" t="str">
        <f>"2016-01-05 00:00:00.0"</f>
        <v>2016-01-05 00:00:00.0</v>
      </c>
      <c r="V1433" t="s">
        <v>837</v>
      </c>
      <c r="W1433" t="str">
        <f>"048314-004796-12-SE"</f>
        <v>048314-004796-12-SE</v>
      </c>
      <c r="X1433" t="s">
        <v>838</v>
      </c>
      <c r="Y1433">
        <v>565.5</v>
      </c>
      <c r="Z1433">
        <v>1254.5</v>
      </c>
      <c r="AA1433" t="str">
        <f t="shared" si="405"/>
        <v>06/08/2016</v>
      </c>
    </row>
    <row r="1434" spans="1:27" x14ac:dyDescent="0.3">
      <c r="A1434" t="str">
        <f t="shared" si="401"/>
        <v>048314</v>
      </c>
      <c r="B1434" t="str">
        <f t="shared" si="396"/>
        <v>004796</v>
      </c>
      <c r="C1434" t="s">
        <v>1735</v>
      </c>
      <c r="D1434" t="s">
        <v>3839</v>
      </c>
      <c r="E1434" t="s">
        <v>3840</v>
      </c>
      <c r="F1434" t="s">
        <v>3841</v>
      </c>
      <c r="G1434" t="s">
        <v>3842</v>
      </c>
      <c r="H1434" t="str">
        <f t="shared" si="404"/>
        <v>048314</v>
      </c>
      <c r="I1434" t="s">
        <v>833</v>
      </c>
      <c r="J1434" t="str">
        <f t="shared" si="406"/>
        <v>2015-07-01 00:00:00.0</v>
      </c>
      <c r="K1434" t="s">
        <v>834</v>
      </c>
      <c r="L1434" t="s">
        <v>0</v>
      </c>
      <c r="M1434" t="str">
        <f t="shared" si="403"/>
        <v>048314</v>
      </c>
      <c r="N1434">
        <v>1</v>
      </c>
      <c r="O1434">
        <v>1</v>
      </c>
      <c r="P1434" t="str">
        <f>"11"</f>
        <v>11</v>
      </c>
      <c r="Q1434" t="s">
        <v>835</v>
      </c>
      <c r="S1434" t="s">
        <v>836</v>
      </c>
      <c r="T1434" t="s">
        <v>836</v>
      </c>
      <c r="U1434" t="str">
        <f t="shared" ref="U1434:U1464" si="407">"2500-12-31 00:00:00.0"</f>
        <v>2500-12-31 00:00:00.0</v>
      </c>
      <c r="V1434" t="s">
        <v>837</v>
      </c>
      <c r="W1434" t="str">
        <f>"048314-004796-**-**"</f>
        <v>048314-004796-**-**</v>
      </c>
      <c r="X1434" t="s">
        <v>838</v>
      </c>
      <c r="Y1434">
        <v>1254.5</v>
      </c>
      <c r="Z1434">
        <v>1254.5</v>
      </c>
      <c r="AA1434" t="str">
        <f t="shared" si="405"/>
        <v>06/08/2016</v>
      </c>
    </row>
    <row r="1435" spans="1:27" x14ac:dyDescent="0.3">
      <c r="A1435" t="str">
        <f t="shared" si="401"/>
        <v>048314</v>
      </c>
      <c r="B1435" t="str">
        <f t="shared" si="396"/>
        <v>004796</v>
      </c>
      <c r="C1435" t="s">
        <v>1169</v>
      </c>
      <c r="D1435" t="s">
        <v>3839</v>
      </c>
      <c r="E1435" t="s">
        <v>3840</v>
      </c>
      <c r="F1435" t="s">
        <v>3841</v>
      </c>
      <c r="G1435" t="s">
        <v>3842</v>
      </c>
      <c r="H1435" t="str">
        <f t="shared" si="404"/>
        <v>048314</v>
      </c>
      <c r="I1435" t="s">
        <v>833</v>
      </c>
      <c r="J1435" t="str">
        <f t="shared" si="406"/>
        <v>2015-07-01 00:00:00.0</v>
      </c>
      <c r="K1435" t="s">
        <v>834</v>
      </c>
      <c r="L1435" t="s">
        <v>0</v>
      </c>
      <c r="M1435" t="str">
        <f t="shared" si="403"/>
        <v>048314</v>
      </c>
      <c r="N1435">
        <v>1</v>
      </c>
      <c r="O1435">
        <v>1</v>
      </c>
      <c r="P1435" t="str">
        <f>"12"</f>
        <v>12</v>
      </c>
      <c r="Q1435" t="s">
        <v>835</v>
      </c>
      <c r="S1435" t="s">
        <v>836</v>
      </c>
      <c r="T1435" t="s">
        <v>836</v>
      </c>
      <c r="U1435" t="str">
        <f t="shared" si="407"/>
        <v>2500-12-31 00:00:00.0</v>
      </c>
      <c r="V1435" t="s">
        <v>837</v>
      </c>
      <c r="W1435" t="str">
        <f>"048314-004796-12-SE"</f>
        <v>048314-004796-12-SE</v>
      </c>
      <c r="X1435" t="s">
        <v>838</v>
      </c>
      <c r="Y1435">
        <v>1254.5</v>
      </c>
      <c r="Z1435">
        <v>1254.5</v>
      </c>
      <c r="AA1435" t="str">
        <f t="shared" si="405"/>
        <v>06/08/2016</v>
      </c>
    </row>
    <row r="1436" spans="1:27" x14ac:dyDescent="0.3">
      <c r="A1436" t="str">
        <f t="shared" si="401"/>
        <v>048314</v>
      </c>
      <c r="B1436" t="str">
        <f t="shared" si="396"/>
        <v>004796</v>
      </c>
      <c r="C1436" t="s">
        <v>1634</v>
      </c>
      <c r="D1436" t="s">
        <v>3839</v>
      </c>
      <c r="E1436" t="s">
        <v>3840</v>
      </c>
      <c r="F1436" t="s">
        <v>3841</v>
      </c>
      <c r="G1436" t="s">
        <v>3842</v>
      </c>
      <c r="H1436" t="str">
        <f t="shared" si="404"/>
        <v>048314</v>
      </c>
      <c r="I1436" t="s">
        <v>833</v>
      </c>
      <c r="J1436" t="str">
        <f t="shared" si="406"/>
        <v>2015-07-01 00:00:00.0</v>
      </c>
      <c r="K1436" t="s">
        <v>834</v>
      </c>
      <c r="L1436" t="s">
        <v>0</v>
      </c>
      <c r="M1436" t="str">
        <f t="shared" si="403"/>
        <v>048314</v>
      </c>
      <c r="N1436">
        <v>1</v>
      </c>
      <c r="O1436">
        <v>1</v>
      </c>
      <c r="P1436" t="str">
        <f>"10"</f>
        <v>10</v>
      </c>
      <c r="Q1436" t="s">
        <v>835</v>
      </c>
      <c r="S1436" t="s">
        <v>836</v>
      </c>
      <c r="T1436" t="s">
        <v>836</v>
      </c>
      <c r="U1436" t="str">
        <f t="shared" si="407"/>
        <v>2500-12-31 00:00:00.0</v>
      </c>
      <c r="V1436" t="s">
        <v>837</v>
      </c>
      <c r="W1436" t="str">
        <f>"048314-004796-**-**"</f>
        <v>048314-004796-**-**</v>
      </c>
      <c r="X1436" t="s">
        <v>838</v>
      </c>
      <c r="Y1436">
        <v>1254.5</v>
      </c>
      <c r="Z1436">
        <v>1254.5</v>
      </c>
      <c r="AA1436" t="str">
        <f t="shared" si="405"/>
        <v>06/08/2016</v>
      </c>
    </row>
    <row r="1437" spans="1:27" x14ac:dyDescent="0.3">
      <c r="A1437" t="str">
        <f t="shared" si="401"/>
        <v>048314</v>
      </c>
      <c r="B1437" t="str">
        <f t="shared" si="396"/>
        <v>004796</v>
      </c>
      <c r="C1437" t="s">
        <v>1225</v>
      </c>
      <c r="D1437" t="s">
        <v>3839</v>
      </c>
      <c r="E1437" t="s">
        <v>3840</v>
      </c>
      <c r="F1437" t="s">
        <v>3841</v>
      </c>
      <c r="G1437" t="s">
        <v>3842</v>
      </c>
      <c r="H1437" t="str">
        <f t="shared" si="404"/>
        <v>048314</v>
      </c>
      <c r="I1437" t="s">
        <v>833</v>
      </c>
      <c r="J1437" t="str">
        <f t="shared" si="406"/>
        <v>2015-07-01 00:00:00.0</v>
      </c>
      <c r="K1437" t="s">
        <v>834</v>
      </c>
      <c r="L1437" t="s">
        <v>0</v>
      </c>
      <c r="M1437" t="str">
        <f t="shared" si="403"/>
        <v>048314</v>
      </c>
      <c r="N1437">
        <v>1</v>
      </c>
      <c r="O1437">
        <v>1</v>
      </c>
      <c r="P1437" t="str">
        <f>"23"</f>
        <v>23</v>
      </c>
      <c r="Q1437" t="str">
        <f>"12"</f>
        <v>12</v>
      </c>
      <c r="R1437" t="str">
        <f>"6"</f>
        <v>6</v>
      </c>
      <c r="S1437" t="s">
        <v>860</v>
      </c>
      <c r="T1437" t="s">
        <v>836</v>
      </c>
      <c r="U1437" t="str">
        <f t="shared" si="407"/>
        <v>2500-12-31 00:00:00.0</v>
      </c>
      <c r="V1437" t="s">
        <v>837</v>
      </c>
      <c r="W1437" t="str">
        <f>"048314-004796-**-**"</f>
        <v>048314-004796-**-**</v>
      </c>
      <c r="X1437" t="s">
        <v>838</v>
      </c>
      <c r="Y1437">
        <v>1254.5</v>
      </c>
      <c r="Z1437">
        <v>1254.5</v>
      </c>
      <c r="AA1437" t="str">
        <f t="shared" si="405"/>
        <v>06/08/2016</v>
      </c>
    </row>
    <row r="1438" spans="1:27" x14ac:dyDescent="0.3">
      <c r="A1438" t="str">
        <f t="shared" si="401"/>
        <v>048314</v>
      </c>
      <c r="B1438" t="str">
        <f t="shared" si="396"/>
        <v>004796</v>
      </c>
      <c r="C1438" t="s">
        <v>1170</v>
      </c>
      <c r="D1438" t="s">
        <v>3839</v>
      </c>
      <c r="E1438" t="s">
        <v>3840</v>
      </c>
      <c r="F1438" t="s">
        <v>3841</v>
      </c>
      <c r="G1438" t="s">
        <v>3842</v>
      </c>
      <c r="H1438" t="str">
        <f t="shared" si="404"/>
        <v>048314</v>
      </c>
      <c r="I1438" t="s">
        <v>833</v>
      </c>
      <c r="J1438" t="str">
        <f t="shared" si="406"/>
        <v>2015-07-01 00:00:00.0</v>
      </c>
      <c r="K1438" t="s">
        <v>834</v>
      </c>
      <c r="L1438" t="s">
        <v>0</v>
      </c>
      <c r="M1438" t="str">
        <f t="shared" si="403"/>
        <v>048314</v>
      </c>
      <c r="N1438">
        <v>1</v>
      </c>
      <c r="O1438">
        <v>1</v>
      </c>
      <c r="P1438" t="str">
        <f>"12"</f>
        <v>12</v>
      </c>
      <c r="Q1438" t="s">
        <v>835</v>
      </c>
      <c r="S1438" t="s">
        <v>836</v>
      </c>
      <c r="T1438" t="s">
        <v>836</v>
      </c>
      <c r="U1438" t="str">
        <f t="shared" si="407"/>
        <v>2500-12-31 00:00:00.0</v>
      </c>
      <c r="V1438" t="s">
        <v>837</v>
      </c>
      <c r="W1438" t="str">
        <f>"048314-004796-12-SE"</f>
        <v>048314-004796-12-SE</v>
      </c>
      <c r="X1438" t="s">
        <v>838</v>
      </c>
      <c r="Y1438">
        <v>1254.5</v>
      </c>
      <c r="Z1438">
        <v>1254.5</v>
      </c>
      <c r="AA1438" t="str">
        <f t="shared" si="405"/>
        <v>06/08/2016</v>
      </c>
    </row>
    <row r="1439" spans="1:27" x14ac:dyDescent="0.3">
      <c r="A1439" t="str">
        <f t="shared" si="401"/>
        <v>048314</v>
      </c>
      <c r="B1439" t="str">
        <f t="shared" si="396"/>
        <v>004796</v>
      </c>
      <c r="C1439" t="s">
        <v>1213</v>
      </c>
      <c r="D1439" t="s">
        <v>3839</v>
      </c>
      <c r="E1439" t="s">
        <v>3840</v>
      </c>
      <c r="F1439" t="s">
        <v>3841</v>
      </c>
      <c r="G1439" t="s">
        <v>3842</v>
      </c>
      <c r="H1439" t="str">
        <f t="shared" si="404"/>
        <v>048314</v>
      </c>
      <c r="I1439" t="s">
        <v>833</v>
      </c>
      <c r="J1439" t="str">
        <f t="shared" si="406"/>
        <v>2015-07-01 00:00:00.0</v>
      </c>
      <c r="K1439" t="s">
        <v>834</v>
      </c>
      <c r="L1439" t="s">
        <v>0</v>
      </c>
      <c r="M1439" t="str">
        <f t="shared" si="403"/>
        <v>048314</v>
      </c>
      <c r="N1439">
        <v>1</v>
      </c>
      <c r="O1439">
        <v>1</v>
      </c>
      <c r="P1439" t="str">
        <f>"12"</f>
        <v>12</v>
      </c>
      <c r="Q1439" t="s">
        <v>835</v>
      </c>
      <c r="S1439" t="s">
        <v>836</v>
      </c>
      <c r="T1439" t="s">
        <v>836</v>
      </c>
      <c r="U1439" t="str">
        <f t="shared" si="407"/>
        <v>2500-12-31 00:00:00.0</v>
      </c>
      <c r="V1439" t="s">
        <v>837</v>
      </c>
      <c r="W1439" t="str">
        <f>"048314-004796-12-SE"</f>
        <v>048314-004796-12-SE</v>
      </c>
      <c r="X1439" t="s">
        <v>838</v>
      </c>
      <c r="Y1439">
        <v>1254.5</v>
      </c>
      <c r="Z1439">
        <v>1254.5</v>
      </c>
      <c r="AA1439" t="str">
        <f t="shared" si="405"/>
        <v>06/08/2016</v>
      </c>
    </row>
    <row r="1440" spans="1:27" x14ac:dyDescent="0.3">
      <c r="A1440" t="str">
        <f t="shared" si="401"/>
        <v>048314</v>
      </c>
      <c r="B1440" t="str">
        <f t="shared" si="396"/>
        <v>004796</v>
      </c>
      <c r="C1440" t="s">
        <v>887</v>
      </c>
      <c r="D1440" t="s">
        <v>3839</v>
      </c>
      <c r="E1440" t="s">
        <v>3840</v>
      </c>
      <c r="F1440" t="s">
        <v>3841</v>
      </c>
      <c r="G1440" t="s">
        <v>3842</v>
      </c>
      <c r="H1440" t="str">
        <f t="shared" si="404"/>
        <v>048314</v>
      </c>
      <c r="I1440" t="s">
        <v>833</v>
      </c>
      <c r="J1440" t="str">
        <f t="shared" si="406"/>
        <v>2015-07-01 00:00:00.0</v>
      </c>
      <c r="K1440" t="s">
        <v>834</v>
      </c>
      <c r="L1440" t="s">
        <v>0</v>
      </c>
      <c r="M1440" t="str">
        <f t="shared" si="403"/>
        <v>048314</v>
      </c>
      <c r="N1440">
        <v>1</v>
      </c>
      <c r="O1440">
        <v>1</v>
      </c>
      <c r="P1440" t="str">
        <f>"11"</f>
        <v>11</v>
      </c>
      <c r="Q1440" t="str">
        <f>"12"</f>
        <v>12</v>
      </c>
      <c r="R1440" t="str">
        <f>"6"</f>
        <v>6</v>
      </c>
      <c r="S1440" t="s">
        <v>836</v>
      </c>
      <c r="T1440" t="s">
        <v>836</v>
      </c>
      <c r="U1440" t="str">
        <f t="shared" si="407"/>
        <v>2500-12-31 00:00:00.0</v>
      </c>
      <c r="V1440" t="s">
        <v>837</v>
      </c>
      <c r="W1440" t="str">
        <f>"048314-004796-**-**"</f>
        <v>048314-004796-**-**</v>
      </c>
      <c r="X1440" t="s">
        <v>838</v>
      </c>
      <c r="Y1440">
        <v>1254.5</v>
      </c>
      <c r="Z1440">
        <v>1254.5</v>
      </c>
      <c r="AA1440" t="str">
        <f t="shared" si="405"/>
        <v>06/08/2016</v>
      </c>
    </row>
    <row r="1441" spans="1:27" x14ac:dyDescent="0.3">
      <c r="A1441" t="str">
        <f t="shared" si="401"/>
        <v>048314</v>
      </c>
      <c r="B1441" t="str">
        <f t="shared" si="396"/>
        <v>004796</v>
      </c>
      <c r="C1441" t="s">
        <v>1449</v>
      </c>
      <c r="D1441" t="s">
        <v>3839</v>
      </c>
      <c r="E1441" t="s">
        <v>3840</v>
      </c>
      <c r="F1441" t="s">
        <v>3841</v>
      </c>
      <c r="G1441" t="s">
        <v>3842</v>
      </c>
      <c r="H1441" t="str">
        <f t="shared" si="404"/>
        <v>048314</v>
      </c>
      <c r="I1441" t="s">
        <v>833</v>
      </c>
      <c r="J1441" t="str">
        <f t="shared" si="406"/>
        <v>2015-07-01 00:00:00.0</v>
      </c>
      <c r="K1441" t="s">
        <v>834</v>
      </c>
      <c r="L1441" t="s">
        <v>0</v>
      </c>
      <c r="M1441" t="str">
        <f t="shared" si="403"/>
        <v>048314</v>
      </c>
      <c r="N1441">
        <v>1</v>
      </c>
      <c r="O1441">
        <v>1</v>
      </c>
      <c r="P1441" t="str">
        <f>"11"</f>
        <v>11</v>
      </c>
      <c r="Q1441" t="s">
        <v>835</v>
      </c>
      <c r="S1441" t="s">
        <v>836</v>
      </c>
      <c r="T1441" t="s">
        <v>836</v>
      </c>
      <c r="U1441" t="str">
        <f t="shared" si="407"/>
        <v>2500-12-31 00:00:00.0</v>
      </c>
      <c r="V1441" t="s">
        <v>837</v>
      </c>
      <c r="W1441" t="str">
        <f>"048314-004796-**-**"</f>
        <v>048314-004796-**-**</v>
      </c>
      <c r="X1441" t="s">
        <v>838</v>
      </c>
      <c r="Y1441">
        <v>1254.5</v>
      </c>
      <c r="Z1441">
        <v>1254.5</v>
      </c>
      <c r="AA1441" t="str">
        <f t="shared" si="405"/>
        <v>06/08/2016</v>
      </c>
    </row>
    <row r="1442" spans="1:27" x14ac:dyDescent="0.3">
      <c r="A1442" t="str">
        <f t="shared" si="401"/>
        <v>048314</v>
      </c>
      <c r="B1442" t="str">
        <f t="shared" si="396"/>
        <v>004796</v>
      </c>
      <c r="C1442" t="s">
        <v>1450</v>
      </c>
      <c r="D1442" t="s">
        <v>3839</v>
      </c>
      <c r="E1442" t="s">
        <v>3840</v>
      </c>
      <c r="F1442" t="s">
        <v>3841</v>
      </c>
      <c r="G1442" t="s">
        <v>3842</v>
      </c>
      <c r="H1442" t="str">
        <f t="shared" si="404"/>
        <v>048314</v>
      </c>
      <c r="I1442" t="s">
        <v>833</v>
      </c>
      <c r="J1442" t="str">
        <f t="shared" si="406"/>
        <v>2015-07-01 00:00:00.0</v>
      </c>
      <c r="K1442" t="s">
        <v>834</v>
      </c>
      <c r="L1442" t="s">
        <v>0</v>
      </c>
      <c r="M1442" t="str">
        <f t="shared" si="403"/>
        <v>048314</v>
      </c>
      <c r="N1442">
        <v>1</v>
      </c>
      <c r="O1442">
        <v>1</v>
      </c>
      <c r="P1442" t="str">
        <f>"11"</f>
        <v>11</v>
      </c>
      <c r="Q1442" t="s">
        <v>835</v>
      </c>
      <c r="S1442" t="s">
        <v>836</v>
      </c>
      <c r="T1442" t="s">
        <v>836</v>
      </c>
      <c r="U1442" t="str">
        <f t="shared" si="407"/>
        <v>2500-12-31 00:00:00.0</v>
      </c>
      <c r="V1442" t="s">
        <v>837</v>
      </c>
      <c r="W1442" t="str">
        <f>"048314-004796-**-**"</f>
        <v>048314-004796-**-**</v>
      </c>
      <c r="X1442" t="s">
        <v>838</v>
      </c>
      <c r="Y1442">
        <v>1254.5</v>
      </c>
      <c r="Z1442">
        <v>1254.5</v>
      </c>
      <c r="AA1442" t="str">
        <f t="shared" si="405"/>
        <v>06/08/2016</v>
      </c>
    </row>
    <row r="1443" spans="1:27" x14ac:dyDescent="0.3">
      <c r="A1443" t="str">
        <f t="shared" si="401"/>
        <v>048314</v>
      </c>
      <c r="B1443" t="str">
        <f t="shared" si="396"/>
        <v>004796</v>
      </c>
      <c r="C1443" t="s">
        <v>1736</v>
      </c>
      <c r="D1443" t="s">
        <v>3839</v>
      </c>
      <c r="E1443" t="s">
        <v>3840</v>
      </c>
      <c r="F1443" t="s">
        <v>3841</v>
      </c>
      <c r="G1443" t="s">
        <v>3842</v>
      </c>
      <c r="H1443" t="str">
        <f t="shared" si="404"/>
        <v>048314</v>
      </c>
      <c r="I1443" t="s">
        <v>833</v>
      </c>
      <c r="J1443" t="str">
        <f t="shared" si="406"/>
        <v>2015-07-01 00:00:00.0</v>
      </c>
      <c r="K1443" t="s">
        <v>834</v>
      </c>
      <c r="L1443" t="s">
        <v>0</v>
      </c>
      <c r="M1443" t="str">
        <f t="shared" si="403"/>
        <v>048314</v>
      </c>
      <c r="N1443">
        <v>1</v>
      </c>
      <c r="O1443">
        <v>1</v>
      </c>
      <c r="P1443" t="str">
        <f>"11"</f>
        <v>11</v>
      </c>
      <c r="Q1443" t="s">
        <v>835</v>
      </c>
      <c r="S1443" t="s">
        <v>836</v>
      </c>
      <c r="T1443" t="s">
        <v>836</v>
      </c>
      <c r="U1443" t="str">
        <f t="shared" si="407"/>
        <v>2500-12-31 00:00:00.0</v>
      </c>
      <c r="V1443" t="s">
        <v>837</v>
      </c>
      <c r="W1443" t="str">
        <f>"048314-004796-**-**"</f>
        <v>048314-004796-**-**</v>
      </c>
      <c r="X1443" t="s">
        <v>838</v>
      </c>
      <c r="Y1443">
        <v>1254.5</v>
      </c>
      <c r="Z1443">
        <v>1254.5</v>
      </c>
      <c r="AA1443" t="str">
        <f t="shared" si="405"/>
        <v>06/08/2016</v>
      </c>
    </row>
    <row r="1444" spans="1:27" x14ac:dyDescent="0.3">
      <c r="A1444" t="str">
        <f t="shared" si="401"/>
        <v>048314</v>
      </c>
      <c r="B1444" t="str">
        <f t="shared" ref="B1444:B1507" si="408">"038430"</f>
        <v>038430</v>
      </c>
      <c r="C1444" t="s">
        <v>3515</v>
      </c>
      <c r="D1444" t="s">
        <v>3839</v>
      </c>
      <c r="E1444" t="s">
        <v>3840</v>
      </c>
      <c r="F1444" t="s">
        <v>3841</v>
      </c>
      <c r="G1444" t="s">
        <v>3842</v>
      </c>
      <c r="H1444" t="str">
        <f t="shared" si="404"/>
        <v>048314</v>
      </c>
      <c r="I1444" t="s">
        <v>833</v>
      </c>
      <c r="J1444" t="str">
        <f t="shared" si="406"/>
        <v>2015-07-01 00:00:00.0</v>
      </c>
      <c r="K1444" t="s">
        <v>834</v>
      </c>
      <c r="L1444" t="s">
        <v>0</v>
      </c>
      <c r="M1444" t="str">
        <f t="shared" si="403"/>
        <v>048314</v>
      </c>
      <c r="N1444">
        <v>1</v>
      </c>
      <c r="O1444">
        <v>1</v>
      </c>
      <c r="P1444" t="str">
        <f>"03"</f>
        <v>03</v>
      </c>
      <c r="Q1444" t="s">
        <v>835</v>
      </c>
      <c r="S1444" t="s">
        <v>836</v>
      </c>
      <c r="T1444" t="s">
        <v>836</v>
      </c>
      <c r="U1444" t="str">
        <f t="shared" si="407"/>
        <v>2500-12-31 00:00:00.0</v>
      </c>
      <c r="V1444" t="s">
        <v>837</v>
      </c>
      <c r="W1444" t="str">
        <f>"048314-038430-**-**"</f>
        <v>048314-038430-**-**</v>
      </c>
      <c r="X1444" t="s">
        <v>838</v>
      </c>
      <c r="Y1444">
        <v>1206.25</v>
      </c>
      <c r="Z1444">
        <v>1206.25</v>
      </c>
      <c r="AA1444" t="str">
        <f t="shared" si="405"/>
        <v>06/08/2016</v>
      </c>
    </row>
    <row r="1445" spans="1:27" x14ac:dyDescent="0.3">
      <c r="A1445" t="str">
        <f t="shared" si="401"/>
        <v>048314</v>
      </c>
      <c r="B1445" t="str">
        <f t="shared" si="408"/>
        <v>038430</v>
      </c>
      <c r="C1445" t="s">
        <v>1023</v>
      </c>
      <c r="D1445" t="s">
        <v>3839</v>
      </c>
      <c r="E1445" t="s">
        <v>3840</v>
      </c>
      <c r="F1445" t="s">
        <v>3841</v>
      </c>
      <c r="G1445" t="s">
        <v>3842</v>
      </c>
      <c r="H1445" t="str">
        <f>"048363"</f>
        <v>048363</v>
      </c>
      <c r="I1445" t="s">
        <v>833</v>
      </c>
      <c r="J1445" t="str">
        <f>"2015-07-20 00:00:00.0"</f>
        <v>2015-07-20 00:00:00.0</v>
      </c>
      <c r="K1445" t="s">
        <v>834</v>
      </c>
      <c r="L1445" t="s">
        <v>1</v>
      </c>
      <c r="M1445" t="str">
        <f t="shared" si="403"/>
        <v>048314</v>
      </c>
      <c r="N1445">
        <v>1</v>
      </c>
      <c r="O1445">
        <v>1</v>
      </c>
      <c r="P1445" t="str">
        <f>"01"</f>
        <v>01</v>
      </c>
      <c r="Q1445" t="s">
        <v>835</v>
      </c>
      <c r="S1445" t="s">
        <v>860</v>
      </c>
      <c r="T1445" t="s">
        <v>836</v>
      </c>
      <c r="U1445" t="str">
        <f t="shared" si="407"/>
        <v>2500-12-31 00:00:00.0</v>
      </c>
      <c r="V1445" t="s">
        <v>837</v>
      </c>
      <c r="W1445" t="str">
        <f>"048363-026211-**-**"</f>
        <v>048363-026211-**-**</v>
      </c>
      <c r="X1445" t="s">
        <v>838</v>
      </c>
      <c r="Y1445">
        <v>1127</v>
      </c>
      <c r="Z1445">
        <v>1127</v>
      </c>
      <c r="AA1445" t="str">
        <f>"06/15/2016"</f>
        <v>06/15/2016</v>
      </c>
    </row>
    <row r="1446" spans="1:27" x14ac:dyDescent="0.3">
      <c r="A1446" t="str">
        <f t="shared" si="401"/>
        <v>048314</v>
      </c>
      <c r="B1446" t="str">
        <f t="shared" si="408"/>
        <v>038430</v>
      </c>
      <c r="C1446" t="s">
        <v>1508</v>
      </c>
      <c r="D1446" t="s">
        <v>3839</v>
      </c>
      <c r="E1446" t="s">
        <v>3840</v>
      </c>
      <c r="F1446" t="s">
        <v>3841</v>
      </c>
      <c r="G1446" t="s">
        <v>3842</v>
      </c>
      <c r="H1446" t="str">
        <f t="shared" ref="H1446:H1472" si="409">"048314"</f>
        <v>048314</v>
      </c>
      <c r="I1446" t="s">
        <v>833</v>
      </c>
      <c r="J1446" t="str">
        <f>"2015-07-01 00:00:00.0"</f>
        <v>2015-07-01 00:00:00.0</v>
      </c>
      <c r="K1446" t="s">
        <v>834</v>
      </c>
      <c r="L1446" t="s">
        <v>0</v>
      </c>
      <c r="M1446" t="str">
        <f t="shared" si="403"/>
        <v>048314</v>
      </c>
      <c r="N1446">
        <v>1</v>
      </c>
      <c r="O1446">
        <v>1</v>
      </c>
      <c r="P1446" t="str">
        <f>"02"</f>
        <v>02</v>
      </c>
      <c r="Q1446" t="s">
        <v>835</v>
      </c>
      <c r="S1446" t="s">
        <v>836</v>
      </c>
      <c r="T1446" t="s">
        <v>836</v>
      </c>
      <c r="U1446" t="str">
        <f t="shared" si="407"/>
        <v>2500-12-31 00:00:00.0</v>
      </c>
      <c r="V1446" t="s">
        <v>837</v>
      </c>
      <c r="W1446" t="str">
        <f>"048314-038430-**-**"</f>
        <v>048314-038430-**-**</v>
      </c>
      <c r="X1446" t="s">
        <v>838</v>
      </c>
      <c r="Y1446">
        <v>1206.25</v>
      </c>
      <c r="Z1446">
        <v>1206.25</v>
      </c>
      <c r="AA1446" t="str">
        <f t="shared" ref="AA1446:AA1472" si="410">"06/08/2016"</f>
        <v>06/08/2016</v>
      </c>
    </row>
    <row r="1447" spans="1:27" x14ac:dyDescent="0.3">
      <c r="A1447" t="str">
        <f t="shared" si="401"/>
        <v>048314</v>
      </c>
      <c r="B1447" t="str">
        <f t="shared" si="408"/>
        <v>038430</v>
      </c>
      <c r="C1447" t="s">
        <v>2799</v>
      </c>
      <c r="D1447" t="s">
        <v>3839</v>
      </c>
      <c r="E1447" t="s">
        <v>3840</v>
      </c>
      <c r="F1447" t="s">
        <v>3841</v>
      </c>
      <c r="G1447" t="s">
        <v>3842</v>
      </c>
      <c r="H1447" t="str">
        <f t="shared" si="409"/>
        <v>048314</v>
      </c>
      <c r="I1447" t="s">
        <v>833</v>
      </c>
      <c r="J1447" t="str">
        <f>"2015-07-01 00:00:00.0"</f>
        <v>2015-07-01 00:00:00.0</v>
      </c>
      <c r="K1447" t="s">
        <v>834</v>
      </c>
      <c r="L1447" t="s">
        <v>0</v>
      </c>
      <c r="M1447" t="str">
        <f t="shared" si="403"/>
        <v>048314</v>
      </c>
      <c r="N1447">
        <v>1</v>
      </c>
      <c r="O1447">
        <v>1</v>
      </c>
      <c r="P1447" t="str">
        <f>"05"</f>
        <v>05</v>
      </c>
      <c r="Q1447" t="s">
        <v>835</v>
      </c>
      <c r="S1447" t="s">
        <v>836</v>
      </c>
      <c r="T1447" t="s">
        <v>836</v>
      </c>
      <c r="U1447" t="str">
        <f t="shared" si="407"/>
        <v>2500-12-31 00:00:00.0</v>
      </c>
      <c r="V1447" t="s">
        <v>837</v>
      </c>
      <c r="W1447" t="str">
        <f>"048314-070417-**-**"</f>
        <v>048314-070417-**-**</v>
      </c>
      <c r="X1447" t="s">
        <v>838</v>
      </c>
      <c r="Y1447">
        <v>1125</v>
      </c>
      <c r="Z1447">
        <v>1125</v>
      </c>
      <c r="AA1447" t="str">
        <f t="shared" si="410"/>
        <v>06/08/2016</v>
      </c>
    </row>
    <row r="1448" spans="1:27" x14ac:dyDescent="0.3">
      <c r="A1448" t="str">
        <f t="shared" si="401"/>
        <v>048314</v>
      </c>
      <c r="B1448" t="str">
        <f t="shared" si="408"/>
        <v>038430</v>
      </c>
      <c r="C1448" t="s">
        <v>3710</v>
      </c>
      <c r="D1448" t="s">
        <v>3839</v>
      </c>
      <c r="E1448" t="s">
        <v>3840</v>
      </c>
      <c r="F1448" t="s">
        <v>3841</v>
      </c>
      <c r="G1448" t="s">
        <v>3842</v>
      </c>
      <c r="H1448" t="str">
        <f t="shared" si="409"/>
        <v>048314</v>
      </c>
      <c r="I1448" t="s">
        <v>833</v>
      </c>
      <c r="J1448" t="str">
        <f>"2015-08-31 00:00:00.0"</f>
        <v>2015-08-31 00:00:00.0</v>
      </c>
      <c r="K1448" t="s">
        <v>834</v>
      </c>
      <c r="L1448" t="s">
        <v>0</v>
      </c>
      <c r="M1448" t="str">
        <f t="shared" si="403"/>
        <v>048314</v>
      </c>
      <c r="N1448">
        <v>1</v>
      </c>
      <c r="O1448">
        <v>1</v>
      </c>
      <c r="P1448" t="str">
        <f>"03"</f>
        <v>03</v>
      </c>
      <c r="Q1448" t="s">
        <v>835</v>
      </c>
      <c r="S1448" t="s">
        <v>836</v>
      </c>
      <c r="T1448" t="s">
        <v>836</v>
      </c>
      <c r="U1448" t="str">
        <f t="shared" si="407"/>
        <v>2500-12-31 00:00:00.0</v>
      </c>
      <c r="V1448" t="s">
        <v>837</v>
      </c>
      <c r="W1448" t="str">
        <f>"048314-038430-**-**"</f>
        <v>048314-038430-**-**</v>
      </c>
      <c r="X1448" t="s">
        <v>838</v>
      </c>
      <c r="Y1448">
        <v>1206.25</v>
      </c>
      <c r="Z1448">
        <v>1206.25</v>
      </c>
      <c r="AA1448" t="str">
        <f t="shared" si="410"/>
        <v>06/08/2016</v>
      </c>
    </row>
    <row r="1449" spans="1:27" x14ac:dyDescent="0.3">
      <c r="A1449" t="str">
        <f t="shared" si="401"/>
        <v>048314</v>
      </c>
      <c r="B1449" t="str">
        <f t="shared" si="408"/>
        <v>038430</v>
      </c>
      <c r="C1449" t="s">
        <v>2976</v>
      </c>
      <c r="D1449" t="s">
        <v>3839</v>
      </c>
      <c r="E1449" t="s">
        <v>3840</v>
      </c>
      <c r="F1449" t="s">
        <v>3841</v>
      </c>
      <c r="G1449" t="s">
        <v>3842</v>
      </c>
      <c r="H1449" t="str">
        <f t="shared" si="409"/>
        <v>048314</v>
      </c>
      <c r="I1449" t="s">
        <v>833</v>
      </c>
      <c r="J1449" t="str">
        <f t="shared" ref="J1449:J1456" si="411">"2015-07-01 00:00:00.0"</f>
        <v>2015-07-01 00:00:00.0</v>
      </c>
      <c r="K1449" t="s">
        <v>834</v>
      </c>
      <c r="L1449" t="s">
        <v>0</v>
      </c>
      <c r="M1449" t="str">
        <f t="shared" si="403"/>
        <v>048314</v>
      </c>
      <c r="N1449">
        <v>1</v>
      </c>
      <c r="O1449">
        <v>1</v>
      </c>
      <c r="P1449" t="str">
        <f>"02"</f>
        <v>02</v>
      </c>
      <c r="Q1449" t="s">
        <v>835</v>
      </c>
      <c r="S1449" t="s">
        <v>836</v>
      </c>
      <c r="T1449" t="s">
        <v>836</v>
      </c>
      <c r="U1449" t="str">
        <f t="shared" si="407"/>
        <v>2500-12-31 00:00:00.0</v>
      </c>
      <c r="V1449" t="s">
        <v>837</v>
      </c>
      <c r="W1449" t="str">
        <f>"048314-038430-**-**"</f>
        <v>048314-038430-**-**</v>
      </c>
      <c r="X1449" t="s">
        <v>838</v>
      </c>
      <c r="Y1449">
        <v>1206.25</v>
      </c>
      <c r="Z1449">
        <v>1206.25</v>
      </c>
      <c r="AA1449" t="str">
        <f t="shared" si="410"/>
        <v>06/08/2016</v>
      </c>
    </row>
    <row r="1450" spans="1:27" x14ac:dyDescent="0.3">
      <c r="A1450" t="str">
        <f t="shared" si="401"/>
        <v>048314</v>
      </c>
      <c r="B1450" t="str">
        <f t="shared" si="408"/>
        <v>038430</v>
      </c>
      <c r="C1450" t="s">
        <v>3562</v>
      </c>
      <c r="D1450" t="s">
        <v>3839</v>
      </c>
      <c r="E1450" t="s">
        <v>3840</v>
      </c>
      <c r="F1450" t="s">
        <v>3841</v>
      </c>
      <c r="G1450" t="s">
        <v>3842</v>
      </c>
      <c r="H1450" t="str">
        <f t="shared" si="409"/>
        <v>048314</v>
      </c>
      <c r="I1450" t="s">
        <v>833</v>
      </c>
      <c r="J1450" t="str">
        <f t="shared" si="411"/>
        <v>2015-07-01 00:00:00.0</v>
      </c>
      <c r="K1450" t="s">
        <v>834</v>
      </c>
      <c r="L1450" t="s">
        <v>0</v>
      </c>
      <c r="M1450" t="str">
        <f t="shared" si="403"/>
        <v>048314</v>
      </c>
      <c r="N1450">
        <v>1</v>
      </c>
      <c r="O1450">
        <v>1</v>
      </c>
      <c r="P1450" t="str">
        <f>"03"</f>
        <v>03</v>
      </c>
      <c r="Q1450" t="s">
        <v>835</v>
      </c>
      <c r="S1450" t="s">
        <v>836</v>
      </c>
      <c r="T1450" t="s">
        <v>836</v>
      </c>
      <c r="U1450" t="str">
        <f t="shared" si="407"/>
        <v>2500-12-31 00:00:00.0</v>
      </c>
      <c r="V1450" t="s">
        <v>837</v>
      </c>
      <c r="W1450" t="str">
        <f>"048314-038430-**-**"</f>
        <v>048314-038430-**-**</v>
      </c>
      <c r="X1450" t="s">
        <v>838</v>
      </c>
      <c r="Y1450">
        <v>1206.25</v>
      </c>
      <c r="Z1450">
        <v>1206.25</v>
      </c>
      <c r="AA1450" t="str">
        <f t="shared" si="410"/>
        <v>06/08/2016</v>
      </c>
    </row>
    <row r="1451" spans="1:27" x14ac:dyDescent="0.3">
      <c r="A1451" t="str">
        <f t="shared" si="401"/>
        <v>048314</v>
      </c>
      <c r="B1451" t="str">
        <f t="shared" si="408"/>
        <v>038430</v>
      </c>
      <c r="C1451" t="s">
        <v>3510</v>
      </c>
      <c r="D1451" t="s">
        <v>3839</v>
      </c>
      <c r="E1451" t="s">
        <v>3840</v>
      </c>
      <c r="F1451" t="s">
        <v>3841</v>
      </c>
      <c r="G1451" t="s">
        <v>3842</v>
      </c>
      <c r="H1451" t="str">
        <f t="shared" si="409"/>
        <v>048314</v>
      </c>
      <c r="I1451" t="s">
        <v>833</v>
      </c>
      <c r="J1451" t="str">
        <f t="shared" si="411"/>
        <v>2015-07-01 00:00:00.0</v>
      </c>
      <c r="K1451" t="s">
        <v>834</v>
      </c>
      <c r="L1451" t="s">
        <v>0</v>
      </c>
      <c r="M1451" t="str">
        <f t="shared" si="403"/>
        <v>048314</v>
      </c>
      <c r="N1451">
        <v>1</v>
      </c>
      <c r="O1451">
        <v>1</v>
      </c>
      <c r="P1451" t="str">
        <f>"03"</f>
        <v>03</v>
      </c>
      <c r="Q1451" t="s">
        <v>835</v>
      </c>
      <c r="S1451" t="s">
        <v>836</v>
      </c>
      <c r="T1451" t="s">
        <v>836</v>
      </c>
      <c r="U1451" t="str">
        <f t="shared" si="407"/>
        <v>2500-12-31 00:00:00.0</v>
      </c>
      <c r="V1451" t="s">
        <v>837</v>
      </c>
      <c r="W1451" t="str">
        <f>"048314-038430-**-**"</f>
        <v>048314-038430-**-**</v>
      </c>
      <c r="X1451" t="s">
        <v>838</v>
      </c>
      <c r="Y1451">
        <v>1206.25</v>
      </c>
      <c r="Z1451">
        <v>1206.25</v>
      </c>
      <c r="AA1451" t="str">
        <f t="shared" si="410"/>
        <v>06/08/2016</v>
      </c>
    </row>
    <row r="1452" spans="1:27" x14ac:dyDescent="0.3">
      <c r="A1452" t="str">
        <f t="shared" si="401"/>
        <v>048314</v>
      </c>
      <c r="B1452" t="str">
        <f t="shared" si="408"/>
        <v>038430</v>
      </c>
      <c r="C1452" t="s">
        <v>2817</v>
      </c>
      <c r="D1452" t="s">
        <v>3839</v>
      </c>
      <c r="E1452" t="s">
        <v>3840</v>
      </c>
      <c r="F1452" t="s">
        <v>3841</v>
      </c>
      <c r="G1452" t="s">
        <v>3842</v>
      </c>
      <c r="H1452" t="str">
        <f t="shared" si="409"/>
        <v>048314</v>
      </c>
      <c r="I1452" t="s">
        <v>833</v>
      </c>
      <c r="J1452" t="str">
        <f t="shared" si="411"/>
        <v>2015-07-01 00:00:00.0</v>
      </c>
      <c r="K1452" t="s">
        <v>834</v>
      </c>
      <c r="L1452" t="s">
        <v>0</v>
      </c>
      <c r="M1452" t="str">
        <f t="shared" si="403"/>
        <v>048314</v>
      </c>
      <c r="N1452">
        <v>1</v>
      </c>
      <c r="O1452">
        <v>1</v>
      </c>
      <c r="P1452" t="str">
        <f>"05"</f>
        <v>05</v>
      </c>
      <c r="Q1452" t="s">
        <v>835</v>
      </c>
      <c r="S1452" t="s">
        <v>836</v>
      </c>
      <c r="T1452" t="s">
        <v>836</v>
      </c>
      <c r="U1452" t="str">
        <f t="shared" si="407"/>
        <v>2500-12-31 00:00:00.0</v>
      </c>
      <c r="V1452" t="s">
        <v>837</v>
      </c>
      <c r="W1452" t="str">
        <f>"048314-070417-**-**"</f>
        <v>048314-070417-**-**</v>
      </c>
      <c r="X1452" t="s">
        <v>838</v>
      </c>
      <c r="Y1452">
        <v>1125</v>
      </c>
      <c r="Z1452">
        <v>1125</v>
      </c>
      <c r="AA1452" t="str">
        <f t="shared" si="410"/>
        <v>06/08/2016</v>
      </c>
    </row>
    <row r="1453" spans="1:27" x14ac:dyDescent="0.3">
      <c r="A1453" t="str">
        <f t="shared" si="401"/>
        <v>048314</v>
      </c>
      <c r="B1453" t="str">
        <f t="shared" si="408"/>
        <v>038430</v>
      </c>
      <c r="C1453" t="s">
        <v>1214</v>
      </c>
      <c r="D1453" t="s">
        <v>3839</v>
      </c>
      <c r="E1453" t="s">
        <v>3840</v>
      </c>
      <c r="F1453" t="s">
        <v>3841</v>
      </c>
      <c r="G1453" t="s">
        <v>3842</v>
      </c>
      <c r="H1453" t="str">
        <f t="shared" si="409"/>
        <v>048314</v>
      </c>
      <c r="I1453" t="s">
        <v>833</v>
      </c>
      <c r="J1453" t="str">
        <f t="shared" si="411"/>
        <v>2015-07-01 00:00:00.0</v>
      </c>
      <c r="K1453" t="s">
        <v>834</v>
      </c>
      <c r="L1453" t="s">
        <v>0</v>
      </c>
      <c r="M1453" t="str">
        <f t="shared" si="403"/>
        <v>048314</v>
      </c>
      <c r="N1453">
        <v>1</v>
      </c>
      <c r="O1453">
        <v>1</v>
      </c>
      <c r="P1453" t="str">
        <f>"02"</f>
        <v>02</v>
      </c>
      <c r="Q1453" t="s">
        <v>835</v>
      </c>
      <c r="S1453" t="s">
        <v>836</v>
      </c>
      <c r="T1453" t="s">
        <v>836</v>
      </c>
      <c r="U1453" t="str">
        <f t="shared" si="407"/>
        <v>2500-12-31 00:00:00.0</v>
      </c>
      <c r="V1453" t="s">
        <v>837</v>
      </c>
      <c r="W1453" t="str">
        <f t="shared" ref="W1453:W1460" si="412">"048314-038430-**-**"</f>
        <v>048314-038430-**-**</v>
      </c>
      <c r="X1453" t="s">
        <v>838</v>
      </c>
      <c r="Y1453">
        <v>1206.25</v>
      </c>
      <c r="Z1453">
        <v>1206.25</v>
      </c>
      <c r="AA1453" t="str">
        <f t="shared" si="410"/>
        <v>06/08/2016</v>
      </c>
    </row>
    <row r="1454" spans="1:27" x14ac:dyDescent="0.3">
      <c r="A1454" t="str">
        <f t="shared" si="401"/>
        <v>048314</v>
      </c>
      <c r="B1454" t="str">
        <f t="shared" si="408"/>
        <v>038430</v>
      </c>
      <c r="C1454" t="s">
        <v>2540</v>
      </c>
      <c r="D1454" t="s">
        <v>3839</v>
      </c>
      <c r="E1454" t="s">
        <v>3840</v>
      </c>
      <c r="F1454" t="s">
        <v>3841</v>
      </c>
      <c r="G1454" t="s">
        <v>3842</v>
      </c>
      <c r="H1454" t="str">
        <f t="shared" si="409"/>
        <v>048314</v>
      </c>
      <c r="I1454" t="s">
        <v>833</v>
      </c>
      <c r="J1454" t="str">
        <f t="shared" si="411"/>
        <v>2015-07-01 00:00:00.0</v>
      </c>
      <c r="K1454" t="s">
        <v>834</v>
      </c>
      <c r="L1454" t="s">
        <v>0</v>
      </c>
      <c r="M1454" t="str">
        <f t="shared" si="403"/>
        <v>048314</v>
      </c>
      <c r="N1454">
        <v>1</v>
      </c>
      <c r="O1454">
        <v>1</v>
      </c>
      <c r="P1454" t="str">
        <f>"02"</f>
        <v>02</v>
      </c>
      <c r="Q1454" t="s">
        <v>835</v>
      </c>
      <c r="S1454" t="s">
        <v>836</v>
      </c>
      <c r="T1454" t="s">
        <v>836</v>
      </c>
      <c r="U1454" t="str">
        <f t="shared" si="407"/>
        <v>2500-12-31 00:00:00.0</v>
      </c>
      <c r="V1454" t="s">
        <v>837</v>
      </c>
      <c r="W1454" t="str">
        <f t="shared" si="412"/>
        <v>048314-038430-**-**</v>
      </c>
      <c r="X1454" t="s">
        <v>838</v>
      </c>
      <c r="Y1454">
        <v>1206.25</v>
      </c>
      <c r="Z1454">
        <v>1206.25</v>
      </c>
      <c r="AA1454" t="str">
        <f t="shared" si="410"/>
        <v>06/08/2016</v>
      </c>
    </row>
    <row r="1455" spans="1:27" x14ac:dyDescent="0.3">
      <c r="A1455" t="str">
        <f t="shared" si="401"/>
        <v>048314</v>
      </c>
      <c r="B1455" t="str">
        <f t="shared" si="408"/>
        <v>038430</v>
      </c>
      <c r="C1455" t="s">
        <v>3363</v>
      </c>
      <c r="D1455" t="s">
        <v>3839</v>
      </c>
      <c r="E1455" t="s">
        <v>3840</v>
      </c>
      <c r="F1455" t="s">
        <v>3841</v>
      </c>
      <c r="G1455" t="s">
        <v>3842</v>
      </c>
      <c r="H1455" t="str">
        <f t="shared" si="409"/>
        <v>048314</v>
      </c>
      <c r="I1455" t="s">
        <v>833</v>
      </c>
      <c r="J1455" t="str">
        <f t="shared" si="411"/>
        <v>2015-07-01 00:00:00.0</v>
      </c>
      <c r="K1455" t="s">
        <v>834</v>
      </c>
      <c r="L1455" t="s">
        <v>0</v>
      </c>
      <c r="M1455" t="str">
        <f t="shared" si="403"/>
        <v>048314</v>
      </c>
      <c r="N1455">
        <v>1</v>
      </c>
      <c r="O1455">
        <v>1</v>
      </c>
      <c r="P1455" t="str">
        <f>"04"</f>
        <v>04</v>
      </c>
      <c r="Q1455" t="s">
        <v>835</v>
      </c>
      <c r="S1455" t="s">
        <v>836</v>
      </c>
      <c r="T1455" t="s">
        <v>836</v>
      </c>
      <c r="U1455" t="str">
        <f t="shared" si="407"/>
        <v>2500-12-31 00:00:00.0</v>
      </c>
      <c r="V1455" t="s">
        <v>837</v>
      </c>
      <c r="W1455" t="str">
        <f t="shared" si="412"/>
        <v>048314-038430-**-**</v>
      </c>
      <c r="X1455" t="s">
        <v>838</v>
      </c>
      <c r="Y1455">
        <v>1206.25</v>
      </c>
      <c r="Z1455">
        <v>1206.25</v>
      </c>
      <c r="AA1455" t="str">
        <f t="shared" si="410"/>
        <v>06/08/2016</v>
      </c>
    </row>
    <row r="1456" spans="1:27" x14ac:dyDescent="0.3">
      <c r="A1456" t="str">
        <f t="shared" si="401"/>
        <v>048314</v>
      </c>
      <c r="B1456" t="str">
        <f t="shared" si="408"/>
        <v>038430</v>
      </c>
      <c r="C1456" t="s">
        <v>3157</v>
      </c>
      <c r="D1456" t="s">
        <v>3839</v>
      </c>
      <c r="E1456" t="s">
        <v>3840</v>
      </c>
      <c r="F1456" t="s">
        <v>3841</v>
      </c>
      <c r="G1456" t="s">
        <v>3842</v>
      </c>
      <c r="H1456" t="str">
        <f t="shared" si="409"/>
        <v>048314</v>
      </c>
      <c r="I1456" t="s">
        <v>833</v>
      </c>
      <c r="J1456" t="str">
        <f t="shared" si="411"/>
        <v>2015-07-01 00:00:00.0</v>
      </c>
      <c r="K1456" t="s">
        <v>834</v>
      </c>
      <c r="L1456" t="s">
        <v>0</v>
      </c>
      <c r="M1456" t="str">
        <f t="shared" si="403"/>
        <v>048314</v>
      </c>
      <c r="N1456">
        <v>1</v>
      </c>
      <c r="O1456">
        <v>1</v>
      </c>
      <c r="P1456" t="str">
        <f>"03"</f>
        <v>03</v>
      </c>
      <c r="Q1456" t="s">
        <v>835</v>
      </c>
      <c r="S1456" t="s">
        <v>836</v>
      </c>
      <c r="T1456" t="s">
        <v>836</v>
      </c>
      <c r="U1456" t="str">
        <f t="shared" si="407"/>
        <v>2500-12-31 00:00:00.0</v>
      </c>
      <c r="V1456" t="s">
        <v>837</v>
      </c>
      <c r="W1456" t="str">
        <f t="shared" si="412"/>
        <v>048314-038430-**-**</v>
      </c>
      <c r="X1456" t="s">
        <v>838</v>
      </c>
      <c r="Y1456">
        <v>1206.25</v>
      </c>
      <c r="Z1456">
        <v>1206.25</v>
      </c>
      <c r="AA1456" t="str">
        <f t="shared" si="410"/>
        <v>06/08/2016</v>
      </c>
    </row>
    <row r="1457" spans="1:27" x14ac:dyDescent="0.3">
      <c r="A1457" t="str">
        <f t="shared" si="401"/>
        <v>048314</v>
      </c>
      <c r="B1457" t="str">
        <f t="shared" si="408"/>
        <v>038430</v>
      </c>
      <c r="C1457" t="s">
        <v>980</v>
      </c>
      <c r="D1457" t="s">
        <v>3839</v>
      </c>
      <c r="E1457" t="s">
        <v>3840</v>
      </c>
      <c r="F1457" t="s">
        <v>3841</v>
      </c>
      <c r="G1457" t="s">
        <v>3842</v>
      </c>
      <c r="H1457" t="str">
        <f t="shared" si="409"/>
        <v>048314</v>
      </c>
      <c r="I1457" t="s">
        <v>833</v>
      </c>
      <c r="J1457" t="str">
        <f>"2015-08-01 00:00:00.0"</f>
        <v>2015-08-01 00:00:00.0</v>
      </c>
      <c r="K1457" t="s">
        <v>834</v>
      </c>
      <c r="L1457" t="s">
        <v>0</v>
      </c>
      <c r="M1457" t="str">
        <f t="shared" si="403"/>
        <v>048314</v>
      </c>
      <c r="N1457">
        <v>1</v>
      </c>
      <c r="O1457">
        <v>1</v>
      </c>
      <c r="P1457" t="s">
        <v>764</v>
      </c>
      <c r="Q1457" t="s">
        <v>835</v>
      </c>
      <c r="S1457" t="s">
        <v>836</v>
      </c>
      <c r="T1457" t="s">
        <v>836</v>
      </c>
      <c r="U1457" t="str">
        <f t="shared" si="407"/>
        <v>2500-12-31 00:00:00.0</v>
      </c>
      <c r="V1457" t="s">
        <v>837</v>
      </c>
      <c r="W1457" t="str">
        <f t="shared" si="412"/>
        <v>048314-038430-**-**</v>
      </c>
      <c r="X1457" t="s">
        <v>838</v>
      </c>
      <c r="Y1457">
        <v>1206.25</v>
      </c>
      <c r="Z1457">
        <v>1206.25</v>
      </c>
      <c r="AA1457" t="str">
        <f t="shared" si="410"/>
        <v>06/08/2016</v>
      </c>
    </row>
    <row r="1458" spans="1:27" x14ac:dyDescent="0.3">
      <c r="A1458" t="str">
        <f t="shared" si="401"/>
        <v>048314</v>
      </c>
      <c r="B1458" t="str">
        <f t="shared" si="408"/>
        <v>038430</v>
      </c>
      <c r="C1458" t="s">
        <v>997</v>
      </c>
      <c r="D1458" t="s">
        <v>3839</v>
      </c>
      <c r="E1458" t="s">
        <v>3840</v>
      </c>
      <c r="F1458" t="s">
        <v>3841</v>
      </c>
      <c r="G1458" t="s">
        <v>3842</v>
      </c>
      <c r="H1458" t="str">
        <f t="shared" si="409"/>
        <v>048314</v>
      </c>
      <c r="I1458" t="s">
        <v>833</v>
      </c>
      <c r="J1458" t="str">
        <f>"2015-07-01 00:00:00.0"</f>
        <v>2015-07-01 00:00:00.0</v>
      </c>
      <c r="K1458" t="s">
        <v>834</v>
      </c>
      <c r="L1458" t="s">
        <v>0</v>
      </c>
      <c r="M1458" t="str">
        <f t="shared" si="403"/>
        <v>048314</v>
      </c>
      <c r="N1458">
        <v>1</v>
      </c>
      <c r="O1458">
        <v>1</v>
      </c>
      <c r="P1458" t="str">
        <f>"02"</f>
        <v>02</v>
      </c>
      <c r="Q1458" t="s">
        <v>835</v>
      </c>
      <c r="S1458" t="s">
        <v>836</v>
      </c>
      <c r="T1458" t="s">
        <v>836</v>
      </c>
      <c r="U1458" t="str">
        <f t="shared" si="407"/>
        <v>2500-12-31 00:00:00.0</v>
      </c>
      <c r="V1458" t="s">
        <v>837</v>
      </c>
      <c r="W1458" t="str">
        <f t="shared" si="412"/>
        <v>048314-038430-**-**</v>
      </c>
      <c r="X1458" t="s">
        <v>838</v>
      </c>
      <c r="Y1458">
        <v>1206.25</v>
      </c>
      <c r="Z1458">
        <v>1206.25</v>
      </c>
      <c r="AA1458" t="str">
        <f t="shared" si="410"/>
        <v>06/08/2016</v>
      </c>
    </row>
    <row r="1459" spans="1:27" x14ac:dyDescent="0.3">
      <c r="A1459" t="str">
        <f t="shared" si="401"/>
        <v>048314</v>
      </c>
      <c r="B1459" t="str">
        <f t="shared" si="408"/>
        <v>038430</v>
      </c>
      <c r="C1459" t="s">
        <v>3523</v>
      </c>
      <c r="D1459" t="s">
        <v>3839</v>
      </c>
      <c r="E1459" t="s">
        <v>3840</v>
      </c>
      <c r="F1459" t="s">
        <v>3841</v>
      </c>
      <c r="G1459" t="s">
        <v>3842</v>
      </c>
      <c r="H1459" t="str">
        <f t="shared" si="409"/>
        <v>048314</v>
      </c>
      <c r="I1459" t="s">
        <v>833</v>
      </c>
      <c r="J1459" t="str">
        <f>"2015-07-01 00:00:00.0"</f>
        <v>2015-07-01 00:00:00.0</v>
      </c>
      <c r="K1459" t="s">
        <v>834</v>
      </c>
      <c r="L1459" t="s">
        <v>0</v>
      </c>
      <c r="M1459" t="str">
        <f t="shared" si="403"/>
        <v>048314</v>
      </c>
      <c r="N1459">
        <v>1</v>
      </c>
      <c r="O1459">
        <v>1</v>
      </c>
      <c r="P1459" t="str">
        <f>"04"</f>
        <v>04</v>
      </c>
      <c r="Q1459" t="s">
        <v>835</v>
      </c>
      <c r="S1459" t="s">
        <v>836</v>
      </c>
      <c r="T1459" t="s">
        <v>836</v>
      </c>
      <c r="U1459" t="str">
        <f t="shared" si="407"/>
        <v>2500-12-31 00:00:00.0</v>
      </c>
      <c r="V1459" t="s">
        <v>837</v>
      </c>
      <c r="W1459" t="str">
        <f t="shared" si="412"/>
        <v>048314-038430-**-**</v>
      </c>
      <c r="X1459" t="s">
        <v>838</v>
      </c>
      <c r="Y1459">
        <v>1206.25</v>
      </c>
      <c r="Z1459">
        <v>1206.25</v>
      </c>
      <c r="AA1459" t="str">
        <f t="shared" si="410"/>
        <v>06/08/2016</v>
      </c>
    </row>
    <row r="1460" spans="1:27" x14ac:dyDescent="0.3">
      <c r="A1460" t="str">
        <f t="shared" si="401"/>
        <v>048314</v>
      </c>
      <c r="B1460" t="str">
        <f t="shared" si="408"/>
        <v>038430</v>
      </c>
      <c r="C1460" t="s">
        <v>3667</v>
      </c>
      <c r="D1460" t="s">
        <v>3839</v>
      </c>
      <c r="E1460" t="s">
        <v>3840</v>
      </c>
      <c r="F1460" t="s">
        <v>3841</v>
      </c>
      <c r="G1460" t="s">
        <v>3842</v>
      </c>
      <c r="H1460" t="str">
        <f t="shared" si="409"/>
        <v>048314</v>
      </c>
      <c r="I1460" t="s">
        <v>833</v>
      </c>
      <c r="J1460" t="str">
        <f>"2015-07-01 00:00:00.0"</f>
        <v>2015-07-01 00:00:00.0</v>
      </c>
      <c r="K1460" t="s">
        <v>834</v>
      </c>
      <c r="L1460" t="s">
        <v>0</v>
      </c>
      <c r="M1460" t="str">
        <f t="shared" si="403"/>
        <v>048314</v>
      </c>
      <c r="N1460">
        <v>1</v>
      </c>
      <c r="O1460">
        <v>1</v>
      </c>
      <c r="P1460" t="str">
        <f>"04"</f>
        <v>04</v>
      </c>
      <c r="Q1460" t="s">
        <v>835</v>
      </c>
      <c r="S1460" t="s">
        <v>836</v>
      </c>
      <c r="T1460" t="s">
        <v>836</v>
      </c>
      <c r="U1460" t="str">
        <f t="shared" si="407"/>
        <v>2500-12-31 00:00:00.0</v>
      </c>
      <c r="V1460" t="s">
        <v>837</v>
      </c>
      <c r="W1460" t="str">
        <f t="shared" si="412"/>
        <v>048314-038430-**-**</v>
      </c>
      <c r="X1460" t="s">
        <v>838</v>
      </c>
      <c r="Y1460">
        <v>1206.25</v>
      </c>
      <c r="Z1460">
        <v>1206.25</v>
      </c>
      <c r="AA1460" t="str">
        <f t="shared" si="410"/>
        <v>06/08/2016</v>
      </c>
    </row>
    <row r="1461" spans="1:27" x14ac:dyDescent="0.3">
      <c r="A1461" t="str">
        <f t="shared" si="401"/>
        <v>048314</v>
      </c>
      <c r="B1461" t="str">
        <f t="shared" si="408"/>
        <v>038430</v>
      </c>
      <c r="C1461" t="s">
        <v>2808</v>
      </c>
      <c r="D1461" t="s">
        <v>3839</v>
      </c>
      <c r="E1461" t="s">
        <v>3840</v>
      </c>
      <c r="F1461" t="s">
        <v>3841</v>
      </c>
      <c r="G1461" t="s">
        <v>3842</v>
      </c>
      <c r="H1461" t="str">
        <f t="shared" si="409"/>
        <v>048314</v>
      </c>
      <c r="I1461" t="s">
        <v>833</v>
      </c>
      <c r="J1461" t="str">
        <f>"2015-07-01 00:00:00.0"</f>
        <v>2015-07-01 00:00:00.0</v>
      </c>
      <c r="K1461" t="s">
        <v>834</v>
      </c>
      <c r="L1461" t="s">
        <v>0</v>
      </c>
      <c r="M1461" t="str">
        <f t="shared" si="403"/>
        <v>048314</v>
      </c>
      <c r="N1461">
        <v>1</v>
      </c>
      <c r="O1461">
        <v>1</v>
      </c>
      <c r="P1461" t="str">
        <f>"05"</f>
        <v>05</v>
      </c>
      <c r="Q1461" t="s">
        <v>835</v>
      </c>
      <c r="S1461" t="s">
        <v>836</v>
      </c>
      <c r="T1461" t="s">
        <v>836</v>
      </c>
      <c r="U1461" t="str">
        <f t="shared" si="407"/>
        <v>2500-12-31 00:00:00.0</v>
      </c>
      <c r="V1461" t="s">
        <v>837</v>
      </c>
      <c r="W1461" t="str">
        <f>"048314-070417-**-**"</f>
        <v>048314-070417-**-**</v>
      </c>
      <c r="X1461" t="s">
        <v>838</v>
      </c>
      <c r="Y1461">
        <v>1125</v>
      </c>
      <c r="Z1461">
        <v>1125</v>
      </c>
      <c r="AA1461" t="str">
        <f t="shared" si="410"/>
        <v>06/08/2016</v>
      </c>
    </row>
    <row r="1462" spans="1:27" x14ac:dyDescent="0.3">
      <c r="A1462" t="str">
        <f t="shared" si="401"/>
        <v>048314</v>
      </c>
      <c r="B1462" t="str">
        <f t="shared" si="408"/>
        <v>038430</v>
      </c>
      <c r="C1462" t="s">
        <v>3538</v>
      </c>
      <c r="D1462" t="s">
        <v>3839</v>
      </c>
      <c r="E1462" t="s">
        <v>3840</v>
      </c>
      <c r="F1462" t="s">
        <v>3841</v>
      </c>
      <c r="G1462" t="s">
        <v>3842</v>
      </c>
      <c r="H1462" t="str">
        <f t="shared" si="409"/>
        <v>048314</v>
      </c>
      <c r="I1462" t="s">
        <v>833</v>
      </c>
      <c r="J1462" t="str">
        <f>"2015-07-01 00:00:00.0"</f>
        <v>2015-07-01 00:00:00.0</v>
      </c>
      <c r="K1462" t="s">
        <v>834</v>
      </c>
      <c r="L1462" t="s">
        <v>0</v>
      </c>
      <c r="M1462" t="str">
        <f t="shared" si="403"/>
        <v>048314</v>
      </c>
      <c r="N1462">
        <v>1</v>
      </c>
      <c r="O1462">
        <v>1</v>
      </c>
      <c r="P1462" t="str">
        <f>"03"</f>
        <v>03</v>
      </c>
      <c r="Q1462" t="s">
        <v>835</v>
      </c>
      <c r="S1462" t="s">
        <v>836</v>
      </c>
      <c r="T1462" t="s">
        <v>836</v>
      </c>
      <c r="U1462" t="str">
        <f t="shared" si="407"/>
        <v>2500-12-31 00:00:00.0</v>
      </c>
      <c r="V1462" t="s">
        <v>837</v>
      </c>
      <c r="W1462" t="str">
        <f t="shared" ref="W1462:W1468" si="413">"048314-038430-**-**"</f>
        <v>048314-038430-**-**</v>
      </c>
      <c r="X1462" t="s">
        <v>838</v>
      </c>
      <c r="Y1462">
        <v>1206.25</v>
      </c>
      <c r="Z1462">
        <v>1206.25</v>
      </c>
      <c r="AA1462" t="str">
        <f t="shared" si="410"/>
        <v>06/08/2016</v>
      </c>
    </row>
    <row r="1463" spans="1:27" x14ac:dyDescent="0.3">
      <c r="A1463" t="str">
        <f t="shared" si="401"/>
        <v>048314</v>
      </c>
      <c r="B1463" t="str">
        <f t="shared" si="408"/>
        <v>038430</v>
      </c>
      <c r="C1463" t="s">
        <v>979</v>
      </c>
      <c r="D1463" t="s">
        <v>3839</v>
      </c>
      <c r="E1463" t="s">
        <v>3840</v>
      </c>
      <c r="F1463" t="s">
        <v>3841</v>
      </c>
      <c r="G1463" t="s">
        <v>3842</v>
      </c>
      <c r="H1463" t="str">
        <f t="shared" si="409"/>
        <v>048314</v>
      </c>
      <c r="I1463" t="s">
        <v>833</v>
      </c>
      <c r="J1463" t="str">
        <f>"2015-08-31 00:00:00.0"</f>
        <v>2015-08-31 00:00:00.0</v>
      </c>
      <c r="K1463" t="s">
        <v>834</v>
      </c>
      <c r="L1463" t="s">
        <v>0</v>
      </c>
      <c r="M1463" t="str">
        <f t="shared" si="403"/>
        <v>048314</v>
      </c>
      <c r="N1463">
        <v>1</v>
      </c>
      <c r="O1463">
        <v>1</v>
      </c>
      <c r="P1463" t="str">
        <f>"03"</f>
        <v>03</v>
      </c>
      <c r="Q1463" t="s">
        <v>835</v>
      </c>
      <c r="S1463" t="s">
        <v>836</v>
      </c>
      <c r="T1463" t="s">
        <v>836</v>
      </c>
      <c r="U1463" t="str">
        <f t="shared" si="407"/>
        <v>2500-12-31 00:00:00.0</v>
      </c>
      <c r="V1463" t="s">
        <v>837</v>
      </c>
      <c r="W1463" t="str">
        <f t="shared" si="413"/>
        <v>048314-038430-**-**</v>
      </c>
      <c r="X1463" t="s">
        <v>838</v>
      </c>
      <c r="Y1463">
        <v>1206.25</v>
      </c>
      <c r="Z1463">
        <v>1206.25</v>
      </c>
      <c r="AA1463" t="str">
        <f t="shared" si="410"/>
        <v>06/08/2016</v>
      </c>
    </row>
    <row r="1464" spans="1:27" x14ac:dyDescent="0.3">
      <c r="A1464" t="str">
        <f t="shared" si="401"/>
        <v>048314</v>
      </c>
      <c r="B1464" t="str">
        <f t="shared" si="408"/>
        <v>038430</v>
      </c>
      <c r="C1464" t="s">
        <v>1041</v>
      </c>
      <c r="D1464" t="s">
        <v>3839</v>
      </c>
      <c r="E1464" t="s">
        <v>3840</v>
      </c>
      <c r="F1464" t="s">
        <v>3841</v>
      </c>
      <c r="G1464" t="s">
        <v>3842</v>
      </c>
      <c r="H1464" t="str">
        <f t="shared" si="409"/>
        <v>048314</v>
      </c>
      <c r="I1464" t="s">
        <v>833</v>
      </c>
      <c r="J1464" t="str">
        <f>"2016-02-29 00:00:00.0"</f>
        <v>2016-02-29 00:00:00.0</v>
      </c>
      <c r="K1464" t="s">
        <v>834</v>
      </c>
      <c r="L1464" t="s">
        <v>0</v>
      </c>
      <c r="M1464" t="str">
        <f t="shared" si="403"/>
        <v>048314</v>
      </c>
      <c r="N1464">
        <v>0.36787599999999998</v>
      </c>
      <c r="O1464">
        <v>0.36787599999999998</v>
      </c>
      <c r="P1464" t="str">
        <f>"01"</f>
        <v>01</v>
      </c>
      <c r="Q1464" t="str">
        <f>"05"</f>
        <v>05</v>
      </c>
      <c r="R1464" t="str">
        <f>"1"</f>
        <v>1</v>
      </c>
      <c r="S1464" t="s">
        <v>836</v>
      </c>
      <c r="T1464" t="s">
        <v>836</v>
      </c>
      <c r="U1464" t="str">
        <f t="shared" si="407"/>
        <v>2500-12-31 00:00:00.0</v>
      </c>
      <c r="V1464" t="s">
        <v>837</v>
      </c>
      <c r="W1464" t="str">
        <f t="shared" si="413"/>
        <v>048314-038430-**-**</v>
      </c>
      <c r="X1464" t="s">
        <v>838</v>
      </c>
      <c r="Y1464">
        <v>443.75</v>
      </c>
      <c r="Z1464">
        <v>1206.25</v>
      </c>
      <c r="AA1464" t="str">
        <f t="shared" si="410"/>
        <v>06/08/2016</v>
      </c>
    </row>
    <row r="1465" spans="1:27" x14ac:dyDescent="0.3">
      <c r="A1465" t="str">
        <f t="shared" si="401"/>
        <v>048314</v>
      </c>
      <c r="B1465" t="str">
        <f t="shared" si="408"/>
        <v>038430</v>
      </c>
      <c r="C1465" t="s">
        <v>1041</v>
      </c>
      <c r="D1465" t="s">
        <v>3839</v>
      </c>
      <c r="E1465" t="s">
        <v>3840</v>
      </c>
      <c r="F1465" t="s">
        <v>3841</v>
      </c>
      <c r="G1465" t="s">
        <v>3842</v>
      </c>
      <c r="H1465" t="str">
        <f t="shared" si="409"/>
        <v>048314</v>
      </c>
      <c r="I1465" t="s">
        <v>833</v>
      </c>
      <c r="J1465" t="str">
        <f>"2015-07-01 00:00:00.0"</f>
        <v>2015-07-01 00:00:00.0</v>
      </c>
      <c r="K1465" t="s">
        <v>834</v>
      </c>
      <c r="L1465" t="s">
        <v>0</v>
      </c>
      <c r="M1465" t="str">
        <f t="shared" si="403"/>
        <v>048314</v>
      </c>
      <c r="N1465">
        <v>0.63212400000000002</v>
      </c>
      <c r="O1465">
        <v>0.63212400000000002</v>
      </c>
      <c r="P1465" t="str">
        <f>"01"</f>
        <v>01</v>
      </c>
      <c r="Q1465" t="s">
        <v>835</v>
      </c>
      <c r="S1465" t="s">
        <v>836</v>
      </c>
      <c r="T1465" t="s">
        <v>836</v>
      </c>
      <c r="U1465" t="str">
        <f>"2016-02-28 00:00:00.0"</f>
        <v>2016-02-28 00:00:00.0</v>
      </c>
      <c r="V1465" t="s">
        <v>837</v>
      </c>
      <c r="W1465" t="str">
        <f t="shared" si="413"/>
        <v>048314-038430-**-**</v>
      </c>
      <c r="X1465" t="s">
        <v>838</v>
      </c>
      <c r="Y1465">
        <v>762.5</v>
      </c>
      <c r="Z1465">
        <v>1206.25</v>
      </c>
      <c r="AA1465" t="str">
        <f t="shared" si="410"/>
        <v>06/08/2016</v>
      </c>
    </row>
    <row r="1466" spans="1:27" x14ac:dyDescent="0.3">
      <c r="A1466" t="str">
        <f t="shared" si="401"/>
        <v>048314</v>
      </c>
      <c r="B1466" t="str">
        <f t="shared" si="408"/>
        <v>038430</v>
      </c>
      <c r="C1466" t="s">
        <v>3190</v>
      </c>
      <c r="D1466" t="s">
        <v>3839</v>
      </c>
      <c r="E1466" t="s">
        <v>3840</v>
      </c>
      <c r="F1466" t="s">
        <v>3841</v>
      </c>
      <c r="G1466" t="s">
        <v>3842</v>
      </c>
      <c r="H1466" t="str">
        <f t="shared" si="409"/>
        <v>048314</v>
      </c>
      <c r="I1466" t="s">
        <v>833</v>
      </c>
      <c r="J1466" t="str">
        <f>"2015-07-01 00:00:00.0"</f>
        <v>2015-07-01 00:00:00.0</v>
      </c>
      <c r="K1466" t="s">
        <v>834</v>
      </c>
      <c r="L1466" t="s">
        <v>0</v>
      </c>
      <c r="M1466" t="str">
        <f t="shared" si="403"/>
        <v>048314</v>
      </c>
      <c r="N1466">
        <v>1</v>
      </c>
      <c r="O1466">
        <v>1</v>
      </c>
      <c r="P1466" t="str">
        <f>"03"</f>
        <v>03</v>
      </c>
      <c r="Q1466" t="s">
        <v>835</v>
      </c>
      <c r="S1466" t="s">
        <v>836</v>
      </c>
      <c r="T1466" t="s">
        <v>836</v>
      </c>
      <c r="U1466" t="str">
        <f t="shared" ref="U1466:U1473" si="414">"2500-12-31 00:00:00.0"</f>
        <v>2500-12-31 00:00:00.0</v>
      </c>
      <c r="V1466" t="s">
        <v>837</v>
      </c>
      <c r="W1466" t="str">
        <f t="shared" si="413"/>
        <v>048314-038430-**-**</v>
      </c>
      <c r="X1466" t="s">
        <v>838</v>
      </c>
      <c r="Y1466">
        <v>1206.25</v>
      </c>
      <c r="Z1466">
        <v>1206.25</v>
      </c>
      <c r="AA1466" t="str">
        <f t="shared" si="410"/>
        <v>06/08/2016</v>
      </c>
    </row>
    <row r="1467" spans="1:27" x14ac:dyDescent="0.3">
      <c r="A1467" t="str">
        <f t="shared" si="401"/>
        <v>048314</v>
      </c>
      <c r="B1467" t="str">
        <f t="shared" si="408"/>
        <v>038430</v>
      </c>
      <c r="C1467" t="s">
        <v>3362</v>
      </c>
      <c r="D1467" t="s">
        <v>3839</v>
      </c>
      <c r="E1467" t="s">
        <v>3840</v>
      </c>
      <c r="F1467" t="s">
        <v>3841</v>
      </c>
      <c r="G1467" t="s">
        <v>3842</v>
      </c>
      <c r="H1467" t="str">
        <f t="shared" si="409"/>
        <v>048314</v>
      </c>
      <c r="I1467" t="s">
        <v>833</v>
      </c>
      <c r="J1467" t="str">
        <f>"2015-07-01 00:00:00.0"</f>
        <v>2015-07-01 00:00:00.0</v>
      </c>
      <c r="K1467" t="s">
        <v>834</v>
      </c>
      <c r="L1467" t="s">
        <v>0</v>
      </c>
      <c r="M1467" t="str">
        <f t="shared" si="403"/>
        <v>048314</v>
      </c>
      <c r="N1467">
        <v>1</v>
      </c>
      <c r="O1467">
        <v>1</v>
      </c>
      <c r="P1467" t="str">
        <f>"04"</f>
        <v>04</v>
      </c>
      <c r="Q1467" t="s">
        <v>835</v>
      </c>
      <c r="S1467" t="s">
        <v>836</v>
      </c>
      <c r="T1467" t="s">
        <v>836</v>
      </c>
      <c r="U1467" t="str">
        <f t="shared" si="414"/>
        <v>2500-12-31 00:00:00.0</v>
      </c>
      <c r="V1467" t="s">
        <v>837</v>
      </c>
      <c r="W1467" t="str">
        <f t="shared" si="413"/>
        <v>048314-038430-**-**</v>
      </c>
      <c r="X1467" t="s">
        <v>838</v>
      </c>
      <c r="Y1467">
        <v>1206.25</v>
      </c>
      <c r="Z1467">
        <v>1206.25</v>
      </c>
      <c r="AA1467" t="str">
        <f t="shared" si="410"/>
        <v>06/08/2016</v>
      </c>
    </row>
    <row r="1468" spans="1:27" x14ac:dyDescent="0.3">
      <c r="A1468" t="str">
        <f t="shared" si="401"/>
        <v>048314</v>
      </c>
      <c r="B1468" t="str">
        <f t="shared" si="408"/>
        <v>038430</v>
      </c>
      <c r="C1468" t="s">
        <v>3225</v>
      </c>
      <c r="D1468" t="s">
        <v>3839</v>
      </c>
      <c r="E1468" t="s">
        <v>3840</v>
      </c>
      <c r="F1468" t="s">
        <v>3841</v>
      </c>
      <c r="G1468" t="s">
        <v>3842</v>
      </c>
      <c r="H1468" t="str">
        <f t="shared" si="409"/>
        <v>048314</v>
      </c>
      <c r="I1468" t="s">
        <v>833</v>
      </c>
      <c r="J1468" t="str">
        <f>"2015-08-31 00:00:00.0"</f>
        <v>2015-08-31 00:00:00.0</v>
      </c>
      <c r="K1468" t="s">
        <v>834</v>
      </c>
      <c r="L1468" t="s">
        <v>0</v>
      </c>
      <c r="M1468" t="str">
        <f t="shared" si="403"/>
        <v>048314</v>
      </c>
      <c r="N1468">
        <v>1</v>
      </c>
      <c r="O1468">
        <v>1</v>
      </c>
      <c r="P1468" t="str">
        <f>"02"</f>
        <v>02</v>
      </c>
      <c r="Q1468" t="s">
        <v>835</v>
      </c>
      <c r="S1468" t="s">
        <v>836</v>
      </c>
      <c r="T1468" t="s">
        <v>836</v>
      </c>
      <c r="U1468" t="str">
        <f t="shared" si="414"/>
        <v>2500-12-31 00:00:00.0</v>
      </c>
      <c r="V1468" t="s">
        <v>837</v>
      </c>
      <c r="W1468" t="str">
        <f t="shared" si="413"/>
        <v>048314-038430-**-**</v>
      </c>
      <c r="X1468" t="s">
        <v>838</v>
      </c>
      <c r="Y1468">
        <v>1206.25</v>
      </c>
      <c r="Z1468">
        <v>1206.25</v>
      </c>
      <c r="AA1468" t="str">
        <f t="shared" si="410"/>
        <v>06/08/2016</v>
      </c>
    </row>
    <row r="1469" spans="1:27" x14ac:dyDescent="0.3">
      <c r="A1469" t="str">
        <f t="shared" si="401"/>
        <v>048314</v>
      </c>
      <c r="B1469" t="str">
        <f t="shared" si="408"/>
        <v>038430</v>
      </c>
      <c r="C1469" t="s">
        <v>3462</v>
      </c>
      <c r="D1469" t="s">
        <v>3839</v>
      </c>
      <c r="E1469" t="s">
        <v>3840</v>
      </c>
      <c r="F1469" t="s">
        <v>3841</v>
      </c>
      <c r="G1469" t="s">
        <v>3842</v>
      </c>
      <c r="H1469" t="str">
        <f t="shared" si="409"/>
        <v>048314</v>
      </c>
      <c r="I1469" t="s">
        <v>833</v>
      </c>
      <c r="J1469" t="str">
        <f>"2015-07-01 00:00:00.0"</f>
        <v>2015-07-01 00:00:00.0</v>
      </c>
      <c r="K1469" t="s">
        <v>834</v>
      </c>
      <c r="L1469" t="s">
        <v>0</v>
      </c>
      <c r="M1469" t="str">
        <f t="shared" si="403"/>
        <v>048314</v>
      </c>
      <c r="N1469">
        <v>1</v>
      </c>
      <c r="O1469">
        <v>1</v>
      </c>
      <c r="P1469" t="str">
        <f>"05"</f>
        <v>05</v>
      </c>
      <c r="Q1469" t="s">
        <v>835</v>
      </c>
      <c r="S1469" t="s">
        <v>836</v>
      </c>
      <c r="T1469" t="s">
        <v>860</v>
      </c>
      <c r="U1469" t="str">
        <f t="shared" si="414"/>
        <v>2500-12-31 00:00:00.0</v>
      </c>
      <c r="V1469" t="s">
        <v>837</v>
      </c>
      <c r="W1469" t="str">
        <f>"048314-070417-**-**"</f>
        <v>048314-070417-**-**</v>
      </c>
      <c r="X1469" t="s">
        <v>838</v>
      </c>
      <c r="Y1469">
        <v>1125</v>
      </c>
      <c r="Z1469">
        <v>1125</v>
      </c>
      <c r="AA1469" t="str">
        <f t="shared" si="410"/>
        <v>06/08/2016</v>
      </c>
    </row>
    <row r="1470" spans="1:27" x14ac:dyDescent="0.3">
      <c r="A1470" t="str">
        <f t="shared" si="401"/>
        <v>048314</v>
      </c>
      <c r="B1470" t="str">
        <f t="shared" si="408"/>
        <v>038430</v>
      </c>
      <c r="C1470" t="s">
        <v>3640</v>
      </c>
      <c r="D1470" t="s">
        <v>3839</v>
      </c>
      <c r="E1470" t="s">
        <v>3840</v>
      </c>
      <c r="F1470" t="s">
        <v>3841</v>
      </c>
      <c r="G1470" t="s">
        <v>3842</v>
      </c>
      <c r="H1470" t="str">
        <f t="shared" si="409"/>
        <v>048314</v>
      </c>
      <c r="I1470" t="s">
        <v>833</v>
      </c>
      <c r="J1470" t="str">
        <f>"2015-07-01 00:00:00.0"</f>
        <v>2015-07-01 00:00:00.0</v>
      </c>
      <c r="K1470" t="s">
        <v>834</v>
      </c>
      <c r="L1470" t="s">
        <v>0</v>
      </c>
      <c r="M1470" t="str">
        <f t="shared" si="403"/>
        <v>048314</v>
      </c>
      <c r="N1470">
        <v>1</v>
      </c>
      <c r="O1470">
        <v>1</v>
      </c>
      <c r="P1470" t="str">
        <f>"04"</f>
        <v>04</v>
      </c>
      <c r="Q1470" t="s">
        <v>835</v>
      </c>
      <c r="S1470" t="s">
        <v>836</v>
      </c>
      <c r="T1470" t="s">
        <v>836</v>
      </c>
      <c r="U1470" t="str">
        <f t="shared" si="414"/>
        <v>2500-12-31 00:00:00.0</v>
      </c>
      <c r="V1470" t="s">
        <v>837</v>
      </c>
      <c r="W1470" t="str">
        <f>"048314-038430-**-**"</f>
        <v>048314-038430-**-**</v>
      </c>
      <c r="X1470" t="s">
        <v>838</v>
      </c>
      <c r="Y1470">
        <v>1206.25</v>
      </c>
      <c r="Z1470">
        <v>1206.25</v>
      </c>
      <c r="AA1470" t="str">
        <f t="shared" si="410"/>
        <v>06/08/2016</v>
      </c>
    </row>
    <row r="1471" spans="1:27" x14ac:dyDescent="0.3">
      <c r="A1471" t="str">
        <f t="shared" si="401"/>
        <v>048314</v>
      </c>
      <c r="B1471" t="str">
        <f t="shared" si="408"/>
        <v>038430</v>
      </c>
      <c r="C1471" t="s">
        <v>1273</v>
      </c>
      <c r="D1471" t="s">
        <v>3839</v>
      </c>
      <c r="E1471" t="s">
        <v>3840</v>
      </c>
      <c r="F1471" t="s">
        <v>3841</v>
      </c>
      <c r="G1471" t="s">
        <v>3842</v>
      </c>
      <c r="H1471" t="str">
        <f t="shared" si="409"/>
        <v>048314</v>
      </c>
      <c r="I1471" t="s">
        <v>833</v>
      </c>
      <c r="J1471" t="str">
        <f>"2015-08-01 00:00:00.0"</f>
        <v>2015-08-01 00:00:00.0</v>
      </c>
      <c r="K1471" t="s">
        <v>834</v>
      </c>
      <c r="L1471" t="s">
        <v>0</v>
      </c>
      <c r="M1471" t="str">
        <f t="shared" si="403"/>
        <v>048314</v>
      </c>
      <c r="N1471">
        <v>1</v>
      </c>
      <c r="O1471">
        <v>1</v>
      </c>
      <c r="P1471" t="s">
        <v>764</v>
      </c>
      <c r="Q1471" t="s">
        <v>835</v>
      </c>
      <c r="S1471" t="s">
        <v>836</v>
      </c>
      <c r="T1471" t="s">
        <v>836</v>
      </c>
      <c r="U1471" t="str">
        <f t="shared" si="414"/>
        <v>2500-12-31 00:00:00.0</v>
      </c>
      <c r="V1471" t="s">
        <v>837</v>
      </c>
      <c r="W1471" t="str">
        <f>"048314-038430-**-**"</f>
        <v>048314-038430-**-**</v>
      </c>
      <c r="X1471" t="s">
        <v>838</v>
      </c>
      <c r="Y1471">
        <v>1206.25</v>
      </c>
      <c r="Z1471">
        <v>1206.25</v>
      </c>
      <c r="AA1471" t="str">
        <f t="shared" si="410"/>
        <v>06/08/2016</v>
      </c>
    </row>
    <row r="1472" spans="1:27" x14ac:dyDescent="0.3">
      <c r="A1472" t="str">
        <f t="shared" si="401"/>
        <v>048314</v>
      </c>
      <c r="B1472" t="str">
        <f t="shared" si="408"/>
        <v>038430</v>
      </c>
      <c r="C1472" t="s">
        <v>2809</v>
      </c>
      <c r="D1472" t="s">
        <v>3839</v>
      </c>
      <c r="E1472" t="s">
        <v>3840</v>
      </c>
      <c r="F1472" t="s">
        <v>3841</v>
      </c>
      <c r="G1472" t="s">
        <v>3842</v>
      </c>
      <c r="H1472" t="str">
        <f t="shared" si="409"/>
        <v>048314</v>
      </c>
      <c r="I1472" t="s">
        <v>833</v>
      </c>
      <c r="J1472" t="str">
        <f>"2015-07-01 00:00:00.0"</f>
        <v>2015-07-01 00:00:00.0</v>
      </c>
      <c r="K1472" t="s">
        <v>834</v>
      </c>
      <c r="L1472" t="s">
        <v>0</v>
      </c>
      <c r="M1472" t="str">
        <f t="shared" si="403"/>
        <v>048314</v>
      </c>
      <c r="N1472">
        <v>1</v>
      </c>
      <c r="O1472">
        <v>1</v>
      </c>
      <c r="P1472" t="str">
        <f>"05"</f>
        <v>05</v>
      </c>
      <c r="Q1472" t="s">
        <v>835</v>
      </c>
      <c r="S1472" t="s">
        <v>836</v>
      </c>
      <c r="T1472" t="s">
        <v>836</v>
      </c>
      <c r="U1472" t="str">
        <f t="shared" si="414"/>
        <v>2500-12-31 00:00:00.0</v>
      </c>
      <c r="V1472" t="s">
        <v>837</v>
      </c>
      <c r="W1472" t="str">
        <f>"048314-070417-**-**"</f>
        <v>048314-070417-**-**</v>
      </c>
      <c r="X1472" t="s">
        <v>838</v>
      </c>
      <c r="Y1472">
        <v>1125</v>
      </c>
      <c r="Z1472">
        <v>1125</v>
      </c>
      <c r="AA1472" t="str">
        <f t="shared" si="410"/>
        <v>06/08/2016</v>
      </c>
    </row>
    <row r="1473" spans="1:27" x14ac:dyDescent="0.3">
      <c r="A1473" t="str">
        <f t="shared" si="401"/>
        <v>048314</v>
      </c>
      <c r="B1473" t="str">
        <f t="shared" si="408"/>
        <v>038430</v>
      </c>
      <c r="C1473" t="s">
        <v>3226</v>
      </c>
      <c r="D1473" t="s">
        <v>3839</v>
      </c>
      <c r="E1473" t="s">
        <v>3840</v>
      </c>
      <c r="F1473" t="s">
        <v>3841</v>
      </c>
      <c r="G1473" t="s">
        <v>3842</v>
      </c>
      <c r="H1473" t="str">
        <f>"048363"</f>
        <v>048363</v>
      </c>
      <c r="I1473" t="s">
        <v>833</v>
      </c>
      <c r="J1473" t="str">
        <f>"2016-01-11 00:00:00.0"</f>
        <v>2016-01-11 00:00:00.0</v>
      </c>
      <c r="K1473" t="s">
        <v>834</v>
      </c>
      <c r="L1473" t="s">
        <v>1</v>
      </c>
      <c r="M1473" t="str">
        <f t="shared" si="403"/>
        <v>048314</v>
      </c>
      <c r="N1473">
        <v>0.52129499999999995</v>
      </c>
      <c r="O1473">
        <v>0.52129499999999995</v>
      </c>
      <c r="P1473" t="str">
        <f>"02"</f>
        <v>02</v>
      </c>
      <c r="Q1473" t="str">
        <f>"10"</f>
        <v>10</v>
      </c>
      <c r="R1473" t="str">
        <f>"2"</f>
        <v>2</v>
      </c>
      <c r="S1473" t="s">
        <v>836</v>
      </c>
      <c r="T1473" t="s">
        <v>836</v>
      </c>
      <c r="U1473" t="str">
        <f t="shared" si="414"/>
        <v>2500-12-31 00:00:00.0</v>
      </c>
      <c r="V1473" t="s">
        <v>837</v>
      </c>
      <c r="W1473" t="str">
        <f>"048363-026211-**-**"</f>
        <v>048363-026211-**-**</v>
      </c>
      <c r="X1473" t="s">
        <v>838</v>
      </c>
      <c r="Y1473">
        <v>587.5</v>
      </c>
      <c r="Z1473">
        <v>1127</v>
      </c>
      <c r="AA1473" t="str">
        <f>"06/15/2016"</f>
        <v>06/15/2016</v>
      </c>
    </row>
    <row r="1474" spans="1:27" x14ac:dyDescent="0.3">
      <c r="A1474" t="str">
        <f t="shared" ref="A1474:A1537" si="415">"048314"</f>
        <v>048314</v>
      </c>
      <c r="B1474" t="str">
        <f t="shared" si="408"/>
        <v>038430</v>
      </c>
      <c r="C1474" t="s">
        <v>3226</v>
      </c>
      <c r="D1474" t="s">
        <v>3839</v>
      </c>
      <c r="E1474" t="s">
        <v>3840</v>
      </c>
      <c r="F1474" t="s">
        <v>3841</v>
      </c>
      <c r="G1474" t="s">
        <v>3842</v>
      </c>
      <c r="H1474" t="str">
        <f>"048363"</f>
        <v>048363</v>
      </c>
      <c r="I1474" t="s">
        <v>833</v>
      </c>
      <c r="J1474" t="str">
        <f>"2015-07-01 00:00:00.0"</f>
        <v>2015-07-01 00:00:00.0</v>
      </c>
      <c r="K1474" t="s">
        <v>834</v>
      </c>
      <c r="L1474" t="s">
        <v>1</v>
      </c>
      <c r="M1474" t="str">
        <f t="shared" si="403"/>
        <v>048314</v>
      </c>
      <c r="N1474">
        <v>0.47870499999999999</v>
      </c>
      <c r="O1474">
        <v>0.47870499999999999</v>
      </c>
      <c r="P1474" t="str">
        <f>"02"</f>
        <v>02</v>
      </c>
      <c r="Q1474" t="s">
        <v>835</v>
      </c>
      <c r="S1474" t="s">
        <v>836</v>
      </c>
      <c r="T1474" t="s">
        <v>836</v>
      </c>
      <c r="U1474" t="str">
        <f>"2016-01-10 00:00:00.0"</f>
        <v>2016-01-10 00:00:00.0</v>
      </c>
      <c r="V1474" t="s">
        <v>837</v>
      </c>
      <c r="W1474" t="str">
        <f>"048363-026211-**-**"</f>
        <v>048363-026211-**-**</v>
      </c>
      <c r="X1474" t="s">
        <v>838</v>
      </c>
      <c r="Y1474">
        <v>539.5</v>
      </c>
      <c r="Z1474">
        <v>1127</v>
      </c>
      <c r="AA1474" t="str">
        <f>"06/15/2016"</f>
        <v>06/15/2016</v>
      </c>
    </row>
    <row r="1475" spans="1:27" x14ac:dyDescent="0.3">
      <c r="A1475" t="str">
        <f t="shared" si="415"/>
        <v>048314</v>
      </c>
      <c r="B1475" t="str">
        <f t="shared" si="408"/>
        <v>038430</v>
      </c>
      <c r="C1475" t="s">
        <v>1001</v>
      </c>
      <c r="D1475" t="s">
        <v>3839</v>
      </c>
      <c r="E1475" t="s">
        <v>3840</v>
      </c>
      <c r="F1475" t="s">
        <v>3841</v>
      </c>
      <c r="G1475" t="s">
        <v>3842</v>
      </c>
      <c r="H1475" t="str">
        <f>"048314"</f>
        <v>048314</v>
      </c>
      <c r="I1475" t="s">
        <v>833</v>
      </c>
      <c r="J1475" t="str">
        <f>"2015-07-01 00:00:00.0"</f>
        <v>2015-07-01 00:00:00.0</v>
      </c>
      <c r="K1475" t="s">
        <v>834</v>
      </c>
      <c r="L1475" t="s">
        <v>0</v>
      </c>
      <c r="M1475" t="str">
        <f t="shared" si="403"/>
        <v>048314</v>
      </c>
      <c r="N1475">
        <v>1</v>
      </c>
      <c r="O1475">
        <v>1</v>
      </c>
      <c r="P1475" t="str">
        <f>"03"</f>
        <v>03</v>
      </c>
      <c r="Q1475" t="s">
        <v>835</v>
      </c>
      <c r="S1475" t="s">
        <v>836</v>
      </c>
      <c r="T1475" t="s">
        <v>836</v>
      </c>
      <c r="U1475" t="str">
        <f t="shared" ref="U1475:U1486" si="416">"2500-12-31 00:00:00.0"</f>
        <v>2500-12-31 00:00:00.0</v>
      </c>
      <c r="V1475" t="s">
        <v>837</v>
      </c>
      <c r="W1475" t="str">
        <f>"048314-038430-**-**"</f>
        <v>048314-038430-**-**</v>
      </c>
      <c r="X1475" t="s">
        <v>838</v>
      </c>
      <c r="Y1475">
        <v>1206.25</v>
      </c>
      <c r="Z1475">
        <v>1206.25</v>
      </c>
      <c r="AA1475" t="str">
        <f>"06/08/2016"</f>
        <v>06/08/2016</v>
      </c>
    </row>
    <row r="1476" spans="1:27" x14ac:dyDescent="0.3">
      <c r="A1476" t="str">
        <f t="shared" si="415"/>
        <v>048314</v>
      </c>
      <c r="B1476" t="str">
        <f t="shared" si="408"/>
        <v>038430</v>
      </c>
      <c r="C1476" t="s">
        <v>1535</v>
      </c>
      <c r="D1476" t="s">
        <v>3839</v>
      </c>
      <c r="E1476" t="s">
        <v>3840</v>
      </c>
      <c r="F1476" t="s">
        <v>3841</v>
      </c>
      <c r="G1476" t="s">
        <v>3842</v>
      </c>
      <c r="H1476" t="str">
        <f>"048314"</f>
        <v>048314</v>
      </c>
      <c r="I1476" t="s">
        <v>833</v>
      </c>
      <c r="J1476" t="str">
        <f>"2015-08-01 00:00:00.0"</f>
        <v>2015-08-01 00:00:00.0</v>
      </c>
      <c r="K1476" t="s">
        <v>834</v>
      </c>
      <c r="L1476" t="s">
        <v>0</v>
      </c>
      <c r="M1476" t="str">
        <f t="shared" si="403"/>
        <v>048314</v>
      </c>
      <c r="N1476">
        <v>1</v>
      </c>
      <c r="O1476">
        <v>1</v>
      </c>
      <c r="P1476" t="s">
        <v>764</v>
      </c>
      <c r="Q1476" t="s">
        <v>835</v>
      </c>
      <c r="S1476" t="s">
        <v>836</v>
      </c>
      <c r="T1476" t="s">
        <v>836</v>
      </c>
      <c r="U1476" t="str">
        <f t="shared" si="416"/>
        <v>2500-12-31 00:00:00.0</v>
      </c>
      <c r="V1476" t="s">
        <v>837</v>
      </c>
      <c r="W1476" t="str">
        <f>"048314-038430-**-**"</f>
        <v>048314-038430-**-**</v>
      </c>
      <c r="X1476" t="s">
        <v>838</v>
      </c>
      <c r="Y1476">
        <v>1206.25</v>
      </c>
      <c r="Z1476">
        <v>1206.25</v>
      </c>
      <c r="AA1476" t="str">
        <f>"06/08/2016"</f>
        <v>06/08/2016</v>
      </c>
    </row>
    <row r="1477" spans="1:27" x14ac:dyDescent="0.3">
      <c r="A1477" t="str">
        <f t="shared" si="415"/>
        <v>048314</v>
      </c>
      <c r="B1477" t="str">
        <f t="shared" si="408"/>
        <v>038430</v>
      </c>
      <c r="C1477" t="s">
        <v>2978</v>
      </c>
      <c r="D1477" t="s">
        <v>3839</v>
      </c>
      <c r="E1477" t="s">
        <v>3840</v>
      </c>
      <c r="F1477" t="s">
        <v>3841</v>
      </c>
      <c r="G1477" t="s">
        <v>3842</v>
      </c>
      <c r="H1477" t="str">
        <f>"133413"</f>
        <v>133413</v>
      </c>
      <c r="I1477" t="s">
        <v>833</v>
      </c>
      <c r="J1477" t="str">
        <f>"2015-08-21 00:00:00.0"</f>
        <v>2015-08-21 00:00:00.0</v>
      </c>
      <c r="K1477" t="s">
        <v>834</v>
      </c>
      <c r="L1477" t="s">
        <v>2</v>
      </c>
      <c r="M1477" t="str">
        <f t="shared" ref="M1477:M1540" si="417">"048314"</f>
        <v>048314</v>
      </c>
      <c r="N1477">
        <v>1</v>
      </c>
      <c r="O1477">
        <v>1</v>
      </c>
      <c r="P1477" t="str">
        <f>"01"</f>
        <v>01</v>
      </c>
      <c r="Q1477" t="str">
        <f>"05"</f>
        <v>05</v>
      </c>
      <c r="R1477" t="str">
        <f>"1"</f>
        <v>1</v>
      </c>
      <c r="S1477" t="s">
        <v>836</v>
      </c>
      <c r="T1477" t="s">
        <v>836</v>
      </c>
      <c r="U1477" t="str">
        <f t="shared" si="416"/>
        <v>2500-12-31 00:00:00.0</v>
      </c>
      <c r="V1477" t="s">
        <v>837</v>
      </c>
      <c r="W1477" t="str">
        <f>"133413-133413-**-**"</f>
        <v>133413-133413-**-**</v>
      </c>
      <c r="X1477" t="s">
        <v>865</v>
      </c>
      <c r="Y1477">
        <v>921.29</v>
      </c>
      <c r="Z1477">
        <v>921.29</v>
      </c>
      <c r="AA1477" t="str">
        <f>"05/25/2016"</f>
        <v>05/25/2016</v>
      </c>
    </row>
    <row r="1478" spans="1:27" x14ac:dyDescent="0.3">
      <c r="A1478" t="str">
        <f t="shared" si="415"/>
        <v>048314</v>
      </c>
      <c r="B1478" t="str">
        <f t="shared" si="408"/>
        <v>038430</v>
      </c>
      <c r="C1478" t="s">
        <v>1432</v>
      </c>
      <c r="D1478" t="s">
        <v>3839</v>
      </c>
      <c r="E1478" t="s">
        <v>3840</v>
      </c>
      <c r="F1478" t="s">
        <v>3841</v>
      </c>
      <c r="G1478" t="s">
        <v>3842</v>
      </c>
      <c r="H1478" t="str">
        <f t="shared" ref="H1478:H1520" si="418">"048314"</f>
        <v>048314</v>
      </c>
      <c r="I1478" t="s">
        <v>833</v>
      </c>
      <c r="J1478" t="str">
        <f>"2015-07-01 00:00:00.0"</f>
        <v>2015-07-01 00:00:00.0</v>
      </c>
      <c r="K1478" t="s">
        <v>834</v>
      </c>
      <c r="L1478" t="s">
        <v>0</v>
      </c>
      <c r="M1478" t="str">
        <f t="shared" si="417"/>
        <v>048314</v>
      </c>
      <c r="N1478">
        <v>1</v>
      </c>
      <c r="O1478">
        <v>1</v>
      </c>
      <c r="P1478" t="str">
        <f>"03"</f>
        <v>03</v>
      </c>
      <c r="Q1478" t="s">
        <v>835</v>
      </c>
      <c r="S1478" t="s">
        <v>836</v>
      </c>
      <c r="T1478" t="s">
        <v>1433</v>
      </c>
      <c r="U1478" t="str">
        <f t="shared" si="416"/>
        <v>2500-12-31 00:00:00.0</v>
      </c>
      <c r="V1478" t="s">
        <v>837</v>
      </c>
      <c r="W1478" t="str">
        <f t="shared" ref="W1478:W1485" si="419">"048314-038430-**-**"</f>
        <v>048314-038430-**-**</v>
      </c>
      <c r="X1478" t="s">
        <v>838</v>
      </c>
      <c r="Y1478">
        <v>1206.25</v>
      </c>
      <c r="Z1478">
        <v>1206.25</v>
      </c>
      <c r="AA1478" t="str">
        <f t="shared" ref="AA1478:AA1521" si="420">"06/08/2016"</f>
        <v>06/08/2016</v>
      </c>
    </row>
    <row r="1479" spans="1:27" x14ac:dyDescent="0.3">
      <c r="A1479" t="str">
        <f t="shared" si="415"/>
        <v>048314</v>
      </c>
      <c r="B1479" t="str">
        <f t="shared" si="408"/>
        <v>038430</v>
      </c>
      <c r="C1479" t="s">
        <v>2997</v>
      </c>
      <c r="D1479" t="s">
        <v>3839</v>
      </c>
      <c r="E1479" t="s">
        <v>3840</v>
      </c>
      <c r="F1479" t="s">
        <v>3841</v>
      </c>
      <c r="G1479" t="s">
        <v>3842</v>
      </c>
      <c r="H1479" t="str">
        <f t="shared" si="418"/>
        <v>048314</v>
      </c>
      <c r="I1479" t="s">
        <v>833</v>
      </c>
      <c r="J1479" t="str">
        <f>"2015-07-01 00:00:00.0"</f>
        <v>2015-07-01 00:00:00.0</v>
      </c>
      <c r="K1479" t="s">
        <v>834</v>
      </c>
      <c r="L1479" t="s">
        <v>0</v>
      </c>
      <c r="M1479" t="str">
        <f t="shared" si="417"/>
        <v>048314</v>
      </c>
      <c r="N1479">
        <v>1</v>
      </c>
      <c r="O1479">
        <v>1</v>
      </c>
      <c r="P1479" t="str">
        <f>"01"</f>
        <v>01</v>
      </c>
      <c r="Q1479" t="s">
        <v>835</v>
      </c>
      <c r="S1479" t="s">
        <v>836</v>
      </c>
      <c r="T1479" t="s">
        <v>836</v>
      </c>
      <c r="U1479" t="str">
        <f t="shared" si="416"/>
        <v>2500-12-31 00:00:00.0</v>
      </c>
      <c r="V1479" t="s">
        <v>837</v>
      </c>
      <c r="W1479" t="str">
        <f t="shared" si="419"/>
        <v>048314-038430-**-**</v>
      </c>
      <c r="X1479" t="s">
        <v>838</v>
      </c>
      <c r="Y1479">
        <v>1206.25</v>
      </c>
      <c r="Z1479">
        <v>1206.25</v>
      </c>
      <c r="AA1479" t="str">
        <f t="shared" si="420"/>
        <v>06/08/2016</v>
      </c>
    </row>
    <row r="1480" spans="1:27" x14ac:dyDescent="0.3">
      <c r="A1480" t="str">
        <f t="shared" si="415"/>
        <v>048314</v>
      </c>
      <c r="B1480" t="str">
        <f t="shared" si="408"/>
        <v>038430</v>
      </c>
      <c r="C1480" t="s">
        <v>2998</v>
      </c>
      <c r="D1480" t="s">
        <v>3839</v>
      </c>
      <c r="E1480" t="s">
        <v>3840</v>
      </c>
      <c r="F1480" t="s">
        <v>3841</v>
      </c>
      <c r="G1480" t="s">
        <v>3842</v>
      </c>
      <c r="H1480" t="str">
        <f t="shared" si="418"/>
        <v>048314</v>
      </c>
      <c r="I1480" t="s">
        <v>833</v>
      </c>
      <c r="J1480" t="str">
        <f>"2015-07-01 00:00:00.0"</f>
        <v>2015-07-01 00:00:00.0</v>
      </c>
      <c r="K1480" t="s">
        <v>834</v>
      </c>
      <c r="L1480" t="s">
        <v>0</v>
      </c>
      <c r="M1480" t="str">
        <f t="shared" si="417"/>
        <v>048314</v>
      </c>
      <c r="N1480">
        <v>1</v>
      </c>
      <c r="O1480">
        <v>1</v>
      </c>
      <c r="P1480" t="str">
        <f>"01"</f>
        <v>01</v>
      </c>
      <c r="Q1480" t="s">
        <v>835</v>
      </c>
      <c r="S1480" t="s">
        <v>836</v>
      </c>
      <c r="T1480" t="s">
        <v>836</v>
      </c>
      <c r="U1480" t="str">
        <f t="shared" si="416"/>
        <v>2500-12-31 00:00:00.0</v>
      </c>
      <c r="V1480" t="s">
        <v>837</v>
      </c>
      <c r="W1480" t="str">
        <f t="shared" si="419"/>
        <v>048314-038430-**-**</v>
      </c>
      <c r="X1480" t="s">
        <v>838</v>
      </c>
      <c r="Y1480">
        <v>1206.25</v>
      </c>
      <c r="Z1480">
        <v>1206.25</v>
      </c>
      <c r="AA1480" t="str">
        <f t="shared" si="420"/>
        <v>06/08/2016</v>
      </c>
    </row>
    <row r="1481" spans="1:27" x14ac:dyDescent="0.3">
      <c r="A1481" t="str">
        <f t="shared" si="415"/>
        <v>048314</v>
      </c>
      <c r="B1481" t="str">
        <f t="shared" si="408"/>
        <v>038430</v>
      </c>
      <c r="C1481" t="s">
        <v>2999</v>
      </c>
      <c r="D1481" t="s">
        <v>3839</v>
      </c>
      <c r="E1481" t="s">
        <v>3840</v>
      </c>
      <c r="F1481" t="s">
        <v>3841</v>
      </c>
      <c r="G1481" t="s">
        <v>3842</v>
      </c>
      <c r="H1481" t="str">
        <f t="shared" si="418"/>
        <v>048314</v>
      </c>
      <c r="I1481" t="s">
        <v>833</v>
      </c>
      <c r="J1481" t="str">
        <f>"2015-07-01 00:00:00.0"</f>
        <v>2015-07-01 00:00:00.0</v>
      </c>
      <c r="K1481" t="s">
        <v>834</v>
      </c>
      <c r="L1481" t="s">
        <v>0</v>
      </c>
      <c r="M1481" t="str">
        <f t="shared" si="417"/>
        <v>048314</v>
      </c>
      <c r="N1481">
        <v>1</v>
      </c>
      <c r="O1481">
        <v>1</v>
      </c>
      <c r="P1481" t="str">
        <f>"01"</f>
        <v>01</v>
      </c>
      <c r="Q1481" t="s">
        <v>835</v>
      </c>
      <c r="S1481" t="s">
        <v>836</v>
      </c>
      <c r="T1481" t="s">
        <v>836</v>
      </c>
      <c r="U1481" t="str">
        <f t="shared" si="416"/>
        <v>2500-12-31 00:00:00.0</v>
      </c>
      <c r="V1481" t="s">
        <v>837</v>
      </c>
      <c r="W1481" t="str">
        <f t="shared" si="419"/>
        <v>048314-038430-**-**</v>
      </c>
      <c r="X1481" t="s">
        <v>838</v>
      </c>
      <c r="Y1481">
        <v>1206.25</v>
      </c>
      <c r="Z1481">
        <v>1206.25</v>
      </c>
      <c r="AA1481" t="str">
        <f t="shared" si="420"/>
        <v>06/08/2016</v>
      </c>
    </row>
    <row r="1482" spans="1:27" x14ac:dyDescent="0.3">
      <c r="A1482" t="str">
        <f t="shared" si="415"/>
        <v>048314</v>
      </c>
      <c r="B1482" t="str">
        <f t="shared" si="408"/>
        <v>038430</v>
      </c>
      <c r="C1482" t="s">
        <v>945</v>
      </c>
      <c r="D1482" t="s">
        <v>3839</v>
      </c>
      <c r="E1482" t="s">
        <v>3840</v>
      </c>
      <c r="F1482" t="s">
        <v>3841</v>
      </c>
      <c r="G1482" t="s">
        <v>3842</v>
      </c>
      <c r="H1482" t="str">
        <f t="shared" si="418"/>
        <v>048314</v>
      </c>
      <c r="I1482" t="s">
        <v>833</v>
      </c>
      <c r="J1482" t="str">
        <f>"2015-08-31 00:00:00.0"</f>
        <v>2015-08-31 00:00:00.0</v>
      </c>
      <c r="K1482" t="s">
        <v>834</v>
      </c>
      <c r="L1482" t="s">
        <v>0</v>
      </c>
      <c r="M1482" t="str">
        <f t="shared" si="417"/>
        <v>048314</v>
      </c>
      <c r="N1482">
        <v>1</v>
      </c>
      <c r="O1482">
        <v>1</v>
      </c>
      <c r="P1482" t="s">
        <v>764</v>
      </c>
      <c r="Q1482" t="s">
        <v>835</v>
      </c>
      <c r="S1482" t="s">
        <v>860</v>
      </c>
      <c r="T1482" t="s">
        <v>836</v>
      </c>
      <c r="U1482" t="str">
        <f t="shared" si="416"/>
        <v>2500-12-31 00:00:00.0</v>
      </c>
      <c r="V1482" t="s">
        <v>837</v>
      </c>
      <c r="W1482" t="str">
        <f t="shared" si="419"/>
        <v>048314-038430-**-**</v>
      </c>
      <c r="X1482" t="s">
        <v>838</v>
      </c>
      <c r="Y1482">
        <v>1206.25</v>
      </c>
      <c r="Z1482">
        <v>1206.25</v>
      </c>
      <c r="AA1482" t="str">
        <f t="shared" si="420"/>
        <v>06/08/2016</v>
      </c>
    </row>
    <row r="1483" spans="1:27" x14ac:dyDescent="0.3">
      <c r="A1483" t="str">
        <f t="shared" si="415"/>
        <v>048314</v>
      </c>
      <c r="B1483" t="str">
        <f t="shared" si="408"/>
        <v>038430</v>
      </c>
      <c r="C1483" t="s">
        <v>3673</v>
      </c>
      <c r="D1483" t="s">
        <v>3839</v>
      </c>
      <c r="E1483" t="s">
        <v>3840</v>
      </c>
      <c r="F1483" t="s">
        <v>3841</v>
      </c>
      <c r="G1483" t="s">
        <v>3842</v>
      </c>
      <c r="H1483" t="str">
        <f t="shared" si="418"/>
        <v>048314</v>
      </c>
      <c r="I1483" t="s">
        <v>833</v>
      </c>
      <c r="J1483" t="str">
        <f>"2015-07-01 00:00:00.0"</f>
        <v>2015-07-01 00:00:00.0</v>
      </c>
      <c r="K1483" t="s">
        <v>834</v>
      </c>
      <c r="L1483" t="s">
        <v>0</v>
      </c>
      <c r="M1483" t="str">
        <f t="shared" si="417"/>
        <v>048314</v>
      </c>
      <c r="N1483">
        <v>1</v>
      </c>
      <c r="O1483">
        <v>1</v>
      </c>
      <c r="P1483" t="str">
        <f>"03"</f>
        <v>03</v>
      </c>
      <c r="Q1483" t="s">
        <v>835</v>
      </c>
      <c r="S1483" t="s">
        <v>836</v>
      </c>
      <c r="T1483" t="s">
        <v>860</v>
      </c>
      <c r="U1483" t="str">
        <f t="shared" si="416"/>
        <v>2500-12-31 00:00:00.0</v>
      </c>
      <c r="V1483" t="s">
        <v>837</v>
      </c>
      <c r="W1483" t="str">
        <f t="shared" si="419"/>
        <v>048314-038430-**-**</v>
      </c>
      <c r="X1483" t="s">
        <v>838</v>
      </c>
      <c r="Y1483">
        <v>1206.25</v>
      </c>
      <c r="Z1483">
        <v>1206.25</v>
      </c>
      <c r="AA1483" t="str">
        <f t="shared" si="420"/>
        <v>06/08/2016</v>
      </c>
    </row>
    <row r="1484" spans="1:27" x14ac:dyDescent="0.3">
      <c r="A1484" t="str">
        <f t="shared" si="415"/>
        <v>048314</v>
      </c>
      <c r="B1484" t="str">
        <f t="shared" si="408"/>
        <v>038430</v>
      </c>
      <c r="C1484" t="s">
        <v>1703</v>
      </c>
      <c r="D1484" t="s">
        <v>3839</v>
      </c>
      <c r="E1484" t="s">
        <v>3840</v>
      </c>
      <c r="F1484" t="s">
        <v>3841</v>
      </c>
      <c r="G1484" t="s">
        <v>3842</v>
      </c>
      <c r="H1484" t="str">
        <f t="shared" si="418"/>
        <v>048314</v>
      </c>
      <c r="I1484" t="s">
        <v>833</v>
      </c>
      <c r="J1484" t="str">
        <f>"2015-07-01 00:00:00.0"</f>
        <v>2015-07-01 00:00:00.0</v>
      </c>
      <c r="K1484" t="s">
        <v>834</v>
      </c>
      <c r="L1484" t="s">
        <v>0</v>
      </c>
      <c r="M1484" t="str">
        <f t="shared" si="417"/>
        <v>048314</v>
      </c>
      <c r="N1484">
        <v>1</v>
      </c>
      <c r="O1484">
        <v>1</v>
      </c>
      <c r="P1484" t="str">
        <f>"01"</f>
        <v>01</v>
      </c>
      <c r="Q1484" t="s">
        <v>835</v>
      </c>
      <c r="S1484" t="s">
        <v>836</v>
      </c>
      <c r="T1484" t="s">
        <v>836</v>
      </c>
      <c r="U1484" t="str">
        <f t="shared" si="416"/>
        <v>2500-12-31 00:00:00.0</v>
      </c>
      <c r="V1484" t="s">
        <v>837</v>
      </c>
      <c r="W1484" t="str">
        <f t="shared" si="419"/>
        <v>048314-038430-**-**</v>
      </c>
      <c r="X1484" t="s">
        <v>838</v>
      </c>
      <c r="Y1484">
        <v>1206.25</v>
      </c>
      <c r="Z1484">
        <v>1206.25</v>
      </c>
      <c r="AA1484" t="str">
        <f t="shared" si="420"/>
        <v>06/08/2016</v>
      </c>
    </row>
    <row r="1485" spans="1:27" x14ac:dyDescent="0.3">
      <c r="A1485" t="str">
        <f t="shared" si="415"/>
        <v>048314</v>
      </c>
      <c r="B1485" t="str">
        <f t="shared" si="408"/>
        <v>038430</v>
      </c>
      <c r="C1485" t="s">
        <v>3361</v>
      </c>
      <c r="D1485" t="s">
        <v>3839</v>
      </c>
      <c r="E1485" t="s">
        <v>3840</v>
      </c>
      <c r="F1485" t="s">
        <v>3841</v>
      </c>
      <c r="G1485" t="s">
        <v>3842</v>
      </c>
      <c r="H1485" t="str">
        <f t="shared" si="418"/>
        <v>048314</v>
      </c>
      <c r="I1485" t="s">
        <v>833</v>
      </c>
      <c r="J1485" t="str">
        <f>"2015-07-01 00:00:00.0"</f>
        <v>2015-07-01 00:00:00.0</v>
      </c>
      <c r="K1485" t="s">
        <v>834</v>
      </c>
      <c r="L1485" t="s">
        <v>0</v>
      </c>
      <c r="M1485" t="str">
        <f t="shared" si="417"/>
        <v>048314</v>
      </c>
      <c r="N1485">
        <v>1</v>
      </c>
      <c r="O1485">
        <v>1</v>
      </c>
      <c r="P1485" t="str">
        <f>"04"</f>
        <v>04</v>
      </c>
      <c r="Q1485" t="s">
        <v>835</v>
      </c>
      <c r="S1485" t="s">
        <v>836</v>
      </c>
      <c r="T1485" t="s">
        <v>836</v>
      </c>
      <c r="U1485" t="str">
        <f t="shared" si="416"/>
        <v>2500-12-31 00:00:00.0</v>
      </c>
      <c r="V1485" t="s">
        <v>837</v>
      </c>
      <c r="W1485" t="str">
        <f t="shared" si="419"/>
        <v>048314-038430-**-**</v>
      </c>
      <c r="X1485" t="s">
        <v>838</v>
      </c>
      <c r="Y1485">
        <v>1206.25</v>
      </c>
      <c r="Z1485">
        <v>1206.25</v>
      </c>
      <c r="AA1485" t="str">
        <f t="shared" si="420"/>
        <v>06/08/2016</v>
      </c>
    </row>
    <row r="1486" spans="1:27" x14ac:dyDescent="0.3">
      <c r="A1486" t="str">
        <f t="shared" si="415"/>
        <v>048314</v>
      </c>
      <c r="B1486" t="str">
        <f t="shared" si="408"/>
        <v>038430</v>
      </c>
      <c r="C1486" t="s">
        <v>3746</v>
      </c>
      <c r="D1486" t="s">
        <v>3839</v>
      </c>
      <c r="E1486" t="s">
        <v>3840</v>
      </c>
      <c r="F1486" t="s">
        <v>3841</v>
      </c>
      <c r="G1486" t="s">
        <v>3842</v>
      </c>
      <c r="H1486" t="str">
        <f t="shared" si="418"/>
        <v>048314</v>
      </c>
      <c r="I1486" t="s">
        <v>833</v>
      </c>
      <c r="J1486" t="str">
        <f>"2015-12-28 00:00:00.0"</f>
        <v>2015-12-28 00:00:00.0</v>
      </c>
      <c r="K1486" t="s">
        <v>834</v>
      </c>
      <c r="L1486" t="s">
        <v>0</v>
      </c>
      <c r="M1486" t="str">
        <f t="shared" si="417"/>
        <v>048314</v>
      </c>
      <c r="N1486">
        <v>0.58031100000000002</v>
      </c>
      <c r="O1486">
        <v>0.58031100000000002</v>
      </c>
      <c r="P1486" t="str">
        <f>"01"</f>
        <v>01</v>
      </c>
      <c r="Q1486" t="s">
        <v>835</v>
      </c>
      <c r="S1486" t="s">
        <v>836</v>
      </c>
      <c r="T1486" t="s">
        <v>836</v>
      </c>
      <c r="U1486" t="str">
        <f t="shared" si="416"/>
        <v>2500-12-31 00:00:00.0</v>
      </c>
      <c r="V1486" t="s">
        <v>837</v>
      </c>
      <c r="W1486" t="str">
        <f>"048314-004697-**-**"</f>
        <v>048314-004697-**-**</v>
      </c>
      <c r="X1486" t="s">
        <v>838</v>
      </c>
      <c r="Y1486">
        <v>700</v>
      </c>
      <c r="Z1486">
        <v>1206.25</v>
      </c>
      <c r="AA1486" t="str">
        <f t="shared" si="420"/>
        <v>06/08/2016</v>
      </c>
    </row>
    <row r="1487" spans="1:27" x14ac:dyDescent="0.3">
      <c r="A1487" t="str">
        <f t="shared" si="415"/>
        <v>048314</v>
      </c>
      <c r="B1487" t="str">
        <f t="shared" si="408"/>
        <v>038430</v>
      </c>
      <c r="C1487" t="s">
        <v>3746</v>
      </c>
      <c r="D1487" t="s">
        <v>3839</v>
      </c>
      <c r="E1487" t="s">
        <v>3840</v>
      </c>
      <c r="F1487" t="s">
        <v>3841</v>
      </c>
      <c r="G1487" t="s">
        <v>3842</v>
      </c>
      <c r="H1487" t="str">
        <f t="shared" si="418"/>
        <v>048314</v>
      </c>
      <c r="I1487" t="s">
        <v>833</v>
      </c>
      <c r="J1487" t="str">
        <f>"2015-10-05 00:00:00.0"</f>
        <v>2015-10-05 00:00:00.0</v>
      </c>
      <c r="K1487" t="s">
        <v>834</v>
      </c>
      <c r="L1487" t="s">
        <v>0</v>
      </c>
      <c r="M1487" t="str">
        <f t="shared" si="417"/>
        <v>048314</v>
      </c>
      <c r="N1487">
        <v>0.29533700000000002</v>
      </c>
      <c r="O1487">
        <v>0.29533700000000002</v>
      </c>
      <c r="P1487" t="str">
        <f>"01"</f>
        <v>01</v>
      </c>
      <c r="Q1487" t="s">
        <v>835</v>
      </c>
      <c r="S1487" t="s">
        <v>836</v>
      </c>
      <c r="T1487" t="s">
        <v>836</v>
      </c>
      <c r="U1487" t="str">
        <f>"2015-12-27 00:00:00.0"</f>
        <v>2015-12-27 00:00:00.0</v>
      </c>
      <c r="V1487" t="s">
        <v>837</v>
      </c>
      <c r="W1487" t="str">
        <f t="shared" ref="W1487:W1492" si="421">"048314-038430-**-**"</f>
        <v>048314-038430-**-**</v>
      </c>
      <c r="X1487" t="s">
        <v>838</v>
      </c>
      <c r="Y1487">
        <v>356.25</v>
      </c>
      <c r="Z1487">
        <v>1206.25</v>
      </c>
      <c r="AA1487" t="str">
        <f t="shared" si="420"/>
        <v>06/08/2016</v>
      </c>
    </row>
    <row r="1488" spans="1:27" x14ac:dyDescent="0.3">
      <c r="A1488" t="str">
        <f t="shared" si="415"/>
        <v>048314</v>
      </c>
      <c r="B1488" t="str">
        <f t="shared" si="408"/>
        <v>038430</v>
      </c>
      <c r="C1488" t="s">
        <v>3511</v>
      </c>
      <c r="D1488" t="s">
        <v>3839</v>
      </c>
      <c r="E1488" t="s">
        <v>3840</v>
      </c>
      <c r="F1488" t="s">
        <v>3841</v>
      </c>
      <c r="G1488" t="s">
        <v>3842</v>
      </c>
      <c r="H1488" t="str">
        <f t="shared" si="418"/>
        <v>048314</v>
      </c>
      <c r="I1488" t="s">
        <v>833</v>
      </c>
      <c r="J1488" t="str">
        <f>"2015-07-01 00:00:00.0"</f>
        <v>2015-07-01 00:00:00.0</v>
      </c>
      <c r="K1488" t="s">
        <v>834</v>
      </c>
      <c r="L1488" t="s">
        <v>0</v>
      </c>
      <c r="M1488" t="str">
        <f t="shared" si="417"/>
        <v>048314</v>
      </c>
      <c r="N1488">
        <v>1</v>
      </c>
      <c r="O1488">
        <v>1</v>
      </c>
      <c r="P1488" t="str">
        <f>"04"</f>
        <v>04</v>
      </c>
      <c r="Q1488" t="s">
        <v>835</v>
      </c>
      <c r="S1488" t="s">
        <v>836</v>
      </c>
      <c r="T1488" t="s">
        <v>836</v>
      </c>
      <c r="U1488" t="str">
        <f t="shared" ref="U1488:U1504" si="422">"2500-12-31 00:00:00.0"</f>
        <v>2500-12-31 00:00:00.0</v>
      </c>
      <c r="V1488" t="s">
        <v>837</v>
      </c>
      <c r="W1488" t="str">
        <f t="shared" si="421"/>
        <v>048314-038430-**-**</v>
      </c>
      <c r="X1488" t="s">
        <v>838</v>
      </c>
      <c r="Y1488">
        <v>1206.25</v>
      </c>
      <c r="Z1488">
        <v>1206.25</v>
      </c>
      <c r="AA1488" t="str">
        <f t="shared" si="420"/>
        <v>06/08/2016</v>
      </c>
    </row>
    <row r="1489" spans="1:27" x14ac:dyDescent="0.3">
      <c r="A1489" t="str">
        <f t="shared" si="415"/>
        <v>048314</v>
      </c>
      <c r="B1489" t="str">
        <f t="shared" si="408"/>
        <v>038430</v>
      </c>
      <c r="C1489" t="s">
        <v>3704</v>
      </c>
      <c r="D1489" t="s">
        <v>3839</v>
      </c>
      <c r="E1489" t="s">
        <v>3840</v>
      </c>
      <c r="F1489" t="s">
        <v>3841</v>
      </c>
      <c r="G1489" t="s">
        <v>3842</v>
      </c>
      <c r="H1489" t="str">
        <f t="shared" si="418"/>
        <v>048314</v>
      </c>
      <c r="I1489" t="s">
        <v>833</v>
      </c>
      <c r="J1489" t="str">
        <f>"2015-07-01 00:00:00.0"</f>
        <v>2015-07-01 00:00:00.0</v>
      </c>
      <c r="K1489" t="s">
        <v>834</v>
      </c>
      <c r="L1489" t="s">
        <v>0</v>
      </c>
      <c r="M1489" t="str">
        <f t="shared" si="417"/>
        <v>048314</v>
      </c>
      <c r="N1489">
        <v>1</v>
      </c>
      <c r="O1489">
        <v>1</v>
      </c>
      <c r="P1489" t="str">
        <f>"02"</f>
        <v>02</v>
      </c>
      <c r="Q1489" t="s">
        <v>835</v>
      </c>
      <c r="S1489" t="s">
        <v>860</v>
      </c>
      <c r="T1489" t="s">
        <v>836</v>
      </c>
      <c r="U1489" t="str">
        <f t="shared" si="422"/>
        <v>2500-12-31 00:00:00.0</v>
      </c>
      <c r="V1489" t="s">
        <v>837</v>
      </c>
      <c r="W1489" t="str">
        <f t="shared" si="421"/>
        <v>048314-038430-**-**</v>
      </c>
      <c r="X1489" t="s">
        <v>838</v>
      </c>
      <c r="Y1489">
        <v>1206.25</v>
      </c>
      <c r="Z1489">
        <v>1206.25</v>
      </c>
      <c r="AA1489" t="str">
        <f t="shared" si="420"/>
        <v>06/08/2016</v>
      </c>
    </row>
    <row r="1490" spans="1:27" x14ac:dyDescent="0.3">
      <c r="A1490" t="str">
        <f t="shared" si="415"/>
        <v>048314</v>
      </c>
      <c r="B1490" t="str">
        <f t="shared" si="408"/>
        <v>038430</v>
      </c>
      <c r="C1490" t="s">
        <v>3687</v>
      </c>
      <c r="D1490" t="s">
        <v>3839</v>
      </c>
      <c r="E1490" t="s">
        <v>3840</v>
      </c>
      <c r="F1490" t="s">
        <v>3841</v>
      </c>
      <c r="G1490" t="s">
        <v>3842</v>
      </c>
      <c r="H1490" t="str">
        <f t="shared" si="418"/>
        <v>048314</v>
      </c>
      <c r="I1490" t="s">
        <v>833</v>
      </c>
      <c r="J1490" t="str">
        <f>"2015-08-01 00:00:00.0"</f>
        <v>2015-08-01 00:00:00.0</v>
      </c>
      <c r="K1490" t="s">
        <v>834</v>
      </c>
      <c r="L1490" t="s">
        <v>0</v>
      </c>
      <c r="M1490" t="str">
        <f t="shared" si="417"/>
        <v>048314</v>
      </c>
      <c r="N1490">
        <v>1</v>
      </c>
      <c r="O1490">
        <v>1</v>
      </c>
      <c r="P1490" t="s">
        <v>764</v>
      </c>
      <c r="Q1490" t="s">
        <v>835</v>
      </c>
      <c r="S1490" t="s">
        <v>836</v>
      </c>
      <c r="T1490" t="s">
        <v>836</v>
      </c>
      <c r="U1490" t="str">
        <f t="shared" si="422"/>
        <v>2500-12-31 00:00:00.0</v>
      </c>
      <c r="V1490" t="s">
        <v>837</v>
      </c>
      <c r="W1490" t="str">
        <f t="shared" si="421"/>
        <v>048314-038430-**-**</v>
      </c>
      <c r="X1490" t="s">
        <v>838</v>
      </c>
      <c r="Y1490">
        <v>1206.25</v>
      </c>
      <c r="Z1490">
        <v>1206.25</v>
      </c>
      <c r="AA1490" t="str">
        <f t="shared" si="420"/>
        <v>06/08/2016</v>
      </c>
    </row>
    <row r="1491" spans="1:27" x14ac:dyDescent="0.3">
      <c r="A1491" t="str">
        <f t="shared" si="415"/>
        <v>048314</v>
      </c>
      <c r="B1491" t="str">
        <f t="shared" si="408"/>
        <v>038430</v>
      </c>
      <c r="C1491" t="s">
        <v>3518</v>
      </c>
      <c r="D1491" t="s">
        <v>3839</v>
      </c>
      <c r="E1491" t="s">
        <v>3840</v>
      </c>
      <c r="F1491" t="s">
        <v>3841</v>
      </c>
      <c r="G1491" t="s">
        <v>3842</v>
      </c>
      <c r="H1491" t="str">
        <f t="shared" si="418"/>
        <v>048314</v>
      </c>
      <c r="I1491" t="s">
        <v>833</v>
      </c>
      <c r="J1491" t="str">
        <f>"2015-07-01 00:00:00.0"</f>
        <v>2015-07-01 00:00:00.0</v>
      </c>
      <c r="K1491" t="s">
        <v>834</v>
      </c>
      <c r="L1491" t="s">
        <v>0</v>
      </c>
      <c r="M1491" t="str">
        <f t="shared" si="417"/>
        <v>048314</v>
      </c>
      <c r="N1491">
        <v>1</v>
      </c>
      <c r="O1491">
        <v>1</v>
      </c>
      <c r="P1491" t="str">
        <f>"03"</f>
        <v>03</v>
      </c>
      <c r="Q1491" t="s">
        <v>835</v>
      </c>
      <c r="S1491" t="s">
        <v>836</v>
      </c>
      <c r="T1491" t="s">
        <v>836</v>
      </c>
      <c r="U1491" t="str">
        <f t="shared" si="422"/>
        <v>2500-12-31 00:00:00.0</v>
      </c>
      <c r="V1491" t="s">
        <v>837</v>
      </c>
      <c r="W1491" t="str">
        <f t="shared" si="421"/>
        <v>048314-038430-**-**</v>
      </c>
      <c r="X1491" t="s">
        <v>838</v>
      </c>
      <c r="Y1491">
        <v>1206.25</v>
      </c>
      <c r="Z1491">
        <v>1206.25</v>
      </c>
      <c r="AA1491" t="str">
        <f t="shared" si="420"/>
        <v>06/08/2016</v>
      </c>
    </row>
    <row r="1492" spans="1:27" x14ac:dyDescent="0.3">
      <c r="A1492" t="str">
        <f t="shared" si="415"/>
        <v>048314</v>
      </c>
      <c r="B1492" t="str">
        <f t="shared" si="408"/>
        <v>038430</v>
      </c>
      <c r="C1492" t="s">
        <v>3360</v>
      </c>
      <c r="D1492" t="s">
        <v>3839</v>
      </c>
      <c r="E1492" t="s">
        <v>3840</v>
      </c>
      <c r="F1492" t="s">
        <v>3841</v>
      </c>
      <c r="G1492" t="s">
        <v>3842</v>
      </c>
      <c r="H1492" t="str">
        <f t="shared" si="418"/>
        <v>048314</v>
      </c>
      <c r="I1492" t="s">
        <v>833</v>
      </c>
      <c r="J1492" t="str">
        <f>"2015-07-01 00:00:00.0"</f>
        <v>2015-07-01 00:00:00.0</v>
      </c>
      <c r="K1492" t="s">
        <v>834</v>
      </c>
      <c r="L1492" t="s">
        <v>0</v>
      </c>
      <c r="M1492" t="str">
        <f t="shared" si="417"/>
        <v>048314</v>
      </c>
      <c r="N1492">
        <v>1</v>
      </c>
      <c r="O1492">
        <v>1</v>
      </c>
      <c r="P1492" t="str">
        <f>"04"</f>
        <v>04</v>
      </c>
      <c r="Q1492" t="str">
        <f>"10"</f>
        <v>10</v>
      </c>
      <c r="R1492" t="str">
        <f>"2"</f>
        <v>2</v>
      </c>
      <c r="S1492" t="s">
        <v>836</v>
      </c>
      <c r="T1492" t="s">
        <v>836</v>
      </c>
      <c r="U1492" t="str">
        <f t="shared" si="422"/>
        <v>2500-12-31 00:00:00.0</v>
      </c>
      <c r="V1492" t="s">
        <v>837</v>
      </c>
      <c r="W1492" t="str">
        <f t="shared" si="421"/>
        <v>048314-038430-**-**</v>
      </c>
      <c r="X1492" t="s">
        <v>838</v>
      </c>
      <c r="Y1492">
        <v>1206.25</v>
      </c>
      <c r="Z1492">
        <v>1206.25</v>
      </c>
      <c r="AA1492" t="str">
        <f t="shared" si="420"/>
        <v>06/08/2016</v>
      </c>
    </row>
    <row r="1493" spans="1:27" x14ac:dyDescent="0.3">
      <c r="A1493" t="str">
        <f t="shared" si="415"/>
        <v>048314</v>
      </c>
      <c r="B1493" t="str">
        <f t="shared" si="408"/>
        <v>038430</v>
      </c>
      <c r="C1493" t="s">
        <v>2821</v>
      </c>
      <c r="D1493" t="s">
        <v>3839</v>
      </c>
      <c r="E1493" t="s">
        <v>3840</v>
      </c>
      <c r="F1493" t="s">
        <v>3841</v>
      </c>
      <c r="G1493" t="s">
        <v>3842</v>
      </c>
      <c r="H1493" t="str">
        <f t="shared" si="418"/>
        <v>048314</v>
      </c>
      <c r="I1493" t="s">
        <v>833</v>
      </c>
      <c r="J1493" t="str">
        <f>"2015-07-01 00:00:00.0"</f>
        <v>2015-07-01 00:00:00.0</v>
      </c>
      <c r="K1493" t="s">
        <v>834</v>
      </c>
      <c r="L1493" t="s">
        <v>0</v>
      </c>
      <c r="M1493" t="str">
        <f t="shared" si="417"/>
        <v>048314</v>
      </c>
      <c r="N1493">
        <v>1</v>
      </c>
      <c r="O1493">
        <v>1</v>
      </c>
      <c r="P1493" t="str">
        <f>"05"</f>
        <v>05</v>
      </c>
      <c r="Q1493" t="s">
        <v>835</v>
      </c>
      <c r="S1493" t="s">
        <v>836</v>
      </c>
      <c r="T1493" t="s">
        <v>836</v>
      </c>
      <c r="U1493" t="str">
        <f t="shared" si="422"/>
        <v>2500-12-31 00:00:00.0</v>
      </c>
      <c r="V1493" t="s">
        <v>837</v>
      </c>
      <c r="W1493" t="str">
        <f>"048314-070417-**-**"</f>
        <v>048314-070417-**-**</v>
      </c>
      <c r="X1493" t="s">
        <v>838</v>
      </c>
      <c r="Y1493">
        <v>1125</v>
      </c>
      <c r="Z1493">
        <v>1125</v>
      </c>
      <c r="AA1493" t="str">
        <f t="shared" si="420"/>
        <v>06/08/2016</v>
      </c>
    </row>
    <row r="1494" spans="1:27" x14ac:dyDescent="0.3">
      <c r="A1494" t="str">
        <f t="shared" si="415"/>
        <v>048314</v>
      </c>
      <c r="B1494" t="str">
        <f t="shared" si="408"/>
        <v>038430</v>
      </c>
      <c r="C1494" t="s">
        <v>929</v>
      </c>
      <c r="D1494" t="s">
        <v>3839</v>
      </c>
      <c r="E1494" t="s">
        <v>3840</v>
      </c>
      <c r="F1494" t="s">
        <v>3841</v>
      </c>
      <c r="G1494" t="s">
        <v>3842</v>
      </c>
      <c r="H1494" t="str">
        <f t="shared" si="418"/>
        <v>048314</v>
      </c>
      <c r="I1494" t="s">
        <v>833</v>
      </c>
      <c r="J1494" t="str">
        <f>"2015-08-31 00:00:00.0"</f>
        <v>2015-08-31 00:00:00.0</v>
      </c>
      <c r="K1494" t="s">
        <v>834</v>
      </c>
      <c r="L1494" t="s">
        <v>0</v>
      </c>
      <c r="M1494" t="str">
        <f t="shared" si="417"/>
        <v>048314</v>
      </c>
      <c r="N1494">
        <v>1</v>
      </c>
      <c r="O1494">
        <v>1</v>
      </c>
      <c r="P1494" t="str">
        <f>"01"</f>
        <v>01</v>
      </c>
      <c r="Q1494" t="s">
        <v>835</v>
      </c>
      <c r="S1494" t="s">
        <v>836</v>
      </c>
      <c r="T1494" t="s">
        <v>836</v>
      </c>
      <c r="U1494" t="str">
        <f t="shared" si="422"/>
        <v>2500-12-31 00:00:00.0</v>
      </c>
      <c r="V1494" t="s">
        <v>837</v>
      </c>
      <c r="W1494" t="str">
        <f t="shared" ref="W1494:W1502" si="423">"048314-038430-**-**"</f>
        <v>048314-038430-**-**</v>
      </c>
      <c r="X1494" t="s">
        <v>838</v>
      </c>
      <c r="Y1494">
        <v>1206.25</v>
      </c>
      <c r="Z1494">
        <v>1206.25</v>
      </c>
      <c r="AA1494" t="str">
        <f t="shared" si="420"/>
        <v>06/08/2016</v>
      </c>
    </row>
    <row r="1495" spans="1:27" x14ac:dyDescent="0.3">
      <c r="A1495" t="str">
        <f t="shared" si="415"/>
        <v>048314</v>
      </c>
      <c r="B1495" t="str">
        <f t="shared" si="408"/>
        <v>038430</v>
      </c>
      <c r="C1495" t="s">
        <v>2959</v>
      </c>
      <c r="D1495" t="s">
        <v>3839</v>
      </c>
      <c r="E1495" t="s">
        <v>3840</v>
      </c>
      <c r="F1495" t="s">
        <v>3841</v>
      </c>
      <c r="G1495" t="s">
        <v>3842</v>
      </c>
      <c r="H1495" t="str">
        <f t="shared" si="418"/>
        <v>048314</v>
      </c>
      <c r="I1495" t="s">
        <v>833</v>
      </c>
      <c r="J1495" t="str">
        <f>"2015-07-01 00:00:00.0"</f>
        <v>2015-07-01 00:00:00.0</v>
      </c>
      <c r="K1495" t="s">
        <v>834</v>
      </c>
      <c r="L1495" t="s">
        <v>0</v>
      </c>
      <c r="M1495" t="str">
        <f t="shared" si="417"/>
        <v>048314</v>
      </c>
      <c r="N1495">
        <v>1</v>
      </c>
      <c r="O1495">
        <v>1</v>
      </c>
      <c r="P1495" t="str">
        <f>"02"</f>
        <v>02</v>
      </c>
      <c r="Q1495" t="s">
        <v>835</v>
      </c>
      <c r="S1495" t="s">
        <v>836</v>
      </c>
      <c r="T1495" t="s">
        <v>836</v>
      </c>
      <c r="U1495" t="str">
        <f t="shared" si="422"/>
        <v>2500-12-31 00:00:00.0</v>
      </c>
      <c r="V1495" t="s">
        <v>837</v>
      </c>
      <c r="W1495" t="str">
        <f t="shared" si="423"/>
        <v>048314-038430-**-**</v>
      </c>
      <c r="X1495" t="s">
        <v>838</v>
      </c>
      <c r="Y1495">
        <v>1206.25</v>
      </c>
      <c r="Z1495">
        <v>1206.25</v>
      </c>
      <c r="AA1495" t="str">
        <f t="shared" si="420"/>
        <v>06/08/2016</v>
      </c>
    </row>
    <row r="1496" spans="1:27" x14ac:dyDescent="0.3">
      <c r="A1496" t="str">
        <f t="shared" si="415"/>
        <v>048314</v>
      </c>
      <c r="B1496" t="str">
        <f t="shared" si="408"/>
        <v>038430</v>
      </c>
      <c r="C1496" t="s">
        <v>3160</v>
      </c>
      <c r="D1496" t="s">
        <v>3839</v>
      </c>
      <c r="E1496" t="s">
        <v>3840</v>
      </c>
      <c r="F1496" t="s">
        <v>3841</v>
      </c>
      <c r="G1496" t="s">
        <v>3842</v>
      </c>
      <c r="H1496" t="str">
        <f t="shared" si="418"/>
        <v>048314</v>
      </c>
      <c r="I1496" t="s">
        <v>833</v>
      </c>
      <c r="J1496" t="str">
        <f>"2015-08-01 00:00:00.0"</f>
        <v>2015-08-01 00:00:00.0</v>
      </c>
      <c r="K1496" t="s">
        <v>834</v>
      </c>
      <c r="L1496" t="s">
        <v>0</v>
      </c>
      <c r="M1496" t="str">
        <f t="shared" si="417"/>
        <v>048314</v>
      </c>
      <c r="N1496">
        <v>1</v>
      </c>
      <c r="O1496">
        <v>1</v>
      </c>
      <c r="P1496" t="s">
        <v>764</v>
      </c>
      <c r="Q1496" t="s">
        <v>835</v>
      </c>
      <c r="S1496" t="s">
        <v>836</v>
      </c>
      <c r="T1496" t="s">
        <v>836</v>
      </c>
      <c r="U1496" t="str">
        <f t="shared" si="422"/>
        <v>2500-12-31 00:00:00.0</v>
      </c>
      <c r="V1496" t="s">
        <v>837</v>
      </c>
      <c r="W1496" t="str">
        <f t="shared" si="423"/>
        <v>048314-038430-**-**</v>
      </c>
      <c r="X1496" t="s">
        <v>838</v>
      </c>
      <c r="Y1496">
        <v>1206.25</v>
      </c>
      <c r="Z1496">
        <v>1206.25</v>
      </c>
      <c r="AA1496" t="str">
        <f t="shared" si="420"/>
        <v>06/08/2016</v>
      </c>
    </row>
    <row r="1497" spans="1:27" x14ac:dyDescent="0.3">
      <c r="A1497" t="str">
        <f t="shared" si="415"/>
        <v>048314</v>
      </c>
      <c r="B1497" t="str">
        <f t="shared" si="408"/>
        <v>038430</v>
      </c>
      <c r="C1497" t="s">
        <v>3473</v>
      </c>
      <c r="D1497" t="s">
        <v>3839</v>
      </c>
      <c r="E1497" t="s">
        <v>3840</v>
      </c>
      <c r="F1497" t="s">
        <v>3841</v>
      </c>
      <c r="G1497" t="s">
        <v>3842</v>
      </c>
      <c r="H1497" t="str">
        <f t="shared" si="418"/>
        <v>048314</v>
      </c>
      <c r="I1497" t="s">
        <v>833</v>
      </c>
      <c r="J1497" t="str">
        <f>"2015-08-01 00:00:00.0"</f>
        <v>2015-08-01 00:00:00.0</v>
      </c>
      <c r="K1497" t="s">
        <v>834</v>
      </c>
      <c r="L1497" t="s">
        <v>0</v>
      </c>
      <c r="M1497" t="str">
        <f t="shared" si="417"/>
        <v>048314</v>
      </c>
      <c r="N1497">
        <v>1</v>
      </c>
      <c r="O1497">
        <v>1</v>
      </c>
      <c r="P1497" t="s">
        <v>764</v>
      </c>
      <c r="Q1497" t="s">
        <v>835</v>
      </c>
      <c r="S1497" t="s">
        <v>836</v>
      </c>
      <c r="T1497" t="s">
        <v>836</v>
      </c>
      <c r="U1497" t="str">
        <f t="shared" si="422"/>
        <v>2500-12-31 00:00:00.0</v>
      </c>
      <c r="V1497" t="s">
        <v>837</v>
      </c>
      <c r="W1497" t="str">
        <f t="shared" si="423"/>
        <v>048314-038430-**-**</v>
      </c>
      <c r="X1497" t="s">
        <v>838</v>
      </c>
      <c r="Y1497">
        <v>1206.25</v>
      </c>
      <c r="Z1497">
        <v>1206.25</v>
      </c>
      <c r="AA1497" t="str">
        <f t="shared" si="420"/>
        <v>06/08/2016</v>
      </c>
    </row>
    <row r="1498" spans="1:27" x14ac:dyDescent="0.3">
      <c r="A1498" t="str">
        <f t="shared" si="415"/>
        <v>048314</v>
      </c>
      <c r="B1498" t="str">
        <f t="shared" si="408"/>
        <v>038430</v>
      </c>
      <c r="C1498" t="s">
        <v>3668</v>
      </c>
      <c r="D1498" t="s">
        <v>3839</v>
      </c>
      <c r="E1498" t="s">
        <v>3840</v>
      </c>
      <c r="F1498" t="s">
        <v>3841</v>
      </c>
      <c r="G1498" t="s">
        <v>3842</v>
      </c>
      <c r="H1498" t="str">
        <f t="shared" si="418"/>
        <v>048314</v>
      </c>
      <c r="I1498" t="s">
        <v>833</v>
      </c>
      <c r="J1498" t="str">
        <f t="shared" ref="J1498:J1503" si="424">"2015-07-01 00:00:00.0"</f>
        <v>2015-07-01 00:00:00.0</v>
      </c>
      <c r="K1498" t="s">
        <v>834</v>
      </c>
      <c r="L1498" t="s">
        <v>0</v>
      </c>
      <c r="M1498" t="str">
        <f t="shared" si="417"/>
        <v>048314</v>
      </c>
      <c r="N1498">
        <v>1</v>
      </c>
      <c r="O1498">
        <v>1</v>
      </c>
      <c r="P1498" t="str">
        <f>"03"</f>
        <v>03</v>
      </c>
      <c r="Q1498" t="s">
        <v>835</v>
      </c>
      <c r="S1498" t="s">
        <v>836</v>
      </c>
      <c r="T1498" t="s">
        <v>836</v>
      </c>
      <c r="U1498" t="str">
        <f t="shared" si="422"/>
        <v>2500-12-31 00:00:00.0</v>
      </c>
      <c r="V1498" t="s">
        <v>837</v>
      </c>
      <c r="W1498" t="str">
        <f t="shared" si="423"/>
        <v>048314-038430-**-**</v>
      </c>
      <c r="X1498" t="s">
        <v>838</v>
      </c>
      <c r="Y1498">
        <v>1206.25</v>
      </c>
      <c r="Z1498">
        <v>1206.25</v>
      </c>
      <c r="AA1498" t="str">
        <f t="shared" si="420"/>
        <v>06/08/2016</v>
      </c>
    </row>
    <row r="1499" spans="1:27" x14ac:dyDescent="0.3">
      <c r="A1499" t="str">
        <f t="shared" si="415"/>
        <v>048314</v>
      </c>
      <c r="B1499" t="str">
        <f t="shared" si="408"/>
        <v>038430</v>
      </c>
      <c r="C1499" t="s">
        <v>3207</v>
      </c>
      <c r="D1499" t="s">
        <v>3839</v>
      </c>
      <c r="E1499" t="s">
        <v>3840</v>
      </c>
      <c r="F1499" t="s">
        <v>3841</v>
      </c>
      <c r="G1499" t="s">
        <v>3842</v>
      </c>
      <c r="H1499" t="str">
        <f t="shared" si="418"/>
        <v>048314</v>
      </c>
      <c r="I1499" t="s">
        <v>833</v>
      </c>
      <c r="J1499" t="str">
        <f t="shared" si="424"/>
        <v>2015-07-01 00:00:00.0</v>
      </c>
      <c r="K1499" t="s">
        <v>834</v>
      </c>
      <c r="L1499" t="s">
        <v>0</v>
      </c>
      <c r="M1499" t="str">
        <f t="shared" si="417"/>
        <v>048314</v>
      </c>
      <c r="N1499">
        <v>1</v>
      </c>
      <c r="O1499">
        <v>1</v>
      </c>
      <c r="P1499" t="str">
        <f>"03"</f>
        <v>03</v>
      </c>
      <c r="Q1499" t="s">
        <v>835</v>
      </c>
      <c r="S1499" t="s">
        <v>836</v>
      </c>
      <c r="T1499" t="s">
        <v>836</v>
      </c>
      <c r="U1499" t="str">
        <f t="shared" si="422"/>
        <v>2500-12-31 00:00:00.0</v>
      </c>
      <c r="V1499" t="s">
        <v>837</v>
      </c>
      <c r="W1499" t="str">
        <f t="shared" si="423"/>
        <v>048314-038430-**-**</v>
      </c>
      <c r="X1499" t="s">
        <v>838</v>
      </c>
      <c r="Y1499">
        <v>1206.25</v>
      </c>
      <c r="Z1499">
        <v>1206.25</v>
      </c>
      <c r="AA1499" t="str">
        <f t="shared" si="420"/>
        <v>06/08/2016</v>
      </c>
    </row>
    <row r="1500" spans="1:27" x14ac:dyDescent="0.3">
      <c r="A1500" t="str">
        <f t="shared" si="415"/>
        <v>048314</v>
      </c>
      <c r="B1500" t="str">
        <f t="shared" si="408"/>
        <v>038430</v>
      </c>
      <c r="C1500" t="s">
        <v>1700</v>
      </c>
      <c r="D1500" t="s">
        <v>3839</v>
      </c>
      <c r="E1500" t="s">
        <v>3840</v>
      </c>
      <c r="F1500" t="s">
        <v>3841</v>
      </c>
      <c r="G1500" t="s">
        <v>3842</v>
      </c>
      <c r="H1500" t="str">
        <f t="shared" si="418"/>
        <v>048314</v>
      </c>
      <c r="I1500" t="s">
        <v>833</v>
      </c>
      <c r="J1500" t="str">
        <f t="shared" si="424"/>
        <v>2015-07-01 00:00:00.0</v>
      </c>
      <c r="K1500" t="s">
        <v>834</v>
      </c>
      <c r="L1500" t="s">
        <v>0</v>
      </c>
      <c r="M1500" t="str">
        <f t="shared" si="417"/>
        <v>048314</v>
      </c>
      <c r="N1500">
        <v>1</v>
      </c>
      <c r="O1500">
        <v>1</v>
      </c>
      <c r="P1500" t="str">
        <f>"02"</f>
        <v>02</v>
      </c>
      <c r="Q1500" t="s">
        <v>835</v>
      </c>
      <c r="S1500" t="s">
        <v>836</v>
      </c>
      <c r="T1500" t="s">
        <v>836</v>
      </c>
      <c r="U1500" t="str">
        <f t="shared" si="422"/>
        <v>2500-12-31 00:00:00.0</v>
      </c>
      <c r="V1500" t="s">
        <v>837</v>
      </c>
      <c r="W1500" t="str">
        <f t="shared" si="423"/>
        <v>048314-038430-**-**</v>
      </c>
      <c r="X1500" t="s">
        <v>838</v>
      </c>
      <c r="Y1500">
        <v>1206.25</v>
      </c>
      <c r="Z1500">
        <v>1206.25</v>
      </c>
      <c r="AA1500" t="str">
        <f t="shared" si="420"/>
        <v>06/08/2016</v>
      </c>
    </row>
    <row r="1501" spans="1:27" x14ac:dyDescent="0.3">
      <c r="A1501" t="str">
        <f t="shared" si="415"/>
        <v>048314</v>
      </c>
      <c r="B1501" t="str">
        <f t="shared" si="408"/>
        <v>038430</v>
      </c>
      <c r="C1501" t="s">
        <v>3451</v>
      </c>
      <c r="D1501" t="s">
        <v>3839</v>
      </c>
      <c r="E1501" t="s">
        <v>3840</v>
      </c>
      <c r="F1501" t="s">
        <v>3841</v>
      </c>
      <c r="G1501" t="s">
        <v>3842</v>
      </c>
      <c r="H1501" t="str">
        <f t="shared" si="418"/>
        <v>048314</v>
      </c>
      <c r="I1501" t="s">
        <v>833</v>
      </c>
      <c r="J1501" t="str">
        <f t="shared" si="424"/>
        <v>2015-07-01 00:00:00.0</v>
      </c>
      <c r="K1501" t="s">
        <v>834</v>
      </c>
      <c r="L1501" t="s">
        <v>0</v>
      </c>
      <c r="M1501" t="str">
        <f t="shared" si="417"/>
        <v>048314</v>
      </c>
      <c r="N1501">
        <v>1</v>
      </c>
      <c r="O1501">
        <v>1</v>
      </c>
      <c r="P1501" t="str">
        <f>"03"</f>
        <v>03</v>
      </c>
      <c r="Q1501" t="str">
        <f>"15"</f>
        <v>15</v>
      </c>
      <c r="R1501" t="str">
        <f>"2"</f>
        <v>2</v>
      </c>
      <c r="S1501" t="s">
        <v>836</v>
      </c>
      <c r="T1501" t="s">
        <v>836</v>
      </c>
      <c r="U1501" t="str">
        <f t="shared" si="422"/>
        <v>2500-12-31 00:00:00.0</v>
      </c>
      <c r="V1501" t="s">
        <v>837</v>
      </c>
      <c r="W1501" t="str">
        <f t="shared" si="423"/>
        <v>048314-038430-**-**</v>
      </c>
      <c r="X1501" t="s">
        <v>838</v>
      </c>
      <c r="Y1501">
        <v>1206.25</v>
      </c>
      <c r="Z1501">
        <v>1206.25</v>
      </c>
      <c r="AA1501" t="str">
        <f t="shared" si="420"/>
        <v>06/08/2016</v>
      </c>
    </row>
    <row r="1502" spans="1:27" x14ac:dyDescent="0.3">
      <c r="A1502" t="str">
        <f t="shared" si="415"/>
        <v>048314</v>
      </c>
      <c r="B1502" t="str">
        <f t="shared" si="408"/>
        <v>038430</v>
      </c>
      <c r="C1502" t="s">
        <v>3199</v>
      </c>
      <c r="D1502" t="s">
        <v>3839</v>
      </c>
      <c r="E1502" t="s">
        <v>3840</v>
      </c>
      <c r="F1502" t="s">
        <v>3841</v>
      </c>
      <c r="G1502" t="s">
        <v>3842</v>
      </c>
      <c r="H1502" t="str">
        <f t="shared" si="418"/>
        <v>048314</v>
      </c>
      <c r="I1502" t="s">
        <v>833</v>
      </c>
      <c r="J1502" t="str">
        <f t="shared" si="424"/>
        <v>2015-07-01 00:00:00.0</v>
      </c>
      <c r="K1502" t="s">
        <v>834</v>
      </c>
      <c r="L1502" t="s">
        <v>0</v>
      </c>
      <c r="M1502" t="str">
        <f t="shared" si="417"/>
        <v>048314</v>
      </c>
      <c r="N1502">
        <v>1</v>
      </c>
      <c r="O1502">
        <v>1</v>
      </c>
      <c r="P1502" t="str">
        <f>"02"</f>
        <v>02</v>
      </c>
      <c r="Q1502" t="s">
        <v>835</v>
      </c>
      <c r="S1502" t="s">
        <v>836</v>
      </c>
      <c r="T1502" t="s">
        <v>836</v>
      </c>
      <c r="U1502" t="str">
        <f t="shared" si="422"/>
        <v>2500-12-31 00:00:00.0</v>
      </c>
      <c r="V1502" t="s">
        <v>837</v>
      </c>
      <c r="W1502" t="str">
        <f t="shared" si="423"/>
        <v>048314-038430-**-**</v>
      </c>
      <c r="X1502" t="s">
        <v>838</v>
      </c>
      <c r="Y1502">
        <v>1206.25</v>
      </c>
      <c r="Z1502">
        <v>1206.25</v>
      </c>
      <c r="AA1502" t="str">
        <f t="shared" si="420"/>
        <v>06/08/2016</v>
      </c>
    </row>
    <row r="1503" spans="1:27" x14ac:dyDescent="0.3">
      <c r="A1503" t="str">
        <f t="shared" si="415"/>
        <v>048314</v>
      </c>
      <c r="B1503" t="str">
        <f t="shared" si="408"/>
        <v>038430</v>
      </c>
      <c r="C1503" t="s">
        <v>2824</v>
      </c>
      <c r="D1503" t="s">
        <v>3839</v>
      </c>
      <c r="E1503" t="s">
        <v>3840</v>
      </c>
      <c r="F1503" t="s">
        <v>3841</v>
      </c>
      <c r="G1503" t="s">
        <v>3842</v>
      </c>
      <c r="H1503" t="str">
        <f t="shared" si="418"/>
        <v>048314</v>
      </c>
      <c r="I1503" t="s">
        <v>833</v>
      </c>
      <c r="J1503" t="str">
        <f t="shared" si="424"/>
        <v>2015-07-01 00:00:00.0</v>
      </c>
      <c r="K1503" t="s">
        <v>834</v>
      </c>
      <c r="L1503" t="s">
        <v>0</v>
      </c>
      <c r="M1503" t="str">
        <f t="shared" si="417"/>
        <v>048314</v>
      </c>
      <c r="N1503">
        <v>1</v>
      </c>
      <c r="O1503">
        <v>1</v>
      </c>
      <c r="P1503" t="str">
        <f>"05"</f>
        <v>05</v>
      </c>
      <c r="Q1503" t="s">
        <v>835</v>
      </c>
      <c r="S1503" t="s">
        <v>836</v>
      </c>
      <c r="T1503" t="s">
        <v>836</v>
      </c>
      <c r="U1503" t="str">
        <f t="shared" si="422"/>
        <v>2500-12-31 00:00:00.0</v>
      </c>
      <c r="V1503" t="s">
        <v>837</v>
      </c>
      <c r="W1503" t="str">
        <f>"048314-070417-**-**"</f>
        <v>048314-070417-**-**</v>
      </c>
      <c r="X1503" t="s">
        <v>838</v>
      </c>
      <c r="Y1503">
        <v>1125</v>
      </c>
      <c r="Z1503">
        <v>1125</v>
      </c>
      <c r="AA1503" t="str">
        <f t="shared" si="420"/>
        <v>06/08/2016</v>
      </c>
    </row>
    <row r="1504" spans="1:27" x14ac:dyDescent="0.3">
      <c r="A1504" t="str">
        <f t="shared" si="415"/>
        <v>048314</v>
      </c>
      <c r="B1504" t="str">
        <f t="shared" si="408"/>
        <v>038430</v>
      </c>
      <c r="C1504" t="s">
        <v>3001</v>
      </c>
      <c r="D1504" t="s">
        <v>3839</v>
      </c>
      <c r="E1504" t="s">
        <v>3840</v>
      </c>
      <c r="F1504" t="s">
        <v>3841</v>
      </c>
      <c r="G1504" t="s">
        <v>3842</v>
      </c>
      <c r="H1504" t="str">
        <f t="shared" si="418"/>
        <v>048314</v>
      </c>
      <c r="I1504" t="s">
        <v>833</v>
      </c>
      <c r="J1504" t="str">
        <f>"2016-03-23 00:00:00.0"</f>
        <v>2016-03-23 00:00:00.0</v>
      </c>
      <c r="K1504" t="s">
        <v>834</v>
      </c>
      <c r="L1504" t="s">
        <v>0</v>
      </c>
      <c r="M1504" t="str">
        <f t="shared" si="417"/>
        <v>048314</v>
      </c>
      <c r="N1504">
        <v>0.27979300000000001</v>
      </c>
      <c r="O1504">
        <v>0.27979300000000001</v>
      </c>
      <c r="P1504" t="str">
        <f>"01"</f>
        <v>01</v>
      </c>
      <c r="Q1504" t="str">
        <f>"10"</f>
        <v>10</v>
      </c>
      <c r="R1504" t="str">
        <f>"2"</f>
        <v>2</v>
      </c>
      <c r="S1504" t="s">
        <v>860</v>
      </c>
      <c r="T1504" t="s">
        <v>836</v>
      </c>
      <c r="U1504" t="str">
        <f t="shared" si="422"/>
        <v>2500-12-31 00:00:00.0</v>
      </c>
      <c r="V1504" t="s">
        <v>837</v>
      </c>
      <c r="W1504" t="str">
        <f t="shared" ref="W1504:W1511" si="425">"048314-038430-**-**"</f>
        <v>048314-038430-**-**</v>
      </c>
      <c r="X1504" t="s">
        <v>838</v>
      </c>
      <c r="Y1504">
        <v>337.5</v>
      </c>
      <c r="Z1504">
        <v>1206.25</v>
      </c>
      <c r="AA1504" t="str">
        <f t="shared" si="420"/>
        <v>06/08/2016</v>
      </c>
    </row>
    <row r="1505" spans="1:27" x14ac:dyDescent="0.3">
      <c r="A1505" t="str">
        <f t="shared" si="415"/>
        <v>048314</v>
      </c>
      <c r="B1505" t="str">
        <f t="shared" si="408"/>
        <v>038430</v>
      </c>
      <c r="C1505" t="s">
        <v>3001</v>
      </c>
      <c r="D1505" t="s">
        <v>3839</v>
      </c>
      <c r="E1505" t="s">
        <v>3840</v>
      </c>
      <c r="F1505" t="s">
        <v>3841</v>
      </c>
      <c r="G1505" t="s">
        <v>3842</v>
      </c>
      <c r="H1505" t="str">
        <f t="shared" si="418"/>
        <v>048314</v>
      </c>
      <c r="I1505" t="s">
        <v>833</v>
      </c>
      <c r="J1505" t="str">
        <f t="shared" ref="J1505:J1510" si="426">"2015-07-01 00:00:00.0"</f>
        <v>2015-07-01 00:00:00.0</v>
      </c>
      <c r="K1505" t="s">
        <v>834</v>
      </c>
      <c r="L1505" t="s">
        <v>0</v>
      </c>
      <c r="M1505" t="str">
        <f t="shared" si="417"/>
        <v>048314</v>
      </c>
      <c r="N1505">
        <v>0.72020700000000004</v>
      </c>
      <c r="O1505">
        <v>0.72020700000000004</v>
      </c>
      <c r="P1505" t="str">
        <f>"01"</f>
        <v>01</v>
      </c>
      <c r="Q1505" t="s">
        <v>835</v>
      </c>
      <c r="S1505" t="s">
        <v>860</v>
      </c>
      <c r="T1505" t="s">
        <v>836</v>
      </c>
      <c r="U1505" t="str">
        <f>"2016-03-22 00:00:00.0"</f>
        <v>2016-03-22 00:00:00.0</v>
      </c>
      <c r="V1505" t="s">
        <v>837</v>
      </c>
      <c r="W1505" t="str">
        <f t="shared" si="425"/>
        <v>048314-038430-**-**</v>
      </c>
      <c r="X1505" t="s">
        <v>838</v>
      </c>
      <c r="Y1505">
        <v>868.75</v>
      </c>
      <c r="Z1505">
        <v>1206.25</v>
      </c>
      <c r="AA1505" t="str">
        <f t="shared" si="420"/>
        <v>06/08/2016</v>
      </c>
    </row>
    <row r="1506" spans="1:27" x14ac:dyDescent="0.3">
      <c r="A1506" t="str">
        <f t="shared" si="415"/>
        <v>048314</v>
      </c>
      <c r="B1506" t="str">
        <f t="shared" si="408"/>
        <v>038430</v>
      </c>
      <c r="C1506" t="s">
        <v>2752</v>
      </c>
      <c r="D1506" t="s">
        <v>3839</v>
      </c>
      <c r="E1506" t="s">
        <v>3840</v>
      </c>
      <c r="F1506" t="s">
        <v>3841</v>
      </c>
      <c r="G1506" t="s">
        <v>3842</v>
      </c>
      <c r="H1506" t="str">
        <f t="shared" si="418"/>
        <v>048314</v>
      </c>
      <c r="I1506" t="s">
        <v>833</v>
      </c>
      <c r="J1506" t="str">
        <f t="shared" si="426"/>
        <v>2015-07-01 00:00:00.0</v>
      </c>
      <c r="K1506" t="s">
        <v>834</v>
      </c>
      <c r="L1506" t="s">
        <v>0</v>
      </c>
      <c r="M1506" t="str">
        <f t="shared" si="417"/>
        <v>048314</v>
      </c>
      <c r="N1506">
        <v>1</v>
      </c>
      <c r="O1506">
        <v>1</v>
      </c>
      <c r="P1506" t="str">
        <f>"02"</f>
        <v>02</v>
      </c>
      <c r="Q1506" t="s">
        <v>835</v>
      </c>
      <c r="S1506" t="s">
        <v>836</v>
      </c>
      <c r="T1506" t="s">
        <v>836</v>
      </c>
      <c r="U1506" t="str">
        <f t="shared" ref="U1506:U1526" si="427">"2500-12-31 00:00:00.0"</f>
        <v>2500-12-31 00:00:00.0</v>
      </c>
      <c r="V1506" t="s">
        <v>837</v>
      </c>
      <c r="W1506" t="str">
        <f t="shared" si="425"/>
        <v>048314-038430-**-**</v>
      </c>
      <c r="X1506" t="s">
        <v>838</v>
      </c>
      <c r="Y1506">
        <v>1206.25</v>
      </c>
      <c r="Z1506">
        <v>1206.25</v>
      </c>
      <c r="AA1506" t="str">
        <f t="shared" si="420"/>
        <v>06/08/2016</v>
      </c>
    </row>
    <row r="1507" spans="1:27" x14ac:dyDescent="0.3">
      <c r="A1507" t="str">
        <f t="shared" si="415"/>
        <v>048314</v>
      </c>
      <c r="B1507" t="str">
        <f t="shared" si="408"/>
        <v>038430</v>
      </c>
      <c r="C1507" t="s">
        <v>2012</v>
      </c>
      <c r="D1507" t="s">
        <v>3839</v>
      </c>
      <c r="E1507" t="s">
        <v>3840</v>
      </c>
      <c r="F1507" t="s">
        <v>3841</v>
      </c>
      <c r="G1507" t="s">
        <v>3842</v>
      </c>
      <c r="H1507" t="str">
        <f t="shared" si="418"/>
        <v>048314</v>
      </c>
      <c r="I1507" t="s">
        <v>833</v>
      </c>
      <c r="J1507" t="str">
        <f t="shared" si="426"/>
        <v>2015-07-01 00:00:00.0</v>
      </c>
      <c r="K1507" t="s">
        <v>834</v>
      </c>
      <c r="L1507" t="s">
        <v>0</v>
      </c>
      <c r="M1507" t="str">
        <f t="shared" si="417"/>
        <v>048314</v>
      </c>
      <c r="N1507">
        <v>1</v>
      </c>
      <c r="O1507">
        <v>1</v>
      </c>
      <c r="P1507" t="str">
        <f>"02"</f>
        <v>02</v>
      </c>
      <c r="Q1507" t="s">
        <v>835</v>
      </c>
      <c r="S1507" t="s">
        <v>836</v>
      </c>
      <c r="T1507" t="s">
        <v>836</v>
      </c>
      <c r="U1507" t="str">
        <f t="shared" si="427"/>
        <v>2500-12-31 00:00:00.0</v>
      </c>
      <c r="V1507" t="s">
        <v>837</v>
      </c>
      <c r="W1507" t="str">
        <f t="shared" si="425"/>
        <v>048314-038430-**-**</v>
      </c>
      <c r="X1507" t="s">
        <v>838</v>
      </c>
      <c r="Y1507">
        <v>1206.25</v>
      </c>
      <c r="Z1507">
        <v>1206.25</v>
      </c>
      <c r="AA1507" t="str">
        <f t="shared" si="420"/>
        <v>06/08/2016</v>
      </c>
    </row>
    <row r="1508" spans="1:27" x14ac:dyDescent="0.3">
      <c r="A1508" t="str">
        <f t="shared" si="415"/>
        <v>048314</v>
      </c>
      <c r="B1508" t="str">
        <f t="shared" ref="B1508:B1571" si="428">"038430"</f>
        <v>038430</v>
      </c>
      <c r="C1508" t="s">
        <v>3711</v>
      </c>
      <c r="D1508" t="s">
        <v>3839</v>
      </c>
      <c r="E1508" t="s">
        <v>3840</v>
      </c>
      <c r="F1508" t="s">
        <v>3841</v>
      </c>
      <c r="G1508" t="s">
        <v>3842</v>
      </c>
      <c r="H1508" t="str">
        <f t="shared" si="418"/>
        <v>048314</v>
      </c>
      <c r="I1508" t="s">
        <v>833</v>
      </c>
      <c r="J1508" t="str">
        <f t="shared" si="426"/>
        <v>2015-07-01 00:00:00.0</v>
      </c>
      <c r="K1508" t="s">
        <v>834</v>
      </c>
      <c r="L1508" t="s">
        <v>0</v>
      </c>
      <c r="M1508" t="str">
        <f t="shared" si="417"/>
        <v>048314</v>
      </c>
      <c r="N1508">
        <v>1</v>
      </c>
      <c r="O1508">
        <v>1</v>
      </c>
      <c r="P1508" t="str">
        <f>"01"</f>
        <v>01</v>
      </c>
      <c r="Q1508" t="s">
        <v>835</v>
      </c>
      <c r="S1508" t="s">
        <v>836</v>
      </c>
      <c r="T1508" t="s">
        <v>836</v>
      </c>
      <c r="U1508" t="str">
        <f t="shared" si="427"/>
        <v>2500-12-31 00:00:00.0</v>
      </c>
      <c r="V1508" t="s">
        <v>837</v>
      </c>
      <c r="W1508" t="str">
        <f t="shared" si="425"/>
        <v>048314-038430-**-**</v>
      </c>
      <c r="X1508" t="s">
        <v>838</v>
      </c>
      <c r="Y1508">
        <v>1206.25</v>
      </c>
      <c r="Z1508">
        <v>1206.25</v>
      </c>
      <c r="AA1508" t="str">
        <f t="shared" si="420"/>
        <v>06/08/2016</v>
      </c>
    </row>
    <row r="1509" spans="1:27" x14ac:dyDescent="0.3">
      <c r="A1509" t="str">
        <f t="shared" si="415"/>
        <v>048314</v>
      </c>
      <c r="B1509" t="str">
        <f t="shared" si="428"/>
        <v>038430</v>
      </c>
      <c r="C1509" t="s">
        <v>3019</v>
      </c>
      <c r="D1509" t="s">
        <v>3839</v>
      </c>
      <c r="E1509" t="s">
        <v>3840</v>
      </c>
      <c r="F1509" t="s">
        <v>3841</v>
      </c>
      <c r="G1509" t="s">
        <v>3842</v>
      </c>
      <c r="H1509" t="str">
        <f t="shared" si="418"/>
        <v>048314</v>
      </c>
      <c r="I1509" t="s">
        <v>833</v>
      </c>
      <c r="J1509" t="str">
        <f t="shared" si="426"/>
        <v>2015-07-01 00:00:00.0</v>
      </c>
      <c r="K1509" t="s">
        <v>834</v>
      </c>
      <c r="L1509" t="s">
        <v>0</v>
      </c>
      <c r="M1509" t="str">
        <f t="shared" si="417"/>
        <v>048314</v>
      </c>
      <c r="N1509">
        <v>1</v>
      </c>
      <c r="O1509">
        <v>1</v>
      </c>
      <c r="P1509" t="str">
        <f>"01"</f>
        <v>01</v>
      </c>
      <c r="Q1509" t="s">
        <v>835</v>
      </c>
      <c r="S1509" t="s">
        <v>836</v>
      </c>
      <c r="T1509" t="s">
        <v>836</v>
      </c>
      <c r="U1509" t="str">
        <f t="shared" si="427"/>
        <v>2500-12-31 00:00:00.0</v>
      </c>
      <c r="V1509" t="s">
        <v>837</v>
      </c>
      <c r="W1509" t="str">
        <f t="shared" si="425"/>
        <v>048314-038430-**-**</v>
      </c>
      <c r="X1509" t="s">
        <v>838</v>
      </c>
      <c r="Y1509">
        <v>1206.25</v>
      </c>
      <c r="Z1509">
        <v>1206.25</v>
      </c>
      <c r="AA1509" t="str">
        <f t="shared" si="420"/>
        <v>06/08/2016</v>
      </c>
    </row>
    <row r="1510" spans="1:27" x14ac:dyDescent="0.3">
      <c r="A1510" t="str">
        <f t="shared" si="415"/>
        <v>048314</v>
      </c>
      <c r="B1510" t="str">
        <f t="shared" si="428"/>
        <v>038430</v>
      </c>
      <c r="C1510" t="s">
        <v>3522</v>
      </c>
      <c r="D1510" t="s">
        <v>3839</v>
      </c>
      <c r="E1510" t="s">
        <v>3840</v>
      </c>
      <c r="F1510" t="s">
        <v>3841</v>
      </c>
      <c r="G1510" t="s">
        <v>3842</v>
      </c>
      <c r="H1510" t="str">
        <f t="shared" si="418"/>
        <v>048314</v>
      </c>
      <c r="I1510" t="s">
        <v>833</v>
      </c>
      <c r="J1510" t="str">
        <f t="shared" si="426"/>
        <v>2015-07-01 00:00:00.0</v>
      </c>
      <c r="K1510" t="s">
        <v>834</v>
      </c>
      <c r="L1510" t="s">
        <v>0</v>
      </c>
      <c r="M1510" t="str">
        <f t="shared" si="417"/>
        <v>048314</v>
      </c>
      <c r="N1510">
        <v>1</v>
      </c>
      <c r="O1510">
        <v>1</v>
      </c>
      <c r="P1510" t="str">
        <f>"04"</f>
        <v>04</v>
      </c>
      <c r="Q1510" t="s">
        <v>835</v>
      </c>
      <c r="S1510" t="s">
        <v>836</v>
      </c>
      <c r="T1510" t="s">
        <v>836</v>
      </c>
      <c r="U1510" t="str">
        <f t="shared" si="427"/>
        <v>2500-12-31 00:00:00.0</v>
      </c>
      <c r="V1510" t="s">
        <v>837</v>
      </c>
      <c r="W1510" t="str">
        <f t="shared" si="425"/>
        <v>048314-038430-**-**</v>
      </c>
      <c r="X1510" t="s">
        <v>838</v>
      </c>
      <c r="Y1510">
        <v>1206.25</v>
      </c>
      <c r="Z1510">
        <v>1206.25</v>
      </c>
      <c r="AA1510" t="str">
        <f t="shared" si="420"/>
        <v>06/08/2016</v>
      </c>
    </row>
    <row r="1511" spans="1:27" x14ac:dyDescent="0.3">
      <c r="A1511" t="str">
        <f t="shared" si="415"/>
        <v>048314</v>
      </c>
      <c r="B1511" t="str">
        <f t="shared" si="428"/>
        <v>038430</v>
      </c>
      <c r="C1511" t="s">
        <v>2053</v>
      </c>
      <c r="D1511" t="s">
        <v>3839</v>
      </c>
      <c r="E1511" t="s">
        <v>3840</v>
      </c>
      <c r="F1511" t="s">
        <v>3841</v>
      </c>
      <c r="G1511" t="s">
        <v>3842</v>
      </c>
      <c r="H1511" t="str">
        <f t="shared" si="418"/>
        <v>048314</v>
      </c>
      <c r="I1511" t="s">
        <v>833</v>
      </c>
      <c r="J1511" t="str">
        <f>"2015-08-31 00:00:00.0"</f>
        <v>2015-08-31 00:00:00.0</v>
      </c>
      <c r="K1511" t="s">
        <v>834</v>
      </c>
      <c r="L1511" t="s">
        <v>0</v>
      </c>
      <c r="M1511" t="str">
        <f t="shared" si="417"/>
        <v>048314</v>
      </c>
      <c r="N1511">
        <v>1</v>
      </c>
      <c r="O1511">
        <v>1</v>
      </c>
      <c r="P1511" t="s">
        <v>764</v>
      </c>
      <c r="Q1511" t="s">
        <v>835</v>
      </c>
      <c r="S1511" t="s">
        <v>836</v>
      </c>
      <c r="T1511" t="s">
        <v>836</v>
      </c>
      <c r="U1511" t="str">
        <f t="shared" si="427"/>
        <v>2500-12-31 00:00:00.0</v>
      </c>
      <c r="V1511" t="s">
        <v>837</v>
      </c>
      <c r="W1511" t="str">
        <f t="shared" si="425"/>
        <v>048314-038430-**-**</v>
      </c>
      <c r="X1511" t="s">
        <v>838</v>
      </c>
      <c r="Y1511">
        <v>1206.25</v>
      </c>
      <c r="Z1511">
        <v>1206.25</v>
      </c>
      <c r="AA1511" t="str">
        <f t="shared" si="420"/>
        <v>06/08/2016</v>
      </c>
    </row>
    <row r="1512" spans="1:27" x14ac:dyDescent="0.3">
      <c r="A1512" t="str">
        <f t="shared" si="415"/>
        <v>048314</v>
      </c>
      <c r="B1512" t="str">
        <f t="shared" si="428"/>
        <v>038430</v>
      </c>
      <c r="C1512" t="s">
        <v>2826</v>
      </c>
      <c r="D1512" t="s">
        <v>3839</v>
      </c>
      <c r="E1512" t="s">
        <v>3840</v>
      </c>
      <c r="F1512" t="s">
        <v>3841</v>
      </c>
      <c r="G1512" t="s">
        <v>3842</v>
      </c>
      <c r="H1512" t="str">
        <f t="shared" si="418"/>
        <v>048314</v>
      </c>
      <c r="I1512" t="s">
        <v>833</v>
      </c>
      <c r="J1512" t="str">
        <f>"2015-07-01 00:00:00.0"</f>
        <v>2015-07-01 00:00:00.0</v>
      </c>
      <c r="K1512" t="s">
        <v>834</v>
      </c>
      <c r="L1512" t="s">
        <v>0</v>
      </c>
      <c r="M1512" t="str">
        <f t="shared" si="417"/>
        <v>048314</v>
      </c>
      <c r="N1512">
        <v>1</v>
      </c>
      <c r="O1512">
        <v>1</v>
      </c>
      <c r="P1512" t="str">
        <f>"05"</f>
        <v>05</v>
      </c>
      <c r="Q1512" t="s">
        <v>835</v>
      </c>
      <c r="S1512" t="s">
        <v>836</v>
      </c>
      <c r="T1512" t="s">
        <v>836</v>
      </c>
      <c r="U1512" t="str">
        <f t="shared" si="427"/>
        <v>2500-12-31 00:00:00.0</v>
      </c>
      <c r="V1512" t="s">
        <v>837</v>
      </c>
      <c r="W1512" t="str">
        <f>"048314-070417-**-**"</f>
        <v>048314-070417-**-**</v>
      </c>
      <c r="X1512" t="s">
        <v>838</v>
      </c>
      <c r="Y1512">
        <v>1125</v>
      </c>
      <c r="Z1512">
        <v>1125</v>
      </c>
      <c r="AA1512" t="str">
        <f t="shared" si="420"/>
        <v>06/08/2016</v>
      </c>
    </row>
    <row r="1513" spans="1:27" x14ac:dyDescent="0.3">
      <c r="A1513" t="str">
        <f t="shared" si="415"/>
        <v>048314</v>
      </c>
      <c r="B1513" t="str">
        <f t="shared" si="428"/>
        <v>038430</v>
      </c>
      <c r="C1513" t="s">
        <v>2054</v>
      </c>
      <c r="D1513" t="s">
        <v>3839</v>
      </c>
      <c r="E1513" t="s">
        <v>3840</v>
      </c>
      <c r="F1513" t="s">
        <v>3841</v>
      </c>
      <c r="G1513" t="s">
        <v>3842</v>
      </c>
      <c r="H1513" t="str">
        <f t="shared" si="418"/>
        <v>048314</v>
      </c>
      <c r="I1513" t="s">
        <v>833</v>
      </c>
      <c r="J1513" t="str">
        <f>"2015-08-01 00:00:00.0"</f>
        <v>2015-08-01 00:00:00.0</v>
      </c>
      <c r="K1513" t="s">
        <v>834</v>
      </c>
      <c r="L1513" t="s">
        <v>0</v>
      </c>
      <c r="M1513" t="str">
        <f t="shared" si="417"/>
        <v>048314</v>
      </c>
      <c r="N1513">
        <v>1</v>
      </c>
      <c r="O1513">
        <v>1</v>
      </c>
      <c r="P1513" t="s">
        <v>764</v>
      </c>
      <c r="Q1513" t="s">
        <v>835</v>
      </c>
      <c r="S1513" t="s">
        <v>836</v>
      </c>
      <c r="T1513" t="s">
        <v>836</v>
      </c>
      <c r="U1513" t="str">
        <f t="shared" si="427"/>
        <v>2500-12-31 00:00:00.0</v>
      </c>
      <c r="V1513" t="s">
        <v>837</v>
      </c>
      <c r="W1513" t="str">
        <f>"048314-038430-**-**"</f>
        <v>048314-038430-**-**</v>
      </c>
      <c r="X1513" t="s">
        <v>838</v>
      </c>
      <c r="Y1513">
        <v>1206.25</v>
      </c>
      <c r="Z1513">
        <v>1206.25</v>
      </c>
      <c r="AA1513" t="str">
        <f t="shared" si="420"/>
        <v>06/08/2016</v>
      </c>
    </row>
    <row r="1514" spans="1:27" x14ac:dyDescent="0.3">
      <c r="A1514" t="str">
        <f t="shared" si="415"/>
        <v>048314</v>
      </c>
      <c r="B1514" t="str">
        <f t="shared" si="428"/>
        <v>038430</v>
      </c>
      <c r="C1514" t="s">
        <v>3497</v>
      </c>
      <c r="D1514" t="s">
        <v>3839</v>
      </c>
      <c r="E1514" t="s">
        <v>3840</v>
      </c>
      <c r="F1514" t="s">
        <v>3841</v>
      </c>
      <c r="G1514" t="s">
        <v>3842</v>
      </c>
      <c r="H1514" t="str">
        <f t="shared" si="418"/>
        <v>048314</v>
      </c>
      <c r="I1514" t="s">
        <v>833</v>
      </c>
      <c r="J1514" t="str">
        <f>"2015-07-01 00:00:00.0"</f>
        <v>2015-07-01 00:00:00.0</v>
      </c>
      <c r="K1514" t="s">
        <v>834</v>
      </c>
      <c r="L1514" t="s">
        <v>0</v>
      </c>
      <c r="M1514" t="str">
        <f t="shared" si="417"/>
        <v>048314</v>
      </c>
      <c r="N1514">
        <v>1</v>
      </c>
      <c r="O1514">
        <v>1</v>
      </c>
      <c r="P1514" t="str">
        <f>"03"</f>
        <v>03</v>
      </c>
      <c r="Q1514" t="s">
        <v>835</v>
      </c>
      <c r="S1514" t="s">
        <v>836</v>
      </c>
      <c r="T1514" t="s">
        <v>836</v>
      </c>
      <c r="U1514" t="str">
        <f t="shared" si="427"/>
        <v>2500-12-31 00:00:00.0</v>
      </c>
      <c r="V1514" t="s">
        <v>837</v>
      </c>
      <c r="W1514" t="str">
        <f>"048314-038430-**-**"</f>
        <v>048314-038430-**-**</v>
      </c>
      <c r="X1514" t="s">
        <v>838</v>
      </c>
      <c r="Y1514">
        <v>1206.25</v>
      </c>
      <c r="Z1514">
        <v>1206.25</v>
      </c>
      <c r="AA1514" t="str">
        <f t="shared" si="420"/>
        <v>06/08/2016</v>
      </c>
    </row>
    <row r="1515" spans="1:27" x14ac:dyDescent="0.3">
      <c r="A1515" t="str">
        <f t="shared" si="415"/>
        <v>048314</v>
      </c>
      <c r="B1515" t="str">
        <f t="shared" si="428"/>
        <v>038430</v>
      </c>
      <c r="C1515" t="s">
        <v>2828</v>
      </c>
      <c r="D1515" t="s">
        <v>3839</v>
      </c>
      <c r="E1515" t="s">
        <v>3840</v>
      </c>
      <c r="F1515" t="s">
        <v>3841</v>
      </c>
      <c r="G1515" t="s">
        <v>3842</v>
      </c>
      <c r="H1515" t="str">
        <f t="shared" si="418"/>
        <v>048314</v>
      </c>
      <c r="I1515" t="s">
        <v>833</v>
      </c>
      <c r="J1515" t="str">
        <f>"2015-07-01 00:00:00.0"</f>
        <v>2015-07-01 00:00:00.0</v>
      </c>
      <c r="K1515" t="s">
        <v>834</v>
      </c>
      <c r="L1515" t="s">
        <v>0</v>
      </c>
      <c r="M1515" t="str">
        <f t="shared" si="417"/>
        <v>048314</v>
      </c>
      <c r="N1515">
        <v>1</v>
      </c>
      <c r="O1515">
        <v>1</v>
      </c>
      <c r="P1515" t="str">
        <f>"04"</f>
        <v>04</v>
      </c>
      <c r="Q1515" t="s">
        <v>835</v>
      </c>
      <c r="S1515" t="s">
        <v>836</v>
      </c>
      <c r="T1515" t="s">
        <v>836</v>
      </c>
      <c r="U1515" t="str">
        <f t="shared" si="427"/>
        <v>2500-12-31 00:00:00.0</v>
      </c>
      <c r="V1515" t="s">
        <v>837</v>
      </c>
      <c r="W1515" t="str">
        <f>"048314-038430-**-**"</f>
        <v>048314-038430-**-**</v>
      </c>
      <c r="X1515" t="s">
        <v>838</v>
      </c>
      <c r="Y1515">
        <v>1206.25</v>
      </c>
      <c r="Z1515">
        <v>1206.25</v>
      </c>
      <c r="AA1515" t="str">
        <f t="shared" si="420"/>
        <v>06/08/2016</v>
      </c>
    </row>
    <row r="1516" spans="1:27" x14ac:dyDescent="0.3">
      <c r="A1516" t="str">
        <f t="shared" si="415"/>
        <v>048314</v>
      </c>
      <c r="B1516" t="str">
        <f t="shared" si="428"/>
        <v>038430</v>
      </c>
      <c r="C1516" t="s">
        <v>2594</v>
      </c>
      <c r="D1516" t="s">
        <v>3839</v>
      </c>
      <c r="E1516" t="s">
        <v>3840</v>
      </c>
      <c r="F1516" t="s">
        <v>3841</v>
      </c>
      <c r="G1516" t="s">
        <v>3842</v>
      </c>
      <c r="H1516" t="str">
        <f t="shared" si="418"/>
        <v>048314</v>
      </c>
      <c r="I1516" t="s">
        <v>833</v>
      </c>
      <c r="J1516" t="str">
        <f>"2015-07-01 00:00:00.0"</f>
        <v>2015-07-01 00:00:00.0</v>
      </c>
      <c r="K1516" t="s">
        <v>834</v>
      </c>
      <c r="L1516" t="s">
        <v>0</v>
      </c>
      <c r="M1516" t="str">
        <f t="shared" si="417"/>
        <v>048314</v>
      </c>
      <c r="N1516">
        <v>1</v>
      </c>
      <c r="O1516">
        <v>1</v>
      </c>
      <c r="P1516" t="str">
        <f>"02"</f>
        <v>02</v>
      </c>
      <c r="Q1516" t="s">
        <v>835</v>
      </c>
      <c r="S1516" t="s">
        <v>836</v>
      </c>
      <c r="T1516" t="s">
        <v>836</v>
      </c>
      <c r="U1516" t="str">
        <f t="shared" si="427"/>
        <v>2500-12-31 00:00:00.0</v>
      </c>
      <c r="V1516" t="s">
        <v>837</v>
      </c>
      <c r="W1516" t="str">
        <f>"048314-038430-**-**"</f>
        <v>048314-038430-**-**</v>
      </c>
      <c r="X1516" t="s">
        <v>838</v>
      </c>
      <c r="Y1516">
        <v>1206.25</v>
      </c>
      <c r="Z1516">
        <v>1206.25</v>
      </c>
      <c r="AA1516" t="str">
        <f t="shared" si="420"/>
        <v>06/08/2016</v>
      </c>
    </row>
    <row r="1517" spans="1:27" x14ac:dyDescent="0.3">
      <c r="A1517" t="str">
        <f t="shared" si="415"/>
        <v>048314</v>
      </c>
      <c r="B1517" t="str">
        <f t="shared" si="428"/>
        <v>038430</v>
      </c>
      <c r="C1517" t="s">
        <v>866</v>
      </c>
      <c r="D1517" t="s">
        <v>3839</v>
      </c>
      <c r="E1517" t="s">
        <v>3840</v>
      </c>
      <c r="F1517" t="s">
        <v>3841</v>
      </c>
      <c r="G1517" t="s">
        <v>3842</v>
      </c>
      <c r="H1517" t="str">
        <f t="shared" si="418"/>
        <v>048314</v>
      </c>
      <c r="I1517" t="s">
        <v>833</v>
      </c>
      <c r="J1517" t="str">
        <f>"2015-07-01 00:00:00.0"</f>
        <v>2015-07-01 00:00:00.0</v>
      </c>
      <c r="K1517" t="s">
        <v>834</v>
      </c>
      <c r="L1517" t="s">
        <v>0</v>
      </c>
      <c r="M1517" t="str">
        <f t="shared" si="417"/>
        <v>048314</v>
      </c>
      <c r="N1517">
        <v>1</v>
      </c>
      <c r="O1517">
        <v>1</v>
      </c>
      <c r="P1517" t="str">
        <f>"05"</f>
        <v>05</v>
      </c>
      <c r="Q1517" t="s">
        <v>835</v>
      </c>
      <c r="S1517" t="s">
        <v>836</v>
      </c>
      <c r="T1517" t="s">
        <v>836</v>
      </c>
      <c r="U1517" t="str">
        <f t="shared" si="427"/>
        <v>2500-12-31 00:00:00.0</v>
      </c>
      <c r="V1517" t="s">
        <v>837</v>
      </c>
      <c r="W1517" t="str">
        <f>"048314-070417-**-**"</f>
        <v>048314-070417-**-**</v>
      </c>
      <c r="X1517" t="s">
        <v>838</v>
      </c>
      <c r="Y1517">
        <v>1125</v>
      </c>
      <c r="Z1517">
        <v>1125</v>
      </c>
      <c r="AA1517" t="str">
        <f t="shared" si="420"/>
        <v>06/08/2016</v>
      </c>
    </row>
    <row r="1518" spans="1:27" x14ac:dyDescent="0.3">
      <c r="A1518" t="str">
        <f t="shared" si="415"/>
        <v>048314</v>
      </c>
      <c r="B1518" t="str">
        <f t="shared" si="428"/>
        <v>038430</v>
      </c>
      <c r="C1518" t="s">
        <v>3244</v>
      </c>
      <c r="D1518" t="s">
        <v>3839</v>
      </c>
      <c r="E1518" t="s">
        <v>3840</v>
      </c>
      <c r="F1518" t="s">
        <v>3841</v>
      </c>
      <c r="G1518" t="s">
        <v>3842</v>
      </c>
      <c r="H1518" t="str">
        <f t="shared" si="418"/>
        <v>048314</v>
      </c>
      <c r="I1518" t="s">
        <v>833</v>
      </c>
      <c r="J1518" t="str">
        <f>"2015-07-01 00:00:00.0"</f>
        <v>2015-07-01 00:00:00.0</v>
      </c>
      <c r="K1518" t="s">
        <v>834</v>
      </c>
      <c r="L1518" t="s">
        <v>0</v>
      </c>
      <c r="M1518" t="str">
        <f t="shared" si="417"/>
        <v>048314</v>
      </c>
      <c r="N1518">
        <v>1</v>
      </c>
      <c r="O1518">
        <v>1</v>
      </c>
      <c r="P1518" t="str">
        <f>"04"</f>
        <v>04</v>
      </c>
      <c r="Q1518" t="s">
        <v>835</v>
      </c>
      <c r="S1518" t="s">
        <v>836</v>
      </c>
      <c r="T1518" t="s">
        <v>836</v>
      </c>
      <c r="U1518" t="str">
        <f t="shared" si="427"/>
        <v>2500-12-31 00:00:00.0</v>
      </c>
      <c r="V1518" t="s">
        <v>837</v>
      </c>
      <c r="W1518" t="str">
        <f>"048314-038430-**-**"</f>
        <v>048314-038430-**-**</v>
      </c>
      <c r="X1518" t="s">
        <v>838</v>
      </c>
      <c r="Y1518">
        <v>1206.25</v>
      </c>
      <c r="Z1518">
        <v>1206.25</v>
      </c>
      <c r="AA1518" t="str">
        <f t="shared" si="420"/>
        <v>06/08/2016</v>
      </c>
    </row>
    <row r="1519" spans="1:27" x14ac:dyDescent="0.3">
      <c r="A1519" t="str">
        <f t="shared" si="415"/>
        <v>048314</v>
      </c>
      <c r="B1519" t="str">
        <f t="shared" si="428"/>
        <v>038430</v>
      </c>
      <c r="C1519" t="s">
        <v>1694</v>
      </c>
      <c r="D1519" t="s">
        <v>3839</v>
      </c>
      <c r="E1519" t="s">
        <v>3840</v>
      </c>
      <c r="F1519" t="s">
        <v>3841</v>
      </c>
      <c r="G1519" t="s">
        <v>3842</v>
      </c>
      <c r="H1519" t="str">
        <f t="shared" si="418"/>
        <v>048314</v>
      </c>
      <c r="I1519" t="s">
        <v>833</v>
      </c>
      <c r="J1519" t="str">
        <f>"2015-08-01 00:00:00.0"</f>
        <v>2015-08-01 00:00:00.0</v>
      </c>
      <c r="K1519" t="s">
        <v>834</v>
      </c>
      <c r="L1519" t="s">
        <v>0</v>
      </c>
      <c r="M1519" t="str">
        <f t="shared" si="417"/>
        <v>048314</v>
      </c>
      <c r="N1519">
        <v>1</v>
      </c>
      <c r="O1519">
        <v>1</v>
      </c>
      <c r="P1519" t="s">
        <v>764</v>
      </c>
      <c r="Q1519" t="s">
        <v>835</v>
      </c>
      <c r="S1519" t="s">
        <v>836</v>
      </c>
      <c r="T1519" t="s">
        <v>836</v>
      </c>
      <c r="U1519" t="str">
        <f t="shared" si="427"/>
        <v>2500-12-31 00:00:00.0</v>
      </c>
      <c r="V1519" t="s">
        <v>837</v>
      </c>
      <c r="W1519" t="str">
        <f>"048314-038430-**-**"</f>
        <v>048314-038430-**-**</v>
      </c>
      <c r="X1519" t="s">
        <v>838</v>
      </c>
      <c r="Y1519">
        <v>1206.25</v>
      </c>
      <c r="Z1519">
        <v>1206.25</v>
      </c>
      <c r="AA1519" t="str">
        <f t="shared" si="420"/>
        <v>06/08/2016</v>
      </c>
    </row>
    <row r="1520" spans="1:27" x14ac:dyDescent="0.3">
      <c r="A1520" t="str">
        <f t="shared" si="415"/>
        <v>048314</v>
      </c>
      <c r="B1520" t="str">
        <f t="shared" si="428"/>
        <v>038430</v>
      </c>
      <c r="C1520" t="s">
        <v>999</v>
      </c>
      <c r="D1520" t="s">
        <v>3839</v>
      </c>
      <c r="E1520" t="s">
        <v>3840</v>
      </c>
      <c r="F1520" t="s">
        <v>3841</v>
      </c>
      <c r="G1520" t="s">
        <v>3842</v>
      </c>
      <c r="H1520" t="str">
        <f t="shared" si="418"/>
        <v>048314</v>
      </c>
      <c r="I1520" t="s">
        <v>833</v>
      </c>
      <c r="J1520" t="str">
        <f t="shared" ref="J1520:J1525" si="429">"2015-07-01 00:00:00.0"</f>
        <v>2015-07-01 00:00:00.0</v>
      </c>
      <c r="K1520" t="s">
        <v>834</v>
      </c>
      <c r="L1520" t="s">
        <v>0</v>
      </c>
      <c r="M1520" t="str">
        <f t="shared" si="417"/>
        <v>048314</v>
      </c>
      <c r="N1520">
        <v>1</v>
      </c>
      <c r="O1520">
        <v>1</v>
      </c>
      <c r="P1520" t="str">
        <f>"01"</f>
        <v>01</v>
      </c>
      <c r="Q1520" t="s">
        <v>835</v>
      </c>
      <c r="S1520" t="s">
        <v>836</v>
      </c>
      <c r="T1520" t="s">
        <v>836</v>
      </c>
      <c r="U1520" t="str">
        <f t="shared" si="427"/>
        <v>2500-12-31 00:00:00.0</v>
      </c>
      <c r="V1520" t="s">
        <v>837</v>
      </c>
      <c r="W1520" t="str">
        <f>"048314-038430-**-**"</f>
        <v>048314-038430-**-**</v>
      </c>
      <c r="X1520" t="s">
        <v>838</v>
      </c>
      <c r="Y1520">
        <v>1206.25</v>
      </c>
      <c r="Z1520">
        <v>1206.25</v>
      </c>
      <c r="AA1520" t="str">
        <f t="shared" si="420"/>
        <v>06/08/2016</v>
      </c>
    </row>
    <row r="1521" spans="1:27" x14ac:dyDescent="0.3">
      <c r="A1521" t="str">
        <f t="shared" si="415"/>
        <v>048314</v>
      </c>
      <c r="B1521" t="str">
        <f t="shared" si="428"/>
        <v>038430</v>
      </c>
      <c r="C1521" t="s">
        <v>3261</v>
      </c>
      <c r="D1521" t="s">
        <v>3839</v>
      </c>
      <c r="E1521" t="s">
        <v>3840</v>
      </c>
      <c r="F1521" t="s">
        <v>3841</v>
      </c>
      <c r="G1521" t="s">
        <v>3842</v>
      </c>
      <c r="H1521" t="str">
        <f>"048397"</f>
        <v>048397</v>
      </c>
      <c r="I1521" t="s">
        <v>833</v>
      </c>
      <c r="J1521" t="str">
        <f t="shared" si="429"/>
        <v>2015-07-01 00:00:00.0</v>
      </c>
      <c r="K1521" t="s">
        <v>834</v>
      </c>
      <c r="L1521" t="s">
        <v>1</v>
      </c>
      <c r="M1521" t="str">
        <f t="shared" si="417"/>
        <v>048314</v>
      </c>
      <c r="N1521">
        <v>1</v>
      </c>
      <c r="O1521">
        <v>1</v>
      </c>
      <c r="P1521" t="str">
        <f>"04"</f>
        <v>04</v>
      </c>
      <c r="Q1521" t="s">
        <v>835</v>
      </c>
      <c r="S1521" t="s">
        <v>836</v>
      </c>
      <c r="T1521" t="s">
        <v>836</v>
      </c>
      <c r="U1521" t="str">
        <f t="shared" si="427"/>
        <v>2500-12-31 00:00:00.0</v>
      </c>
      <c r="V1521" t="s">
        <v>837</v>
      </c>
      <c r="W1521" t="str">
        <f>"048397-010298-**-**"</f>
        <v>048397-010298-**-**</v>
      </c>
      <c r="X1521" t="s">
        <v>838</v>
      </c>
      <c r="Y1521">
        <v>1113.0999999999999</v>
      </c>
      <c r="Z1521">
        <v>1113.0999999999999</v>
      </c>
      <c r="AA1521" t="str">
        <f t="shared" si="420"/>
        <v>06/08/2016</v>
      </c>
    </row>
    <row r="1522" spans="1:27" x14ac:dyDescent="0.3">
      <c r="A1522" t="str">
        <f t="shared" si="415"/>
        <v>048314</v>
      </c>
      <c r="B1522" t="str">
        <f t="shared" si="428"/>
        <v>038430</v>
      </c>
      <c r="C1522" t="s">
        <v>987</v>
      </c>
      <c r="D1522" t="s">
        <v>3839</v>
      </c>
      <c r="E1522" t="s">
        <v>3840</v>
      </c>
      <c r="F1522" t="s">
        <v>3841</v>
      </c>
      <c r="G1522" t="s">
        <v>3842</v>
      </c>
      <c r="H1522" t="str">
        <f>"048363"</f>
        <v>048363</v>
      </c>
      <c r="I1522" t="s">
        <v>833</v>
      </c>
      <c r="J1522" t="str">
        <f t="shared" si="429"/>
        <v>2015-07-01 00:00:00.0</v>
      </c>
      <c r="K1522" t="s">
        <v>834</v>
      </c>
      <c r="L1522" t="s">
        <v>1</v>
      </c>
      <c r="M1522" t="str">
        <f t="shared" si="417"/>
        <v>048314</v>
      </c>
      <c r="N1522">
        <v>1</v>
      </c>
      <c r="O1522">
        <v>1</v>
      </c>
      <c r="P1522" t="s">
        <v>764</v>
      </c>
      <c r="Q1522" t="s">
        <v>835</v>
      </c>
      <c r="S1522" t="s">
        <v>836</v>
      </c>
      <c r="T1522" t="s">
        <v>836</v>
      </c>
      <c r="U1522" t="str">
        <f t="shared" si="427"/>
        <v>2500-12-31 00:00:00.0</v>
      </c>
      <c r="V1522" t="s">
        <v>837</v>
      </c>
      <c r="W1522" t="str">
        <f>"048363-026211-**-**"</f>
        <v>048363-026211-**-**</v>
      </c>
      <c r="X1522" t="s">
        <v>838</v>
      </c>
      <c r="Y1522">
        <v>1127</v>
      </c>
      <c r="Z1522">
        <v>1127</v>
      </c>
      <c r="AA1522" t="str">
        <f>"06/15/2016"</f>
        <v>06/15/2016</v>
      </c>
    </row>
    <row r="1523" spans="1:27" x14ac:dyDescent="0.3">
      <c r="A1523" t="str">
        <f t="shared" si="415"/>
        <v>048314</v>
      </c>
      <c r="B1523" t="str">
        <f t="shared" si="428"/>
        <v>038430</v>
      </c>
      <c r="C1523" t="s">
        <v>2297</v>
      </c>
      <c r="D1523" t="s">
        <v>3839</v>
      </c>
      <c r="E1523" t="s">
        <v>3840</v>
      </c>
      <c r="F1523" t="s">
        <v>3841</v>
      </c>
      <c r="G1523" t="s">
        <v>3842</v>
      </c>
      <c r="H1523" t="str">
        <f>"048314"</f>
        <v>048314</v>
      </c>
      <c r="I1523" t="s">
        <v>833</v>
      </c>
      <c r="J1523" t="str">
        <f t="shared" si="429"/>
        <v>2015-07-01 00:00:00.0</v>
      </c>
      <c r="K1523" t="s">
        <v>834</v>
      </c>
      <c r="L1523" t="s">
        <v>0</v>
      </c>
      <c r="M1523" t="str">
        <f t="shared" si="417"/>
        <v>048314</v>
      </c>
      <c r="N1523">
        <v>1</v>
      </c>
      <c r="O1523">
        <v>1</v>
      </c>
      <c r="P1523" t="str">
        <f>"05"</f>
        <v>05</v>
      </c>
      <c r="Q1523" t="str">
        <f>"10"</f>
        <v>10</v>
      </c>
      <c r="R1523" t="str">
        <f>"2"</f>
        <v>2</v>
      </c>
      <c r="S1523" t="s">
        <v>836</v>
      </c>
      <c r="T1523" t="s">
        <v>836</v>
      </c>
      <c r="U1523" t="str">
        <f t="shared" si="427"/>
        <v>2500-12-31 00:00:00.0</v>
      </c>
      <c r="V1523" t="s">
        <v>837</v>
      </c>
      <c r="W1523" t="str">
        <f>"048314-070417-**-**"</f>
        <v>048314-070417-**-**</v>
      </c>
      <c r="X1523" t="s">
        <v>838</v>
      </c>
      <c r="Y1523">
        <v>1125</v>
      </c>
      <c r="Z1523">
        <v>1125</v>
      </c>
      <c r="AA1523" t="str">
        <f>"06/08/2016"</f>
        <v>06/08/2016</v>
      </c>
    </row>
    <row r="1524" spans="1:27" x14ac:dyDescent="0.3">
      <c r="A1524" t="str">
        <f t="shared" si="415"/>
        <v>048314</v>
      </c>
      <c r="B1524" t="str">
        <f t="shared" si="428"/>
        <v>038430</v>
      </c>
      <c r="C1524" t="s">
        <v>2555</v>
      </c>
      <c r="D1524" t="s">
        <v>3839</v>
      </c>
      <c r="E1524" t="s">
        <v>3840</v>
      </c>
      <c r="F1524" t="s">
        <v>3841</v>
      </c>
      <c r="G1524" t="s">
        <v>3842</v>
      </c>
      <c r="H1524" t="str">
        <f>"048314"</f>
        <v>048314</v>
      </c>
      <c r="I1524" t="s">
        <v>833</v>
      </c>
      <c r="J1524" t="str">
        <f t="shared" si="429"/>
        <v>2015-07-01 00:00:00.0</v>
      </c>
      <c r="K1524" t="s">
        <v>834</v>
      </c>
      <c r="L1524" t="s">
        <v>0</v>
      </c>
      <c r="M1524" t="str">
        <f t="shared" si="417"/>
        <v>048314</v>
      </c>
      <c r="N1524">
        <v>1</v>
      </c>
      <c r="O1524">
        <v>1</v>
      </c>
      <c r="P1524" t="str">
        <f>"04"</f>
        <v>04</v>
      </c>
      <c r="Q1524" t="s">
        <v>835</v>
      </c>
      <c r="S1524" t="s">
        <v>860</v>
      </c>
      <c r="T1524" t="s">
        <v>836</v>
      </c>
      <c r="U1524" t="str">
        <f t="shared" si="427"/>
        <v>2500-12-31 00:00:00.0</v>
      </c>
      <c r="V1524" t="s">
        <v>837</v>
      </c>
      <c r="W1524" t="str">
        <f>"048314-038430-**-**"</f>
        <v>048314-038430-**-**</v>
      </c>
      <c r="X1524" t="s">
        <v>838</v>
      </c>
      <c r="Y1524">
        <v>1206.25</v>
      </c>
      <c r="Z1524">
        <v>1206.25</v>
      </c>
      <c r="AA1524" t="str">
        <f>"06/08/2016"</f>
        <v>06/08/2016</v>
      </c>
    </row>
    <row r="1525" spans="1:27" x14ac:dyDescent="0.3">
      <c r="A1525" t="str">
        <f t="shared" si="415"/>
        <v>048314</v>
      </c>
      <c r="B1525" t="str">
        <f t="shared" si="428"/>
        <v>038430</v>
      </c>
      <c r="C1525" t="s">
        <v>2830</v>
      </c>
      <c r="D1525" t="s">
        <v>3839</v>
      </c>
      <c r="E1525" t="s">
        <v>3840</v>
      </c>
      <c r="F1525" t="s">
        <v>3841</v>
      </c>
      <c r="G1525" t="s">
        <v>3842</v>
      </c>
      <c r="H1525" t="str">
        <f>"048314"</f>
        <v>048314</v>
      </c>
      <c r="I1525" t="s">
        <v>833</v>
      </c>
      <c r="J1525" t="str">
        <f t="shared" si="429"/>
        <v>2015-07-01 00:00:00.0</v>
      </c>
      <c r="K1525" t="s">
        <v>834</v>
      </c>
      <c r="L1525" t="s">
        <v>0</v>
      </c>
      <c r="M1525" t="str">
        <f t="shared" si="417"/>
        <v>048314</v>
      </c>
      <c r="N1525">
        <v>1</v>
      </c>
      <c r="O1525">
        <v>1</v>
      </c>
      <c r="P1525" t="str">
        <f>"05"</f>
        <v>05</v>
      </c>
      <c r="Q1525" t="s">
        <v>835</v>
      </c>
      <c r="S1525" t="s">
        <v>836</v>
      </c>
      <c r="T1525" t="s">
        <v>836</v>
      </c>
      <c r="U1525" t="str">
        <f t="shared" si="427"/>
        <v>2500-12-31 00:00:00.0</v>
      </c>
      <c r="V1525" t="s">
        <v>837</v>
      </c>
      <c r="W1525" t="str">
        <f>"048314-070417-**-**"</f>
        <v>048314-070417-**-**</v>
      </c>
      <c r="X1525" t="s">
        <v>838</v>
      </c>
      <c r="Y1525">
        <v>1125</v>
      </c>
      <c r="Z1525">
        <v>1125</v>
      </c>
      <c r="AA1525" t="str">
        <f>"06/08/2016"</f>
        <v>06/08/2016</v>
      </c>
    </row>
    <row r="1526" spans="1:27" x14ac:dyDescent="0.3">
      <c r="A1526" t="str">
        <f t="shared" si="415"/>
        <v>048314</v>
      </c>
      <c r="B1526" t="str">
        <f t="shared" si="428"/>
        <v>038430</v>
      </c>
      <c r="C1526" t="s">
        <v>919</v>
      </c>
      <c r="D1526" t="s">
        <v>3839</v>
      </c>
      <c r="E1526" t="s">
        <v>3840</v>
      </c>
      <c r="F1526" t="s">
        <v>3841</v>
      </c>
      <c r="G1526" t="s">
        <v>3842</v>
      </c>
      <c r="H1526" t="str">
        <f>"048280"</f>
        <v>048280</v>
      </c>
      <c r="I1526" t="s">
        <v>833</v>
      </c>
      <c r="J1526" t="str">
        <f>"2016-02-08 00:00:00.0"</f>
        <v>2016-02-08 00:00:00.0</v>
      </c>
      <c r="K1526" t="s">
        <v>834</v>
      </c>
      <c r="L1526" t="s">
        <v>142</v>
      </c>
      <c r="M1526" t="str">
        <f t="shared" si="417"/>
        <v>048314</v>
      </c>
      <c r="N1526">
        <v>0.45695400000000003</v>
      </c>
      <c r="O1526">
        <v>0.45695400000000003</v>
      </c>
      <c r="P1526" t="s">
        <v>841</v>
      </c>
      <c r="Q1526" t="str">
        <f>"16"</f>
        <v>16</v>
      </c>
      <c r="R1526" t="str">
        <f>"2"</f>
        <v>2</v>
      </c>
      <c r="S1526" t="s">
        <v>836</v>
      </c>
      <c r="T1526" t="s">
        <v>836</v>
      </c>
      <c r="U1526" t="str">
        <f t="shared" si="427"/>
        <v>2500-12-31 00:00:00.0</v>
      </c>
      <c r="V1526" t="s">
        <v>837</v>
      </c>
      <c r="W1526" t="str">
        <f>"048280-048280-PS-FA"</f>
        <v>048280-048280-PS-FA</v>
      </c>
      <c r="X1526" t="s">
        <v>838</v>
      </c>
      <c r="Y1526">
        <v>69</v>
      </c>
      <c r="Z1526">
        <v>151</v>
      </c>
      <c r="AA1526" t="str">
        <f>"06/15/2016"</f>
        <v>06/15/2016</v>
      </c>
    </row>
    <row r="1527" spans="1:27" x14ac:dyDescent="0.3">
      <c r="A1527" t="str">
        <f t="shared" si="415"/>
        <v>048314</v>
      </c>
      <c r="B1527" t="str">
        <f t="shared" si="428"/>
        <v>038430</v>
      </c>
      <c r="C1527" t="s">
        <v>3020</v>
      </c>
      <c r="D1527" t="s">
        <v>3839</v>
      </c>
      <c r="E1527" t="s">
        <v>3840</v>
      </c>
      <c r="F1527" t="s">
        <v>3841</v>
      </c>
      <c r="G1527" t="s">
        <v>3842</v>
      </c>
      <c r="H1527" t="str">
        <f>"048314"</f>
        <v>048314</v>
      </c>
      <c r="I1527" t="s">
        <v>833</v>
      </c>
      <c r="J1527" t="str">
        <f>"2015-07-01 00:00:00.0"</f>
        <v>2015-07-01 00:00:00.0</v>
      </c>
      <c r="K1527" t="s">
        <v>834</v>
      </c>
      <c r="L1527" t="s">
        <v>0</v>
      </c>
      <c r="M1527" t="str">
        <f t="shared" si="417"/>
        <v>048314</v>
      </c>
      <c r="N1527">
        <v>0.40414499999999998</v>
      </c>
      <c r="O1527">
        <v>0.40414499999999998</v>
      </c>
      <c r="P1527" t="str">
        <f>"01"</f>
        <v>01</v>
      </c>
      <c r="Q1527" t="str">
        <f>"05"</f>
        <v>05</v>
      </c>
      <c r="R1527" t="str">
        <f>"1"</f>
        <v>1</v>
      </c>
      <c r="S1527" t="s">
        <v>836</v>
      </c>
      <c r="T1527" t="s">
        <v>836</v>
      </c>
      <c r="U1527" t="str">
        <f>"2015-12-21 00:00:00.0"</f>
        <v>2015-12-21 00:00:00.0</v>
      </c>
      <c r="V1527" t="s">
        <v>837</v>
      </c>
      <c r="W1527" t="str">
        <f>"048314-038430-**-**"</f>
        <v>048314-038430-**-**</v>
      </c>
      <c r="X1527" t="s">
        <v>838</v>
      </c>
      <c r="Y1527">
        <v>487.5</v>
      </c>
      <c r="Z1527">
        <v>1206.25</v>
      </c>
      <c r="AA1527" t="str">
        <f>"06/08/2016"</f>
        <v>06/08/2016</v>
      </c>
    </row>
    <row r="1528" spans="1:27" x14ac:dyDescent="0.3">
      <c r="A1528" t="str">
        <f t="shared" si="415"/>
        <v>048314</v>
      </c>
      <c r="B1528" t="str">
        <f t="shared" si="428"/>
        <v>038430</v>
      </c>
      <c r="C1528" t="s">
        <v>3020</v>
      </c>
      <c r="D1528" t="s">
        <v>3839</v>
      </c>
      <c r="E1528" t="s">
        <v>3840</v>
      </c>
      <c r="F1528" t="s">
        <v>3841</v>
      </c>
      <c r="G1528" t="s">
        <v>3842</v>
      </c>
      <c r="H1528" t="str">
        <f>"048314"</f>
        <v>048314</v>
      </c>
      <c r="I1528" t="s">
        <v>833</v>
      </c>
      <c r="J1528" t="str">
        <f>"2015-12-22 00:00:00.0"</f>
        <v>2015-12-22 00:00:00.0</v>
      </c>
      <c r="K1528" t="s">
        <v>834</v>
      </c>
      <c r="L1528" t="s">
        <v>0</v>
      </c>
      <c r="M1528" t="str">
        <f t="shared" si="417"/>
        <v>048314</v>
      </c>
      <c r="N1528">
        <v>0.59585500000000002</v>
      </c>
      <c r="O1528">
        <v>0.59585500000000002</v>
      </c>
      <c r="P1528" t="str">
        <f>"01"</f>
        <v>01</v>
      </c>
      <c r="Q1528" t="s">
        <v>835</v>
      </c>
      <c r="S1528" t="s">
        <v>836</v>
      </c>
      <c r="T1528" t="s">
        <v>836</v>
      </c>
      <c r="U1528" t="str">
        <f t="shared" ref="U1528:U1550" si="430">"2500-12-31 00:00:00.0"</f>
        <v>2500-12-31 00:00:00.0</v>
      </c>
      <c r="V1528" t="s">
        <v>837</v>
      </c>
      <c r="W1528" t="str">
        <f>"048314-038430-**-**"</f>
        <v>048314-038430-**-**</v>
      </c>
      <c r="X1528" t="s">
        <v>838</v>
      </c>
      <c r="Y1528">
        <v>718.75</v>
      </c>
      <c r="Z1528">
        <v>1206.25</v>
      </c>
      <c r="AA1528" t="str">
        <f>"06/08/2016"</f>
        <v>06/08/2016</v>
      </c>
    </row>
    <row r="1529" spans="1:27" x14ac:dyDescent="0.3">
      <c r="A1529" t="str">
        <f t="shared" si="415"/>
        <v>048314</v>
      </c>
      <c r="B1529" t="str">
        <f t="shared" si="428"/>
        <v>038430</v>
      </c>
      <c r="C1529" t="s">
        <v>2760</v>
      </c>
      <c r="D1529" t="s">
        <v>3839</v>
      </c>
      <c r="E1529" t="s">
        <v>3840</v>
      </c>
      <c r="F1529" t="s">
        <v>3841</v>
      </c>
      <c r="G1529" t="s">
        <v>3842</v>
      </c>
      <c r="H1529" t="str">
        <f>"048314"</f>
        <v>048314</v>
      </c>
      <c r="I1529" t="s">
        <v>833</v>
      </c>
      <c r="J1529" t="str">
        <f>"2015-08-01 00:00:00.0"</f>
        <v>2015-08-01 00:00:00.0</v>
      </c>
      <c r="K1529" t="s">
        <v>834</v>
      </c>
      <c r="L1529" t="s">
        <v>0</v>
      </c>
      <c r="M1529" t="str">
        <f t="shared" si="417"/>
        <v>048314</v>
      </c>
      <c r="N1529">
        <v>1</v>
      </c>
      <c r="O1529">
        <v>1</v>
      </c>
      <c r="P1529" t="s">
        <v>764</v>
      </c>
      <c r="Q1529" t="s">
        <v>835</v>
      </c>
      <c r="S1529" t="s">
        <v>836</v>
      </c>
      <c r="T1529" t="s">
        <v>836</v>
      </c>
      <c r="U1529" t="str">
        <f t="shared" si="430"/>
        <v>2500-12-31 00:00:00.0</v>
      </c>
      <c r="V1529" t="s">
        <v>837</v>
      </c>
      <c r="W1529" t="str">
        <f>"048314-038430-**-**"</f>
        <v>048314-038430-**-**</v>
      </c>
      <c r="X1529" t="s">
        <v>838</v>
      </c>
      <c r="Y1529">
        <v>1206.25</v>
      </c>
      <c r="Z1529">
        <v>1206.25</v>
      </c>
      <c r="AA1529" t="str">
        <f>"06/08/2016"</f>
        <v>06/08/2016</v>
      </c>
    </row>
    <row r="1530" spans="1:27" x14ac:dyDescent="0.3">
      <c r="A1530" t="str">
        <f t="shared" si="415"/>
        <v>048314</v>
      </c>
      <c r="B1530" t="str">
        <f t="shared" si="428"/>
        <v>038430</v>
      </c>
      <c r="C1530" t="s">
        <v>846</v>
      </c>
      <c r="D1530" t="s">
        <v>3839</v>
      </c>
      <c r="E1530" t="s">
        <v>3840</v>
      </c>
      <c r="F1530" t="s">
        <v>3841</v>
      </c>
      <c r="G1530" t="s">
        <v>3842</v>
      </c>
      <c r="H1530" t="str">
        <f>"048314"</f>
        <v>048314</v>
      </c>
      <c r="I1530" t="s">
        <v>833</v>
      </c>
      <c r="J1530" t="str">
        <f>"2015-08-01 00:00:00.0"</f>
        <v>2015-08-01 00:00:00.0</v>
      </c>
      <c r="K1530" t="s">
        <v>834</v>
      </c>
      <c r="L1530" t="s">
        <v>0</v>
      </c>
      <c r="M1530" t="str">
        <f t="shared" si="417"/>
        <v>048314</v>
      </c>
      <c r="N1530">
        <v>1</v>
      </c>
      <c r="O1530">
        <v>1</v>
      </c>
      <c r="P1530" t="s">
        <v>764</v>
      </c>
      <c r="Q1530" t="s">
        <v>835</v>
      </c>
      <c r="S1530" t="s">
        <v>836</v>
      </c>
      <c r="T1530" t="s">
        <v>836</v>
      </c>
      <c r="U1530" t="str">
        <f t="shared" si="430"/>
        <v>2500-12-31 00:00:00.0</v>
      </c>
      <c r="V1530" t="s">
        <v>837</v>
      </c>
      <c r="W1530" t="str">
        <f>"048314-038430-**-**"</f>
        <v>048314-038430-**-**</v>
      </c>
      <c r="X1530" t="s">
        <v>838</v>
      </c>
      <c r="Y1530">
        <v>1206.25</v>
      </c>
      <c r="Z1530">
        <v>1206.25</v>
      </c>
      <c r="AA1530" t="str">
        <f>"06/08/2016"</f>
        <v>06/08/2016</v>
      </c>
    </row>
    <row r="1531" spans="1:27" x14ac:dyDescent="0.3">
      <c r="A1531" t="str">
        <f t="shared" si="415"/>
        <v>048314</v>
      </c>
      <c r="B1531" t="str">
        <f t="shared" si="428"/>
        <v>038430</v>
      </c>
      <c r="C1531" t="s">
        <v>3537</v>
      </c>
      <c r="D1531" t="s">
        <v>3839</v>
      </c>
      <c r="E1531" t="s">
        <v>3840</v>
      </c>
      <c r="F1531" t="s">
        <v>3841</v>
      </c>
      <c r="G1531" t="s">
        <v>3842</v>
      </c>
      <c r="H1531" t="str">
        <f>"048363"</f>
        <v>048363</v>
      </c>
      <c r="I1531" t="s">
        <v>833</v>
      </c>
      <c r="J1531" t="str">
        <f>"2015-07-01 00:00:00.0"</f>
        <v>2015-07-01 00:00:00.0</v>
      </c>
      <c r="K1531" t="s">
        <v>834</v>
      </c>
      <c r="L1531" t="s">
        <v>1</v>
      </c>
      <c r="M1531" t="str">
        <f t="shared" si="417"/>
        <v>048314</v>
      </c>
      <c r="N1531">
        <v>1</v>
      </c>
      <c r="O1531">
        <v>1</v>
      </c>
      <c r="P1531" t="str">
        <f>"03"</f>
        <v>03</v>
      </c>
      <c r="Q1531" t="s">
        <v>835</v>
      </c>
      <c r="S1531" t="s">
        <v>836</v>
      </c>
      <c r="T1531" t="s">
        <v>836</v>
      </c>
      <c r="U1531" t="str">
        <f t="shared" si="430"/>
        <v>2500-12-31 00:00:00.0</v>
      </c>
      <c r="V1531" t="s">
        <v>837</v>
      </c>
      <c r="W1531" t="str">
        <f>"048363-026211-**-**"</f>
        <v>048363-026211-**-**</v>
      </c>
      <c r="X1531" t="s">
        <v>838</v>
      </c>
      <c r="Y1531">
        <v>1127</v>
      </c>
      <c r="Z1531">
        <v>1127</v>
      </c>
      <c r="AA1531" t="str">
        <f>"06/15/2016"</f>
        <v>06/15/2016</v>
      </c>
    </row>
    <row r="1532" spans="1:27" x14ac:dyDescent="0.3">
      <c r="A1532" t="str">
        <f t="shared" si="415"/>
        <v>048314</v>
      </c>
      <c r="B1532" t="str">
        <f t="shared" si="428"/>
        <v>038430</v>
      </c>
      <c r="C1532" t="s">
        <v>1529</v>
      </c>
      <c r="D1532" t="s">
        <v>3839</v>
      </c>
      <c r="E1532" t="s">
        <v>3840</v>
      </c>
      <c r="F1532" t="s">
        <v>3841</v>
      </c>
      <c r="G1532" t="s">
        <v>3842</v>
      </c>
      <c r="H1532" t="str">
        <f>"048363"</f>
        <v>048363</v>
      </c>
      <c r="I1532" t="s">
        <v>833</v>
      </c>
      <c r="J1532" t="str">
        <f>"2015-07-01 00:00:00.0"</f>
        <v>2015-07-01 00:00:00.0</v>
      </c>
      <c r="K1532" t="s">
        <v>834</v>
      </c>
      <c r="L1532" t="s">
        <v>1</v>
      </c>
      <c r="M1532" t="str">
        <f t="shared" si="417"/>
        <v>048314</v>
      </c>
      <c r="N1532">
        <v>1</v>
      </c>
      <c r="O1532">
        <v>1</v>
      </c>
      <c r="P1532" t="str">
        <f>"02"</f>
        <v>02</v>
      </c>
      <c r="Q1532" t="s">
        <v>835</v>
      </c>
      <c r="S1532" t="s">
        <v>836</v>
      </c>
      <c r="T1532" t="s">
        <v>836</v>
      </c>
      <c r="U1532" t="str">
        <f t="shared" si="430"/>
        <v>2500-12-31 00:00:00.0</v>
      </c>
      <c r="V1532" t="s">
        <v>837</v>
      </c>
      <c r="W1532" t="str">
        <f>"048363-026211-**-**"</f>
        <v>048363-026211-**-**</v>
      </c>
      <c r="X1532" t="s">
        <v>838</v>
      </c>
      <c r="Y1532">
        <v>1127</v>
      </c>
      <c r="Z1532">
        <v>1127</v>
      </c>
      <c r="AA1532" t="str">
        <f>"06/15/2016"</f>
        <v>06/15/2016</v>
      </c>
    </row>
    <row r="1533" spans="1:27" x14ac:dyDescent="0.3">
      <c r="A1533" t="str">
        <f t="shared" si="415"/>
        <v>048314</v>
      </c>
      <c r="B1533" t="str">
        <f t="shared" si="428"/>
        <v>038430</v>
      </c>
      <c r="C1533" t="s">
        <v>1031</v>
      </c>
      <c r="D1533" t="s">
        <v>3839</v>
      </c>
      <c r="E1533" t="s">
        <v>3840</v>
      </c>
      <c r="F1533" t="s">
        <v>3841</v>
      </c>
      <c r="G1533" t="s">
        <v>3842</v>
      </c>
      <c r="H1533" t="str">
        <f t="shared" ref="H1533:H1546" si="431">"048314"</f>
        <v>048314</v>
      </c>
      <c r="I1533" t="s">
        <v>833</v>
      </c>
      <c r="J1533" t="str">
        <f>"2015-08-01 00:00:00.0"</f>
        <v>2015-08-01 00:00:00.0</v>
      </c>
      <c r="K1533" t="s">
        <v>834</v>
      </c>
      <c r="L1533" t="s">
        <v>0</v>
      </c>
      <c r="M1533" t="str">
        <f t="shared" si="417"/>
        <v>048314</v>
      </c>
      <c r="N1533">
        <v>1</v>
      </c>
      <c r="O1533">
        <v>1</v>
      </c>
      <c r="P1533" t="s">
        <v>764</v>
      </c>
      <c r="Q1533" t="s">
        <v>835</v>
      </c>
      <c r="S1533" t="s">
        <v>836</v>
      </c>
      <c r="T1533" t="s">
        <v>836</v>
      </c>
      <c r="U1533" t="str">
        <f t="shared" si="430"/>
        <v>2500-12-31 00:00:00.0</v>
      </c>
      <c r="V1533" t="s">
        <v>837</v>
      </c>
      <c r="W1533" t="str">
        <f t="shared" ref="W1533:W1539" si="432">"048314-038430-**-**"</f>
        <v>048314-038430-**-**</v>
      </c>
      <c r="X1533" t="s">
        <v>838</v>
      </c>
      <c r="Y1533">
        <v>1206.25</v>
      </c>
      <c r="Z1533">
        <v>1206.25</v>
      </c>
      <c r="AA1533" t="str">
        <f t="shared" ref="AA1533:AA1546" si="433">"06/08/2016"</f>
        <v>06/08/2016</v>
      </c>
    </row>
    <row r="1534" spans="1:27" x14ac:dyDescent="0.3">
      <c r="A1534" t="str">
        <f t="shared" si="415"/>
        <v>048314</v>
      </c>
      <c r="B1534" t="str">
        <f t="shared" si="428"/>
        <v>038430</v>
      </c>
      <c r="C1534" t="s">
        <v>1037</v>
      </c>
      <c r="D1534" t="s">
        <v>3839</v>
      </c>
      <c r="E1534" t="s">
        <v>3840</v>
      </c>
      <c r="F1534" t="s">
        <v>3841</v>
      </c>
      <c r="G1534" t="s">
        <v>3842</v>
      </c>
      <c r="H1534" t="str">
        <f t="shared" si="431"/>
        <v>048314</v>
      </c>
      <c r="I1534" t="s">
        <v>833</v>
      </c>
      <c r="J1534" t="str">
        <f>"2015-08-01 00:00:00.0"</f>
        <v>2015-08-01 00:00:00.0</v>
      </c>
      <c r="K1534" t="s">
        <v>834</v>
      </c>
      <c r="L1534" t="s">
        <v>0</v>
      </c>
      <c r="M1534" t="str">
        <f t="shared" si="417"/>
        <v>048314</v>
      </c>
      <c r="N1534">
        <v>1</v>
      </c>
      <c r="O1534">
        <v>1</v>
      </c>
      <c r="P1534" t="str">
        <f>"01"</f>
        <v>01</v>
      </c>
      <c r="Q1534" t="s">
        <v>835</v>
      </c>
      <c r="S1534" t="s">
        <v>836</v>
      </c>
      <c r="T1534" t="s">
        <v>836</v>
      </c>
      <c r="U1534" t="str">
        <f t="shared" si="430"/>
        <v>2500-12-31 00:00:00.0</v>
      </c>
      <c r="V1534" t="s">
        <v>837</v>
      </c>
      <c r="W1534" t="str">
        <f t="shared" si="432"/>
        <v>048314-038430-**-**</v>
      </c>
      <c r="X1534" t="s">
        <v>838</v>
      </c>
      <c r="Y1534">
        <v>1206.25</v>
      </c>
      <c r="Z1534">
        <v>1206.25</v>
      </c>
      <c r="AA1534" t="str">
        <f t="shared" si="433"/>
        <v>06/08/2016</v>
      </c>
    </row>
    <row r="1535" spans="1:27" x14ac:dyDescent="0.3">
      <c r="A1535" t="str">
        <f t="shared" si="415"/>
        <v>048314</v>
      </c>
      <c r="B1535" t="str">
        <f t="shared" si="428"/>
        <v>038430</v>
      </c>
      <c r="C1535" t="s">
        <v>1005</v>
      </c>
      <c r="D1535" t="s">
        <v>3839</v>
      </c>
      <c r="E1535" t="s">
        <v>3840</v>
      </c>
      <c r="F1535" t="s">
        <v>3841</v>
      </c>
      <c r="G1535" t="s">
        <v>3842</v>
      </c>
      <c r="H1535" t="str">
        <f t="shared" si="431"/>
        <v>048314</v>
      </c>
      <c r="I1535" t="s">
        <v>833</v>
      </c>
      <c r="J1535" t="str">
        <f t="shared" ref="J1535:J1541" si="434">"2015-07-01 00:00:00.0"</f>
        <v>2015-07-01 00:00:00.0</v>
      </c>
      <c r="K1535" t="s">
        <v>834</v>
      </c>
      <c r="L1535" t="s">
        <v>0</v>
      </c>
      <c r="M1535" t="str">
        <f t="shared" si="417"/>
        <v>048314</v>
      </c>
      <c r="N1535">
        <v>1</v>
      </c>
      <c r="O1535">
        <v>1</v>
      </c>
      <c r="P1535" t="str">
        <f>"01"</f>
        <v>01</v>
      </c>
      <c r="Q1535" t="s">
        <v>835</v>
      </c>
      <c r="S1535" t="s">
        <v>836</v>
      </c>
      <c r="T1535" t="s">
        <v>836</v>
      </c>
      <c r="U1535" t="str">
        <f t="shared" si="430"/>
        <v>2500-12-31 00:00:00.0</v>
      </c>
      <c r="V1535" t="s">
        <v>837</v>
      </c>
      <c r="W1535" t="str">
        <f t="shared" si="432"/>
        <v>048314-038430-**-**</v>
      </c>
      <c r="X1535" t="s">
        <v>838</v>
      </c>
      <c r="Y1535">
        <v>1206.25</v>
      </c>
      <c r="Z1535">
        <v>1206.25</v>
      </c>
      <c r="AA1535" t="str">
        <f t="shared" si="433"/>
        <v>06/08/2016</v>
      </c>
    </row>
    <row r="1536" spans="1:27" x14ac:dyDescent="0.3">
      <c r="A1536" t="str">
        <f t="shared" si="415"/>
        <v>048314</v>
      </c>
      <c r="B1536" t="str">
        <f t="shared" si="428"/>
        <v>038430</v>
      </c>
      <c r="C1536" t="s">
        <v>3069</v>
      </c>
      <c r="D1536" t="s">
        <v>3839</v>
      </c>
      <c r="E1536" t="s">
        <v>3840</v>
      </c>
      <c r="F1536" t="s">
        <v>3841</v>
      </c>
      <c r="G1536" t="s">
        <v>3842</v>
      </c>
      <c r="H1536" t="str">
        <f t="shared" si="431"/>
        <v>048314</v>
      </c>
      <c r="I1536" t="s">
        <v>833</v>
      </c>
      <c r="J1536" t="str">
        <f t="shared" si="434"/>
        <v>2015-07-01 00:00:00.0</v>
      </c>
      <c r="K1536" t="s">
        <v>834</v>
      </c>
      <c r="L1536" t="s">
        <v>0</v>
      </c>
      <c r="M1536" t="str">
        <f t="shared" si="417"/>
        <v>048314</v>
      </c>
      <c r="N1536">
        <v>1</v>
      </c>
      <c r="O1536">
        <v>1</v>
      </c>
      <c r="P1536" t="str">
        <f>"01"</f>
        <v>01</v>
      </c>
      <c r="Q1536" t="s">
        <v>835</v>
      </c>
      <c r="S1536" t="s">
        <v>836</v>
      </c>
      <c r="T1536" t="s">
        <v>836</v>
      </c>
      <c r="U1536" t="str">
        <f t="shared" si="430"/>
        <v>2500-12-31 00:00:00.0</v>
      </c>
      <c r="V1536" t="s">
        <v>837</v>
      </c>
      <c r="W1536" t="str">
        <f t="shared" si="432"/>
        <v>048314-038430-**-**</v>
      </c>
      <c r="X1536" t="s">
        <v>838</v>
      </c>
      <c r="Y1536">
        <v>1206.25</v>
      </c>
      <c r="Z1536">
        <v>1206.25</v>
      </c>
      <c r="AA1536" t="str">
        <f t="shared" si="433"/>
        <v>06/08/2016</v>
      </c>
    </row>
    <row r="1537" spans="1:27" x14ac:dyDescent="0.3">
      <c r="A1537" t="str">
        <f t="shared" si="415"/>
        <v>048314</v>
      </c>
      <c r="B1537" t="str">
        <f t="shared" si="428"/>
        <v>038430</v>
      </c>
      <c r="C1537" t="s">
        <v>1272</v>
      </c>
      <c r="D1537" t="s">
        <v>3839</v>
      </c>
      <c r="E1537" t="s">
        <v>3840</v>
      </c>
      <c r="F1537" t="s">
        <v>3841</v>
      </c>
      <c r="G1537" t="s">
        <v>3842</v>
      </c>
      <c r="H1537" t="str">
        <f t="shared" si="431"/>
        <v>048314</v>
      </c>
      <c r="I1537" t="s">
        <v>833</v>
      </c>
      <c r="J1537" t="str">
        <f t="shared" si="434"/>
        <v>2015-07-01 00:00:00.0</v>
      </c>
      <c r="K1537" t="s">
        <v>834</v>
      </c>
      <c r="L1537" t="s">
        <v>0</v>
      </c>
      <c r="M1537" t="str">
        <f t="shared" si="417"/>
        <v>048314</v>
      </c>
      <c r="N1537">
        <v>1</v>
      </c>
      <c r="O1537">
        <v>1</v>
      </c>
      <c r="P1537" t="str">
        <f>"02"</f>
        <v>02</v>
      </c>
      <c r="Q1537" t="s">
        <v>835</v>
      </c>
      <c r="S1537" t="s">
        <v>836</v>
      </c>
      <c r="T1537" t="s">
        <v>836</v>
      </c>
      <c r="U1537" t="str">
        <f t="shared" si="430"/>
        <v>2500-12-31 00:00:00.0</v>
      </c>
      <c r="V1537" t="s">
        <v>837</v>
      </c>
      <c r="W1537" t="str">
        <f t="shared" si="432"/>
        <v>048314-038430-**-**</v>
      </c>
      <c r="X1537" t="s">
        <v>838</v>
      </c>
      <c r="Y1537">
        <v>1206.25</v>
      </c>
      <c r="Z1537">
        <v>1206.25</v>
      </c>
      <c r="AA1537" t="str">
        <f t="shared" si="433"/>
        <v>06/08/2016</v>
      </c>
    </row>
    <row r="1538" spans="1:27" x14ac:dyDescent="0.3">
      <c r="A1538" t="str">
        <f t="shared" ref="A1538:A1601" si="435">"048314"</f>
        <v>048314</v>
      </c>
      <c r="B1538" t="str">
        <f t="shared" si="428"/>
        <v>038430</v>
      </c>
      <c r="C1538" t="s">
        <v>3453</v>
      </c>
      <c r="D1538" t="s">
        <v>3839</v>
      </c>
      <c r="E1538" t="s">
        <v>3840</v>
      </c>
      <c r="F1538" t="s">
        <v>3841</v>
      </c>
      <c r="G1538" t="s">
        <v>3842</v>
      </c>
      <c r="H1538" t="str">
        <f t="shared" si="431"/>
        <v>048314</v>
      </c>
      <c r="I1538" t="s">
        <v>833</v>
      </c>
      <c r="J1538" t="str">
        <f t="shared" si="434"/>
        <v>2015-07-01 00:00:00.0</v>
      </c>
      <c r="K1538" t="s">
        <v>834</v>
      </c>
      <c r="L1538" t="s">
        <v>0</v>
      </c>
      <c r="M1538" t="str">
        <f t="shared" si="417"/>
        <v>048314</v>
      </c>
      <c r="N1538">
        <v>1</v>
      </c>
      <c r="O1538">
        <v>1</v>
      </c>
      <c r="P1538" t="str">
        <f>"01"</f>
        <v>01</v>
      </c>
      <c r="Q1538" t="s">
        <v>835</v>
      </c>
      <c r="S1538" t="s">
        <v>836</v>
      </c>
      <c r="T1538" t="s">
        <v>836</v>
      </c>
      <c r="U1538" t="str">
        <f t="shared" si="430"/>
        <v>2500-12-31 00:00:00.0</v>
      </c>
      <c r="V1538" t="s">
        <v>837</v>
      </c>
      <c r="W1538" t="str">
        <f t="shared" si="432"/>
        <v>048314-038430-**-**</v>
      </c>
      <c r="X1538" t="s">
        <v>838</v>
      </c>
      <c r="Y1538">
        <v>1206.25</v>
      </c>
      <c r="Z1538">
        <v>1206.25</v>
      </c>
      <c r="AA1538" t="str">
        <f t="shared" si="433"/>
        <v>06/08/2016</v>
      </c>
    </row>
    <row r="1539" spans="1:27" x14ac:dyDescent="0.3">
      <c r="A1539" t="str">
        <f t="shared" si="435"/>
        <v>048314</v>
      </c>
      <c r="B1539" t="str">
        <f t="shared" si="428"/>
        <v>038430</v>
      </c>
      <c r="C1539" t="s">
        <v>1990</v>
      </c>
      <c r="D1539" t="s">
        <v>3839</v>
      </c>
      <c r="E1539" t="s">
        <v>3840</v>
      </c>
      <c r="F1539" t="s">
        <v>3841</v>
      </c>
      <c r="G1539" t="s">
        <v>3842</v>
      </c>
      <c r="H1539" t="str">
        <f t="shared" si="431"/>
        <v>048314</v>
      </c>
      <c r="I1539" t="s">
        <v>833</v>
      </c>
      <c r="J1539" t="str">
        <f t="shared" si="434"/>
        <v>2015-07-01 00:00:00.0</v>
      </c>
      <c r="K1539" t="s">
        <v>834</v>
      </c>
      <c r="L1539" t="s">
        <v>0</v>
      </c>
      <c r="M1539" t="str">
        <f t="shared" si="417"/>
        <v>048314</v>
      </c>
      <c r="N1539">
        <v>1</v>
      </c>
      <c r="O1539">
        <v>1</v>
      </c>
      <c r="P1539" t="str">
        <f>"01"</f>
        <v>01</v>
      </c>
      <c r="Q1539" t="s">
        <v>835</v>
      </c>
      <c r="S1539" t="s">
        <v>836</v>
      </c>
      <c r="T1539" t="s">
        <v>836</v>
      </c>
      <c r="U1539" t="str">
        <f t="shared" si="430"/>
        <v>2500-12-31 00:00:00.0</v>
      </c>
      <c r="V1539" t="s">
        <v>837</v>
      </c>
      <c r="W1539" t="str">
        <f t="shared" si="432"/>
        <v>048314-038430-**-**</v>
      </c>
      <c r="X1539" t="s">
        <v>838</v>
      </c>
      <c r="Y1539">
        <v>1206.25</v>
      </c>
      <c r="Z1539">
        <v>1206.25</v>
      </c>
      <c r="AA1539" t="str">
        <f t="shared" si="433"/>
        <v>06/08/2016</v>
      </c>
    </row>
    <row r="1540" spans="1:27" x14ac:dyDescent="0.3">
      <c r="A1540" t="str">
        <f t="shared" si="435"/>
        <v>048314</v>
      </c>
      <c r="B1540" t="str">
        <f t="shared" si="428"/>
        <v>038430</v>
      </c>
      <c r="C1540" t="s">
        <v>3293</v>
      </c>
      <c r="D1540" t="s">
        <v>3839</v>
      </c>
      <c r="E1540" t="s">
        <v>3840</v>
      </c>
      <c r="F1540" t="s">
        <v>3841</v>
      </c>
      <c r="G1540" t="s">
        <v>3842</v>
      </c>
      <c r="H1540" t="str">
        <f t="shared" si="431"/>
        <v>048314</v>
      </c>
      <c r="I1540" t="s">
        <v>833</v>
      </c>
      <c r="J1540" t="str">
        <f t="shared" si="434"/>
        <v>2015-07-01 00:00:00.0</v>
      </c>
      <c r="K1540" t="s">
        <v>834</v>
      </c>
      <c r="L1540" t="s">
        <v>0</v>
      </c>
      <c r="M1540" t="str">
        <f t="shared" si="417"/>
        <v>048314</v>
      </c>
      <c r="N1540">
        <v>1</v>
      </c>
      <c r="O1540">
        <v>1</v>
      </c>
      <c r="P1540" t="str">
        <f>"05"</f>
        <v>05</v>
      </c>
      <c r="Q1540" t="s">
        <v>835</v>
      </c>
      <c r="S1540" t="s">
        <v>836</v>
      </c>
      <c r="T1540" t="s">
        <v>836</v>
      </c>
      <c r="U1540" t="str">
        <f t="shared" si="430"/>
        <v>2500-12-31 00:00:00.0</v>
      </c>
      <c r="V1540" t="s">
        <v>837</v>
      </c>
      <c r="W1540" t="str">
        <f>"048314-070417-**-**"</f>
        <v>048314-070417-**-**</v>
      </c>
      <c r="X1540" t="s">
        <v>838</v>
      </c>
      <c r="Y1540">
        <v>1125</v>
      </c>
      <c r="Z1540">
        <v>1125</v>
      </c>
      <c r="AA1540" t="str">
        <f t="shared" si="433"/>
        <v>06/08/2016</v>
      </c>
    </row>
    <row r="1541" spans="1:27" x14ac:dyDescent="0.3">
      <c r="A1541" t="str">
        <f t="shared" si="435"/>
        <v>048314</v>
      </c>
      <c r="B1541" t="str">
        <f t="shared" si="428"/>
        <v>038430</v>
      </c>
      <c r="C1541" t="s">
        <v>1493</v>
      </c>
      <c r="D1541" t="s">
        <v>3839</v>
      </c>
      <c r="E1541" t="s">
        <v>3840</v>
      </c>
      <c r="F1541" t="s">
        <v>3841</v>
      </c>
      <c r="G1541" t="s">
        <v>3842</v>
      </c>
      <c r="H1541" t="str">
        <f t="shared" si="431"/>
        <v>048314</v>
      </c>
      <c r="I1541" t="s">
        <v>833</v>
      </c>
      <c r="J1541" t="str">
        <f t="shared" si="434"/>
        <v>2015-07-01 00:00:00.0</v>
      </c>
      <c r="K1541" t="s">
        <v>834</v>
      </c>
      <c r="L1541" t="s">
        <v>0</v>
      </c>
      <c r="M1541" t="str">
        <f t="shared" ref="M1541:M1556" si="436">"048314"</f>
        <v>048314</v>
      </c>
      <c r="N1541">
        <v>1</v>
      </c>
      <c r="O1541">
        <v>1</v>
      </c>
      <c r="P1541" t="str">
        <f>"01"</f>
        <v>01</v>
      </c>
      <c r="Q1541" t="s">
        <v>835</v>
      </c>
      <c r="S1541" t="s">
        <v>860</v>
      </c>
      <c r="T1541" t="s">
        <v>836</v>
      </c>
      <c r="U1541" t="str">
        <f t="shared" si="430"/>
        <v>2500-12-31 00:00:00.0</v>
      </c>
      <c r="V1541" t="s">
        <v>837</v>
      </c>
      <c r="W1541" t="str">
        <f>"048314-038430-**-**"</f>
        <v>048314-038430-**-**</v>
      </c>
      <c r="X1541" t="s">
        <v>838</v>
      </c>
      <c r="Y1541">
        <v>1206.25</v>
      </c>
      <c r="Z1541">
        <v>1206.25</v>
      </c>
      <c r="AA1541" t="str">
        <f t="shared" si="433"/>
        <v>06/08/2016</v>
      </c>
    </row>
    <row r="1542" spans="1:27" x14ac:dyDescent="0.3">
      <c r="A1542" t="str">
        <f t="shared" si="435"/>
        <v>048314</v>
      </c>
      <c r="B1542" t="str">
        <f t="shared" si="428"/>
        <v>038430</v>
      </c>
      <c r="C1542" t="s">
        <v>2774</v>
      </c>
      <c r="D1542" t="s">
        <v>3839</v>
      </c>
      <c r="E1542" t="s">
        <v>3840</v>
      </c>
      <c r="F1542" t="s">
        <v>3841</v>
      </c>
      <c r="G1542" t="s">
        <v>3842</v>
      </c>
      <c r="H1542" t="str">
        <f t="shared" si="431"/>
        <v>048314</v>
      </c>
      <c r="I1542" t="s">
        <v>833</v>
      </c>
      <c r="J1542" t="str">
        <f>"2015-08-01 00:00:00.0"</f>
        <v>2015-08-01 00:00:00.0</v>
      </c>
      <c r="K1542" t="s">
        <v>834</v>
      </c>
      <c r="L1542" t="s">
        <v>0</v>
      </c>
      <c r="M1542" t="str">
        <f t="shared" si="436"/>
        <v>048314</v>
      </c>
      <c r="N1542">
        <v>1</v>
      </c>
      <c r="O1542">
        <v>1</v>
      </c>
      <c r="P1542" t="str">
        <f>"01"</f>
        <v>01</v>
      </c>
      <c r="Q1542" t="s">
        <v>835</v>
      </c>
      <c r="S1542" t="s">
        <v>836</v>
      </c>
      <c r="T1542" t="s">
        <v>836</v>
      </c>
      <c r="U1542" t="str">
        <f t="shared" si="430"/>
        <v>2500-12-31 00:00:00.0</v>
      </c>
      <c r="V1542" t="s">
        <v>837</v>
      </c>
      <c r="W1542" t="str">
        <f>"048314-038430-**-**"</f>
        <v>048314-038430-**-**</v>
      </c>
      <c r="X1542" t="s">
        <v>838</v>
      </c>
      <c r="Y1542">
        <v>1206.25</v>
      </c>
      <c r="Z1542">
        <v>1206.25</v>
      </c>
      <c r="AA1542" t="str">
        <f t="shared" si="433"/>
        <v>06/08/2016</v>
      </c>
    </row>
    <row r="1543" spans="1:27" x14ac:dyDescent="0.3">
      <c r="A1543" t="str">
        <f t="shared" si="435"/>
        <v>048314</v>
      </c>
      <c r="B1543" t="str">
        <f t="shared" si="428"/>
        <v>038430</v>
      </c>
      <c r="C1543" t="s">
        <v>3269</v>
      </c>
      <c r="D1543" t="s">
        <v>3839</v>
      </c>
      <c r="E1543" t="s">
        <v>3840</v>
      </c>
      <c r="F1543" t="s">
        <v>3841</v>
      </c>
      <c r="G1543" t="s">
        <v>3842</v>
      </c>
      <c r="H1543" t="str">
        <f t="shared" si="431"/>
        <v>048314</v>
      </c>
      <c r="I1543" t="s">
        <v>833</v>
      </c>
      <c r="J1543" t="str">
        <f>"2015-07-01 00:00:00.0"</f>
        <v>2015-07-01 00:00:00.0</v>
      </c>
      <c r="K1543" t="s">
        <v>834</v>
      </c>
      <c r="L1543" t="s">
        <v>0</v>
      </c>
      <c r="M1543" t="str">
        <f t="shared" si="436"/>
        <v>048314</v>
      </c>
      <c r="N1543">
        <v>1</v>
      </c>
      <c r="O1543">
        <v>1</v>
      </c>
      <c r="P1543" t="str">
        <f>"05"</f>
        <v>05</v>
      </c>
      <c r="Q1543" t="s">
        <v>835</v>
      </c>
      <c r="S1543" t="s">
        <v>836</v>
      </c>
      <c r="T1543" t="s">
        <v>836</v>
      </c>
      <c r="U1543" t="str">
        <f t="shared" si="430"/>
        <v>2500-12-31 00:00:00.0</v>
      </c>
      <c r="V1543" t="s">
        <v>837</v>
      </c>
      <c r="W1543" t="str">
        <f>"048314-070417-**-**"</f>
        <v>048314-070417-**-**</v>
      </c>
      <c r="X1543" t="s">
        <v>838</v>
      </c>
      <c r="Y1543">
        <v>1125</v>
      </c>
      <c r="Z1543">
        <v>1125</v>
      </c>
      <c r="AA1543" t="str">
        <f t="shared" si="433"/>
        <v>06/08/2016</v>
      </c>
    </row>
    <row r="1544" spans="1:27" x14ac:dyDescent="0.3">
      <c r="A1544" t="str">
        <f t="shared" si="435"/>
        <v>048314</v>
      </c>
      <c r="B1544" t="str">
        <f t="shared" si="428"/>
        <v>038430</v>
      </c>
      <c r="C1544" t="s">
        <v>2762</v>
      </c>
      <c r="D1544" t="s">
        <v>3839</v>
      </c>
      <c r="E1544" t="s">
        <v>3840</v>
      </c>
      <c r="F1544" t="s">
        <v>3841</v>
      </c>
      <c r="G1544" t="s">
        <v>3842</v>
      </c>
      <c r="H1544" t="str">
        <f t="shared" si="431"/>
        <v>048314</v>
      </c>
      <c r="I1544" t="s">
        <v>833</v>
      </c>
      <c r="J1544" t="str">
        <f>"2015-07-01 00:00:00.0"</f>
        <v>2015-07-01 00:00:00.0</v>
      </c>
      <c r="K1544" t="s">
        <v>834</v>
      </c>
      <c r="L1544" t="s">
        <v>0</v>
      </c>
      <c r="M1544" t="str">
        <f t="shared" si="436"/>
        <v>048314</v>
      </c>
      <c r="N1544">
        <v>1</v>
      </c>
      <c r="O1544">
        <v>1</v>
      </c>
      <c r="P1544" t="str">
        <f>"04"</f>
        <v>04</v>
      </c>
      <c r="Q1544" t="str">
        <f>"10"</f>
        <v>10</v>
      </c>
      <c r="R1544" t="str">
        <f>"2"</f>
        <v>2</v>
      </c>
      <c r="S1544" t="s">
        <v>836</v>
      </c>
      <c r="T1544" t="s">
        <v>836</v>
      </c>
      <c r="U1544" t="str">
        <f t="shared" si="430"/>
        <v>2500-12-31 00:00:00.0</v>
      </c>
      <c r="V1544" t="s">
        <v>837</v>
      </c>
      <c r="W1544" t="str">
        <f>"048314-038430-**-**"</f>
        <v>048314-038430-**-**</v>
      </c>
      <c r="X1544" t="s">
        <v>838</v>
      </c>
      <c r="Y1544">
        <v>1206.25</v>
      </c>
      <c r="Z1544">
        <v>1206.25</v>
      </c>
      <c r="AA1544" t="str">
        <f t="shared" si="433"/>
        <v>06/08/2016</v>
      </c>
    </row>
    <row r="1545" spans="1:27" x14ac:dyDescent="0.3">
      <c r="A1545" t="str">
        <f t="shared" si="435"/>
        <v>048314</v>
      </c>
      <c r="B1545" t="str">
        <f t="shared" si="428"/>
        <v>038430</v>
      </c>
      <c r="C1545" t="s">
        <v>3433</v>
      </c>
      <c r="D1545" t="s">
        <v>3839</v>
      </c>
      <c r="E1545" t="s">
        <v>3840</v>
      </c>
      <c r="F1545" t="s">
        <v>3841</v>
      </c>
      <c r="G1545" t="s">
        <v>3842</v>
      </c>
      <c r="H1545" t="str">
        <f t="shared" si="431"/>
        <v>048314</v>
      </c>
      <c r="I1545" t="s">
        <v>833</v>
      </c>
      <c r="J1545" t="str">
        <f>"2015-07-01 00:00:00.0"</f>
        <v>2015-07-01 00:00:00.0</v>
      </c>
      <c r="K1545" t="s">
        <v>834</v>
      </c>
      <c r="L1545" t="s">
        <v>0</v>
      </c>
      <c r="M1545" t="str">
        <f t="shared" si="436"/>
        <v>048314</v>
      </c>
      <c r="N1545">
        <v>1</v>
      </c>
      <c r="O1545">
        <v>1</v>
      </c>
      <c r="P1545" t="str">
        <f>"02"</f>
        <v>02</v>
      </c>
      <c r="Q1545" t="s">
        <v>835</v>
      </c>
      <c r="S1545" t="s">
        <v>836</v>
      </c>
      <c r="T1545" t="s">
        <v>836</v>
      </c>
      <c r="U1545" t="str">
        <f t="shared" si="430"/>
        <v>2500-12-31 00:00:00.0</v>
      </c>
      <c r="V1545" t="s">
        <v>837</v>
      </c>
      <c r="W1545" t="str">
        <f>"048314-038430-**-**"</f>
        <v>048314-038430-**-**</v>
      </c>
      <c r="X1545" t="s">
        <v>838</v>
      </c>
      <c r="Y1545">
        <v>1206.25</v>
      </c>
      <c r="Z1545">
        <v>1206.25</v>
      </c>
      <c r="AA1545" t="str">
        <f t="shared" si="433"/>
        <v>06/08/2016</v>
      </c>
    </row>
    <row r="1546" spans="1:27" x14ac:dyDescent="0.3">
      <c r="A1546" t="str">
        <f t="shared" si="435"/>
        <v>048314</v>
      </c>
      <c r="B1546" t="str">
        <f t="shared" si="428"/>
        <v>038430</v>
      </c>
      <c r="C1546" t="s">
        <v>1007</v>
      </c>
      <c r="D1546" t="s">
        <v>3839</v>
      </c>
      <c r="E1546" t="s">
        <v>3840</v>
      </c>
      <c r="F1546" t="s">
        <v>3841</v>
      </c>
      <c r="G1546" t="s">
        <v>3842</v>
      </c>
      <c r="H1546" t="str">
        <f t="shared" si="431"/>
        <v>048314</v>
      </c>
      <c r="I1546" t="s">
        <v>833</v>
      </c>
      <c r="J1546" t="str">
        <f>"2015-08-01 00:00:00.0"</f>
        <v>2015-08-01 00:00:00.0</v>
      </c>
      <c r="K1546" t="s">
        <v>834</v>
      </c>
      <c r="L1546" t="s">
        <v>0</v>
      </c>
      <c r="M1546" t="str">
        <f t="shared" si="436"/>
        <v>048314</v>
      </c>
      <c r="N1546">
        <v>1</v>
      </c>
      <c r="O1546">
        <v>1</v>
      </c>
      <c r="P1546" t="s">
        <v>764</v>
      </c>
      <c r="Q1546" t="s">
        <v>835</v>
      </c>
      <c r="S1546" t="s">
        <v>836</v>
      </c>
      <c r="T1546" t="s">
        <v>836</v>
      </c>
      <c r="U1546" t="str">
        <f t="shared" si="430"/>
        <v>2500-12-31 00:00:00.0</v>
      </c>
      <c r="V1546" t="s">
        <v>837</v>
      </c>
      <c r="W1546" t="str">
        <f>"048314-038430-**-**"</f>
        <v>048314-038430-**-**</v>
      </c>
      <c r="X1546" t="s">
        <v>838</v>
      </c>
      <c r="Y1546">
        <v>1206.25</v>
      </c>
      <c r="Z1546">
        <v>1206.25</v>
      </c>
      <c r="AA1546" t="str">
        <f t="shared" si="433"/>
        <v>06/08/2016</v>
      </c>
    </row>
    <row r="1547" spans="1:27" x14ac:dyDescent="0.3">
      <c r="A1547" t="str">
        <f t="shared" si="435"/>
        <v>048314</v>
      </c>
      <c r="B1547" t="str">
        <f t="shared" si="428"/>
        <v>038430</v>
      </c>
      <c r="C1547" t="s">
        <v>3556</v>
      </c>
      <c r="D1547" t="s">
        <v>3839</v>
      </c>
      <c r="E1547" t="s">
        <v>3840</v>
      </c>
      <c r="F1547" t="s">
        <v>3841</v>
      </c>
      <c r="G1547" t="s">
        <v>3842</v>
      </c>
      <c r="H1547" t="str">
        <f>"045328"</f>
        <v>045328</v>
      </c>
      <c r="I1547" t="s">
        <v>833</v>
      </c>
      <c r="J1547" t="str">
        <f>"2015-07-01 00:00:00.0"</f>
        <v>2015-07-01 00:00:00.0</v>
      </c>
      <c r="K1547" t="s">
        <v>834</v>
      </c>
      <c r="L1547" t="s">
        <v>1</v>
      </c>
      <c r="M1547" t="str">
        <f t="shared" si="436"/>
        <v>048314</v>
      </c>
      <c r="N1547">
        <v>1</v>
      </c>
      <c r="O1547">
        <v>1</v>
      </c>
      <c r="P1547" t="str">
        <f>"03"</f>
        <v>03</v>
      </c>
      <c r="Q1547" t="s">
        <v>835</v>
      </c>
      <c r="S1547" t="s">
        <v>836</v>
      </c>
      <c r="T1547" t="s">
        <v>836</v>
      </c>
      <c r="U1547" t="str">
        <f t="shared" si="430"/>
        <v>2500-12-31 00:00:00.0</v>
      </c>
      <c r="V1547" t="s">
        <v>837</v>
      </c>
      <c r="W1547" t="str">
        <f>"045328-008540-**-**"</f>
        <v>045328-008540-**-**</v>
      </c>
      <c r="X1547" t="s">
        <v>838</v>
      </c>
      <c r="Y1547">
        <v>1142.5</v>
      </c>
      <c r="Z1547">
        <v>1142.5</v>
      </c>
      <c r="AA1547" t="str">
        <f>"06/04/2016"</f>
        <v>06/04/2016</v>
      </c>
    </row>
    <row r="1548" spans="1:27" x14ac:dyDescent="0.3">
      <c r="A1548" t="str">
        <f t="shared" si="435"/>
        <v>048314</v>
      </c>
      <c r="B1548" t="str">
        <f t="shared" si="428"/>
        <v>038430</v>
      </c>
      <c r="C1548" t="s">
        <v>3392</v>
      </c>
      <c r="D1548" t="s">
        <v>3839</v>
      </c>
      <c r="E1548" t="s">
        <v>3840</v>
      </c>
      <c r="F1548" t="s">
        <v>3841</v>
      </c>
      <c r="G1548" t="s">
        <v>3842</v>
      </c>
      <c r="H1548" t="str">
        <f t="shared" ref="H1548:H1579" si="437">"048314"</f>
        <v>048314</v>
      </c>
      <c r="I1548" t="s">
        <v>833</v>
      </c>
      <c r="J1548" t="str">
        <f>"2015-07-01 00:00:00.0"</f>
        <v>2015-07-01 00:00:00.0</v>
      </c>
      <c r="K1548" t="s">
        <v>834</v>
      </c>
      <c r="L1548" t="s">
        <v>0</v>
      </c>
      <c r="M1548" t="str">
        <f t="shared" si="436"/>
        <v>048314</v>
      </c>
      <c r="N1548">
        <v>1</v>
      </c>
      <c r="O1548">
        <v>1</v>
      </c>
      <c r="P1548" t="str">
        <f>"05"</f>
        <v>05</v>
      </c>
      <c r="Q1548" t="s">
        <v>835</v>
      </c>
      <c r="S1548" t="s">
        <v>836</v>
      </c>
      <c r="T1548" t="s">
        <v>836</v>
      </c>
      <c r="U1548" t="str">
        <f t="shared" si="430"/>
        <v>2500-12-31 00:00:00.0</v>
      </c>
      <c r="V1548" t="s">
        <v>837</v>
      </c>
      <c r="W1548" t="str">
        <f>"048314-070417-**-**"</f>
        <v>048314-070417-**-**</v>
      </c>
      <c r="X1548" t="s">
        <v>838</v>
      </c>
      <c r="Y1548">
        <v>1125</v>
      </c>
      <c r="Z1548">
        <v>1125</v>
      </c>
      <c r="AA1548" t="str">
        <f t="shared" ref="AA1548:AA1579" si="438">"06/08/2016"</f>
        <v>06/08/2016</v>
      </c>
    </row>
    <row r="1549" spans="1:27" x14ac:dyDescent="0.3">
      <c r="A1549" t="str">
        <f t="shared" si="435"/>
        <v>048314</v>
      </c>
      <c r="B1549" t="str">
        <f t="shared" si="428"/>
        <v>038430</v>
      </c>
      <c r="C1549" t="s">
        <v>1365</v>
      </c>
      <c r="D1549" t="s">
        <v>3839</v>
      </c>
      <c r="E1549" t="s">
        <v>3840</v>
      </c>
      <c r="F1549" t="s">
        <v>3841</v>
      </c>
      <c r="G1549" t="s">
        <v>3842</v>
      </c>
      <c r="H1549" t="str">
        <f t="shared" si="437"/>
        <v>048314</v>
      </c>
      <c r="I1549" t="s">
        <v>833</v>
      </c>
      <c r="J1549" t="str">
        <f>"2015-08-01 00:00:00.0"</f>
        <v>2015-08-01 00:00:00.0</v>
      </c>
      <c r="K1549" t="s">
        <v>834</v>
      </c>
      <c r="L1549" t="s">
        <v>0</v>
      </c>
      <c r="M1549" t="str">
        <f t="shared" si="436"/>
        <v>048314</v>
      </c>
      <c r="N1549">
        <v>1</v>
      </c>
      <c r="O1549">
        <v>1</v>
      </c>
      <c r="P1549" t="s">
        <v>764</v>
      </c>
      <c r="Q1549" t="s">
        <v>835</v>
      </c>
      <c r="S1549" t="s">
        <v>836</v>
      </c>
      <c r="T1549" t="s">
        <v>836</v>
      </c>
      <c r="U1549" t="str">
        <f t="shared" si="430"/>
        <v>2500-12-31 00:00:00.0</v>
      </c>
      <c r="V1549" t="s">
        <v>837</v>
      </c>
      <c r="W1549" t="str">
        <f>"048314-038430-**-**"</f>
        <v>048314-038430-**-**</v>
      </c>
      <c r="X1549" t="s">
        <v>838</v>
      </c>
      <c r="Y1549">
        <v>1206.25</v>
      </c>
      <c r="Z1549">
        <v>1206.25</v>
      </c>
      <c r="AA1549" t="str">
        <f t="shared" si="438"/>
        <v>06/08/2016</v>
      </c>
    </row>
    <row r="1550" spans="1:27" x14ac:dyDescent="0.3">
      <c r="A1550" t="str">
        <f t="shared" si="435"/>
        <v>048314</v>
      </c>
      <c r="B1550" t="str">
        <f t="shared" si="428"/>
        <v>038430</v>
      </c>
      <c r="C1550" t="s">
        <v>3715</v>
      </c>
      <c r="D1550" t="s">
        <v>3839</v>
      </c>
      <c r="E1550" t="s">
        <v>3840</v>
      </c>
      <c r="F1550" t="s">
        <v>3841</v>
      </c>
      <c r="G1550" t="s">
        <v>3842</v>
      </c>
      <c r="H1550" t="str">
        <f t="shared" si="437"/>
        <v>048314</v>
      </c>
      <c r="I1550" t="s">
        <v>833</v>
      </c>
      <c r="J1550" t="str">
        <f>"2015-12-08 00:00:00.0"</f>
        <v>2015-12-08 00:00:00.0</v>
      </c>
      <c r="K1550" t="s">
        <v>834</v>
      </c>
      <c r="L1550" t="s">
        <v>0</v>
      </c>
      <c r="M1550" t="str">
        <f t="shared" si="436"/>
        <v>048314</v>
      </c>
      <c r="N1550">
        <v>0.64766800000000002</v>
      </c>
      <c r="O1550">
        <v>0.64766800000000002</v>
      </c>
      <c r="P1550" t="str">
        <f>"03"</f>
        <v>03</v>
      </c>
      <c r="Q1550" t="s">
        <v>835</v>
      </c>
      <c r="S1550" t="s">
        <v>836</v>
      </c>
      <c r="T1550" t="s">
        <v>836</v>
      </c>
      <c r="U1550" t="str">
        <f t="shared" si="430"/>
        <v>2500-12-31 00:00:00.0</v>
      </c>
      <c r="V1550" t="s">
        <v>837</v>
      </c>
      <c r="W1550" t="str">
        <f>"048314-038430-**-**"</f>
        <v>048314-038430-**-**</v>
      </c>
      <c r="X1550" t="s">
        <v>838</v>
      </c>
      <c r="Y1550">
        <v>781.25</v>
      </c>
      <c r="Z1550">
        <v>1206.25</v>
      </c>
      <c r="AA1550" t="str">
        <f t="shared" si="438"/>
        <v>06/08/2016</v>
      </c>
    </row>
    <row r="1551" spans="1:27" x14ac:dyDescent="0.3">
      <c r="A1551" t="str">
        <f t="shared" si="435"/>
        <v>048314</v>
      </c>
      <c r="B1551" t="str">
        <f t="shared" si="428"/>
        <v>038430</v>
      </c>
      <c r="C1551" t="s">
        <v>3715</v>
      </c>
      <c r="D1551" t="s">
        <v>3839</v>
      </c>
      <c r="E1551" t="s">
        <v>3840</v>
      </c>
      <c r="F1551" t="s">
        <v>3841</v>
      </c>
      <c r="G1551" t="s">
        <v>3842</v>
      </c>
      <c r="H1551" t="str">
        <f t="shared" si="437"/>
        <v>048314</v>
      </c>
      <c r="I1551" t="s">
        <v>833</v>
      </c>
      <c r="J1551" t="str">
        <f t="shared" ref="J1551:J1566" si="439">"2015-07-01 00:00:00.0"</f>
        <v>2015-07-01 00:00:00.0</v>
      </c>
      <c r="K1551" t="s">
        <v>834</v>
      </c>
      <c r="L1551" t="s">
        <v>0</v>
      </c>
      <c r="M1551" t="str">
        <f t="shared" si="436"/>
        <v>048314</v>
      </c>
      <c r="N1551">
        <v>0.35233199999999998</v>
      </c>
      <c r="O1551">
        <v>0.35233199999999998</v>
      </c>
      <c r="P1551" t="str">
        <f>"03"</f>
        <v>03</v>
      </c>
      <c r="Q1551" t="s">
        <v>835</v>
      </c>
      <c r="S1551" t="s">
        <v>836</v>
      </c>
      <c r="T1551" t="s">
        <v>836</v>
      </c>
      <c r="U1551" t="str">
        <f>"2015-12-07 00:00:00.0"</f>
        <v>2015-12-07 00:00:00.0</v>
      </c>
      <c r="V1551" t="s">
        <v>837</v>
      </c>
      <c r="W1551" t="str">
        <f>"048314-038430-**-**"</f>
        <v>048314-038430-**-**</v>
      </c>
      <c r="X1551" t="s">
        <v>838</v>
      </c>
      <c r="Y1551">
        <v>425</v>
      </c>
      <c r="Z1551">
        <v>1206.25</v>
      </c>
      <c r="AA1551" t="str">
        <f t="shared" si="438"/>
        <v>06/08/2016</v>
      </c>
    </row>
    <row r="1552" spans="1:27" x14ac:dyDescent="0.3">
      <c r="A1552" t="str">
        <f t="shared" si="435"/>
        <v>048314</v>
      </c>
      <c r="B1552" t="str">
        <f t="shared" si="428"/>
        <v>038430</v>
      </c>
      <c r="C1552" t="s">
        <v>2834</v>
      </c>
      <c r="D1552" t="s">
        <v>3839</v>
      </c>
      <c r="E1552" t="s">
        <v>3840</v>
      </c>
      <c r="F1552" t="s">
        <v>3841</v>
      </c>
      <c r="G1552" t="s">
        <v>3842</v>
      </c>
      <c r="H1552" t="str">
        <f t="shared" si="437"/>
        <v>048314</v>
      </c>
      <c r="I1552" t="s">
        <v>833</v>
      </c>
      <c r="J1552" t="str">
        <f t="shared" si="439"/>
        <v>2015-07-01 00:00:00.0</v>
      </c>
      <c r="K1552" t="s">
        <v>834</v>
      </c>
      <c r="L1552" t="s">
        <v>0</v>
      </c>
      <c r="M1552" t="str">
        <f t="shared" si="436"/>
        <v>048314</v>
      </c>
      <c r="N1552">
        <v>1</v>
      </c>
      <c r="O1552">
        <v>1</v>
      </c>
      <c r="P1552" t="str">
        <f>"05"</f>
        <v>05</v>
      </c>
      <c r="Q1552" t="s">
        <v>835</v>
      </c>
      <c r="S1552" t="s">
        <v>836</v>
      </c>
      <c r="T1552" t="s">
        <v>836</v>
      </c>
      <c r="U1552" t="str">
        <f t="shared" ref="U1552:U1568" si="440">"2500-12-31 00:00:00.0"</f>
        <v>2500-12-31 00:00:00.0</v>
      </c>
      <c r="V1552" t="s">
        <v>837</v>
      </c>
      <c r="W1552" t="str">
        <f>"048314-070417-**-**"</f>
        <v>048314-070417-**-**</v>
      </c>
      <c r="X1552" t="s">
        <v>838</v>
      </c>
      <c r="Y1552">
        <v>1125</v>
      </c>
      <c r="Z1552">
        <v>1125</v>
      </c>
      <c r="AA1552" t="str">
        <f t="shared" si="438"/>
        <v>06/08/2016</v>
      </c>
    </row>
    <row r="1553" spans="1:27" x14ac:dyDescent="0.3">
      <c r="A1553" t="str">
        <f t="shared" si="435"/>
        <v>048314</v>
      </c>
      <c r="B1553" t="str">
        <f t="shared" si="428"/>
        <v>038430</v>
      </c>
      <c r="C1553" t="s">
        <v>3745</v>
      </c>
      <c r="D1553" t="s">
        <v>3839</v>
      </c>
      <c r="E1553" t="s">
        <v>3840</v>
      </c>
      <c r="F1553" t="s">
        <v>3841</v>
      </c>
      <c r="G1553" t="s">
        <v>3842</v>
      </c>
      <c r="H1553" t="str">
        <f t="shared" si="437"/>
        <v>048314</v>
      </c>
      <c r="I1553" t="s">
        <v>833</v>
      </c>
      <c r="J1553" t="str">
        <f t="shared" si="439"/>
        <v>2015-07-01 00:00:00.0</v>
      </c>
      <c r="K1553" t="s">
        <v>834</v>
      </c>
      <c r="L1553" t="s">
        <v>0</v>
      </c>
      <c r="M1553" t="str">
        <f t="shared" si="436"/>
        <v>048314</v>
      </c>
      <c r="N1553">
        <v>1</v>
      </c>
      <c r="O1553">
        <v>1</v>
      </c>
      <c r="P1553" t="s">
        <v>764</v>
      </c>
      <c r="Q1553" t="str">
        <f>"10"</f>
        <v>10</v>
      </c>
      <c r="R1553" t="str">
        <f>"2"</f>
        <v>2</v>
      </c>
      <c r="S1553" t="s">
        <v>836</v>
      </c>
      <c r="T1553" t="s">
        <v>836</v>
      </c>
      <c r="U1553" t="str">
        <f t="shared" si="440"/>
        <v>2500-12-31 00:00:00.0</v>
      </c>
      <c r="V1553" t="s">
        <v>837</v>
      </c>
      <c r="W1553" t="str">
        <f t="shared" ref="W1553:W1560" si="441">"048314-038430-**-**"</f>
        <v>048314-038430-**-**</v>
      </c>
      <c r="X1553" t="s">
        <v>838</v>
      </c>
      <c r="Y1553">
        <v>1206.25</v>
      </c>
      <c r="Z1553">
        <v>1206.25</v>
      </c>
      <c r="AA1553" t="str">
        <f t="shared" si="438"/>
        <v>06/08/2016</v>
      </c>
    </row>
    <row r="1554" spans="1:27" x14ac:dyDescent="0.3">
      <c r="A1554" t="str">
        <f t="shared" si="435"/>
        <v>048314</v>
      </c>
      <c r="B1554" t="str">
        <f t="shared" si="428"/>
        <v>038430</v>
      </c>
      <c r="C1554" t="s">
        <v>3551</v>
      </c>
      <c r="D1554" t="s">
        <v>3839</v>
      </c>
      <c r="E1554" t="s">
        <v>3840</v>
      </c>
      <c r="F1554" t="s">
        <v>3841</v>
      </c>
      <c r="G1554" t="s">
        <v>3842</v>
      </c>
      <c r="H1554" t="str">
        <f t="shared" si="437"/>
        <v>048314</v>
      </c>
      <c r="I1554" t="s">
        <v>833</v>
      </c>
      <c r="J1554" t="str">
        <f t="shared" si="439"/>
        <v>2015-07-01 00:00:00.0</v>
      </c>
      <c r="K1554" t="s">
        <v>834</v>
      </c>
      <c r="L1554" t="s">
        <v>0</v>
      </c>
      <c r="M1554" t="str">
        <f t="shared" si="436"/>
        <v>048314</v>
      </c>
      <c r="N1554">
        <v>1</v>
      </c>
      <c r="O1554">
        <v>1</v>
      </c>
      <c r="P1554" t="str">
        <f>"03"</f>
        <v>03</v>
      </c>
      <c r="Q1554" t="str">
        <f>"10"</f>
        <v>10</v>
      </c>
      <c r="R1554" t="str">
        <f>"2"</f>
        <v>2</v>
      </c>
      <c r="S1554" t="s">
        <v>836</v>
      </c>
      <c r="T1554" t="s">
        <v>836</v>
      </c>
      <c r="U1554" t="str">
        <f t="shared" si="440"/>
        <v>2500-12-31 00:00:00.0</v>
      </c>
      <c r="V1554" t="s">
        <v>837</v>
      </c>
      <c r="W1554" t="str">
        <f t="shared" si="441"/>
        <v>048314-038430-**-**</v>
      </c>
      <c r="X1554" t="s">
        <v>838</v>
      </c>
      <c r="Y1554">
        <v>1206.25</v>
      </c>
      <c r="Z1554">
        <v>1206.25</v>
      </c>
      <c r="AA1554" t="str">
        <f t="shared" si="438"/>
        <v>06/08/2016</v>
      </c>
    </row>
    <row r="1555" spans="1:27" x14ac:dyDescent="0.3">
      <c r="A1555" t="str">
        <f t="shared" si="435"/>
        <v>048314</v>
      </c>
      <c r="B1555" t="str">
        <f t="shared" si="428"/>
        <v>038430</v>
      </c>
      <c r="C1555" t="s">
        <v>963</v>
      </c>
      <c r="D1555" t="s">
        <v>3839</v>
      </c>
      <c r="E1555" t="s">
        <v>3840</v>
      </c>
      <c r="F1555" t="s">
        <v>3841</v>
      </c>
      <c r="G1555" t="s">
        <v>3842</v>
      </c>
      <c r="H1555" t="str">
        <f t="shared" si="437"/>
        <v>048314</v>
      </c>
      <c r="I1555" t="s">
        <v>833</v>
      </c>
      <c r="J1555" t="str">
        <f t="shared" si="439"/>
        <v>2015-07-01 00:00:00.0</v>
      </c>
      <c r="K1555" t="s">
        <v>834</v>
      </c>
      <c r="L1555" t="s">
        <v>0</v>
      </c>
      <c r="M1555" t="str">
        <f t="shared" si="436"/>
        <v>048314</v>
      </c>
      <c r="N1555">
        <v>1</v>
      </c>
      <c r="O1555">
        <v>1</v>
      </c>
      <c r="P1555" t="str">
        <f>"01"</f>
        <v>01</v>
      </c>
      <c r="Q1555" t="s">
        <v>835</v>
      </c>
      <c r="S1555" t="s">
        <v>860</v>
      </c>
      <c r="T1555" t="s">
        <v>836</v>
      </c>
      <c r="U1555" t="str">
        <f t="shared" si="440"/>
        <v>2500-12-31 00:00:00.0</v>
      </c>
      <c r="V1555" t="s">
        <v>837</v>
      </c>
      <c r="W1555" t="str">
        <f t="shared" si="441"/>
        <v>048314-038430-**-**</v>
      </c>
      <c r="X1555" t="s">
        <v>838</v>
      </c>
      <c r="Y1555">
        <v>1206.25</v>
      </c>
      <c r="Z1555">
        <v>1206.25</v>
      </c>
      <c r="AA1555" t="str">
        <f t="shared" si="438"/>
        <v>06/08/2016</v>
      </c>
    </row>
    <row r="1556" spans="1:27" x14ac:dyDescent="0.3">
      <c r="A1556" t="str">
        <f t="shared" si="435"/>
        <v>048314</v>
      </c>
      <c r="B1556" t="str">
        <f t="shared" si="428"/>
        <v>038430</v>
      </c>
      <c r="C1556" t="s">
        <v>3469</v>
      </c>
      <c r="D1556" t="s">
        <v>3839</v>
      </c>
      <c r="E1556" t="s">
        <v>3840</v>
      </c>
      <c r="F1556" t="s">
        <v>3841</v>
      </c>
      <c r="G1556" t="s">
        <v>3842</v>
      </c>
      <c r="H1556" t="str">
        <f t="shared" si="437"/>
        <v>048314</v>
      </c>
      <c r="I1556" t="s">
        <v>833</v>
      </c>
      <c r="J1556" t="str">
        <f t="shared" si="439"/>
        <v>2015-07-01 00:00:00.0</v>
      </c>
      <c r="K1556" t="s">
        <v>834</v>
      </c>
      <c r="L1556" t="s">
        <v>0</v>
      </c>
      <c r="M1556" t="str">
        <f t="shared" si="436"/>
        <v>048314</v>
      </c>
      <c r="N1556">
        <v>1</v>
      </c>
      <c r="O1556">
        <v>1</v>
      </c>
      <c r="P1556" t="str">
        <f>"03"</f>
        <v>03</v>
      </c>
      <c r="Q1556" t="s">
        <v>835</v>
      </c>
      <c r="S1556" t="s">
        <v>860</v>
      </c>
      <c r="T1556" t="s">
        <v>836</v>
      </c>
      <c r="U1556" t="str">
        <f t="shared" si="440"/>
        <v>2500-12-31 00:00:00.0</v>
      </c>
      <c r="V1556" t="s">
        <v>837</v>
      </c>
      <c r="W1556" t="str">
        <f t="shared" si="441"/>
        <v>048314-038430-**-**</v>
      </c>
      <c r="X1556" t="s">
        <v>838</v>
      </c>
      <c r="Y1556">
        <v>1206.25</v>
      </c>
      <c r="Z1556">
        <v>1206.25</v>
      </c>
      <c r="AA1556" t="str">
        <f t="shared" si="438"/>
        <v>06/08/2016</v>
      </c>
    </row>
    <row r="1557" spans="1:27" x14ac:dyDescent="0.3">
      <c r="A1557" t="str">
        <f t="shared" si="435"/>
        <v>048314</v>
      </c>
      <c r="B1557" t="str">
        <f t="shared" si="428"/>
        <v>038430</v>
      </c>
      <c r="C1557" t="s">
        <v>876</v>
      </c>
      <c r="D1557" t="s">
        <v>3839</v>
      </c>
      <c r="E1557" t="s">
        <v>3840</v>
      </c>
      <c r="F1557" t="s">
        <v>3841</v>
      </c>
      <c r="G1557" t="s">
        <v>3842</v>
      </c>
      <c r="H1557" t="str">
        <f t="shared" si="437"/>
        <v>048314</v>
      </c>
      <c r="I1557" t="s">
        <v>833</v>
      </c>
      <c r="J1557" t="str">
        <f t="shared" si="439"/>
        <v>2015-07-01 00:00:00.0</v>
      </c>
      <c r="K1557" t="s">
        <v>834</v>
      </c>
      <c r="L1557" t="s">
        <v>0</v>
      </c>
      <c r="M1557" t="str">
        <f>"048298"</f>
        <v>048298</v>
      </c>
      <c r="N1557">
        <v>1</v>
      </c>
      <c r="O1557">
        <v>1</v>
      </c>
      <c r="P1557" t="str">
        <f>"01"</f>
        <v>01</v>
      </c>
      <c r="Q1557" t="s">
        <v>835</v>
      </c>
      <c r="S1557" t="s">
        <v>836</v>
      </c>
      <c r="T1557" t="s">
        <v>836</v>
      </c>
      <c r="U1557" t="str">
        <f t="shared" si="440"/>
        <v>2500-12-31 00:00:00.0</v>
      </c>
      <c r="V1557" t="s">
        <v>837</v>
      </c>
      <c r="W1557" t="str">
        <f t="shared" si="441"/>
        <v>048314-038430-**-**</v>
      </c>
      <c r="X1557" t="s">
        <v>838</v>
      </c>
      <c r="Y1557">
        <v>1206.25</v>
      </c>
      <c r="Z1557">
        <v>1206.25</v>
      </c>
      <c r="AA1557" t="str">
        <f t="shared" si="438"/>
        <v>06/08/2016</v>
      </c>
    </row>
    <row r="1558" spans="1:27" x14ac:dyDescent="0.3">
      <c r="A1558" t="str">
        <f t="shared" si="435"/>
        <v>048314</v>
      </c>
      <c r="B1558" t="str">
        <f t="shared" si="428"/>
        <v>038430</v>
      </c>
      <c r="C1558" t="s">
        <v>3359</v>
      </c>
      <c r="D1558" t="s">
        <v>3839</v>
      </c>
      <c r="E1558" t="s">
        <v>3840</v>
      </c>
      <c r="F1558" t="s">
        <v>3841</v>
      </c>
      <c r="G1558" t="s">
        <v>3842</v>
      </c>
      <c r="H1558" t="str">
        <f t="shared" si="437"/>
        <v>048314</v>
      </c>
      <c r="I1558" t="s">
        <v>833</v>
      </c>
      <c r="J1558" t="str">
        <f t="shared" si="439"/>
        <v>2015-07-01 00:00:00.0</v>
      </c>
      <c r="K1558" t="s">
        <v>834</v>
      </c>
      <c r="L1558" t="s">
        <v>0</v>
      </c>
      <c r="M1558" t="str">
        <f t="shared" ref="M1558:M1621" si="442">"048314"</f>
        <v>048314</v>
      </c>
      <c r="N1558">
        <v>1</v>
      </c>
      <c r="O1558">
        <v>1</v>
      </c>
      <c r="P1558" t="str">
        <f>"04"</f>
        <v>04</v>
      </c>
      <c r="Q1558" t="s">
        <v>835</v>
      </c>
      <c r="S1558" t="s">
        <v>836</v>
      </c>
      <c r="T1558" t="s">
        <v>836</v>
      </c>
      <c r="U1558" t="str">
        <f t="shared" si="440"/>
        <v>2500-12-31 00:00:00.0</v>
      </c>
      <c r="V1558" t="s">
        <v>837</v>
      </c>
      <c r="W1558" t="str">
        <f t="shared" si="441"/>
        <v>048314-038430-**-**</v>
      </c>
      <c r="X1558" t="s">
        <v>838</v>
      </c>
      <c r="Y1558">
        <v>1206.25</v>
      </c>
      <c r="Z1558">
        <v>1206.25</v>
      </c>
      <c r="AA1558" t="str">
        <f t="shared" si="438"/>
        <v>06/08/2016</v>
      </c>
    </row>
    <row r="1559" spans="1:27" x14ac:dyDescent="0.3">
      <c r="A1559" t="str">
        <f t="shared" si="435"/>
        <v>048314</v>
      </c>
      <c r="B1559" t="str">
        <f t="shared" si="428"/>
        <v>038430</v>
      </c>
      <c r="C1559" t="s">
        <v>3624</v>
      </c>
      <c r="D1559" t="s">
        <v>3839</v>
      </c>
      <c r="E1559" t="s">
        <v>3840</v>
      </c>
      <c r="F1559" t="s">
        <v>3841</v>
      </c>
      <c r="G1559" t="s">
        <v>3842</v>
      </c>
      <c r="H1559" t="str">
        <f t="shared" si="437"/>
        <v>048314</v>
      </c>
      <c r="I1559" t="s">
        <v>833</v>
      </c>
      <c r="J1559" t="str">
        <f t="shared" si="439"/>
        <v>2015-07-01 00:00:00.0</v>
      </c>
      <c r="K1559" t="s">
        <v>834</v>
      </c>
      <c r="L1559" t="s">
        <v>0</v>
      </c>
      <c r="M1559" t="str">
        <f t="shared" si="442"/>
        <v>048314</v>
      </c>
      <c r="N1559">
        <v>1</v>
      </c>
      <c r="O1559">
        <v>1</v>
      </c>
      <c r="P1559" t="str">
        <f>"03"</f>
        <v>03</v>
      </c>
      <c r="Q1559" t="s">
        <v>835</v>
      </c>
      <c r="S1559" t="s">
        <v>836</v>
      </c>
      <c r="T1559" t="s">
        <v>836</v>
      </c>
      <c r="U1559" t="str">
        <f t="shared" si="440"/>
        <v>2500-12-31 00:00:00.0</v>
      </c>
      <c r="V1559" t="s">
        <v>837</v>
      </c>
      <c r="W1559" t="str">
        <f t="shared" si="441"/>
        <v>048314-038430-**-**</v>
      </c>
      <c r="X1559" t="s">
        <v>838</v>
      </c>
      <c r="Y1559">
        <v>1206.25</v>
      </c>
      <c r="Z1559">
        <v>1206.25</v>
      </c>
      <c r="AA1559" t="str">
        <f t="shared" si="438"/>
        <v>06/08/2016</v>
      </c>
    </row>
    <row r="1560" spans="1:27" x14ac:dyDescent="0.3">
      <c r="A1560" t="str">
        <f t="shared" si="435"/>
        <v>048314</v>
      </c>
      <c r="B1560" t="str">
        <f t="shared" si="428"/>
        <v>038430</v>
      </c>
      <c r="C1560" t="s">
        <v>3539</v>
      </c>
      <c r="D1560" t="s">
        <v>3839</v>
      </c>
      <c r="E1560" t="s">
        <v>3840</v>
      </c>
      <c r="F1560" t="s">
        <v>3841</v>
      </c>
      <c r="G1560" t="s">
        <v>3842</v>
      </c>
      <c r="H1560" t="str">
        <f t="shared" si="437"/>
        <v>048314</v>
      </c>
      <c r="I1560" t="s">
        <v>833</v>
      </c>
      <c r="J1560" t="str">
        <f t="shared" si="439"/>
        <v>2015-07-01 00:00:00.0</v>
      </c>
      <c r="K1560" t="s">
        <v>834</v>
      </c>
      <c r="L1560" t="s">
        <v>0</v>
      </c>
      <c r="M1560" t="str">
        <f t="shared" si="442"/>
        <v>048314</v>
      </c>
      <c r="N1560">
        <v>1</v>
      </c>
      <c r="O1560">
        <v>1</v>
      </c>
      <c r="P1560" t="str">
        <f>"03"</f>
        <v>03</v>
      </c>
      <c r="Q1560" t="s">
        <v>835</v>
      </c>
      <c r="S1560" t="s">
        <v>860</v>
      </c>
      <c r="T1560" t="s">
        <v>836</v>
      </c>
      <c r="U1560" t="str">
        <f t="shared" si="440"/>
        <v>2500-12-31 00:00:00.0</v>
      </c>
      <c r="V1560" t="s">
        <v>837</v>
      </c>
      <c r="W1560" t="str">
        <f t="shared" si="441"/>
        <v>048314-038430-**-**</v>
      </c>
      <c r="X1560" t="s">
        <v>838</v>
      </c>
      <c r="Y1560">
        <v>1206.25</v>
      </c>
      <c r="Z1560">
        <v>1206.25</v>
      </c>
      <c r="AA1560" t="str">
        <f t="shared" si="438"/>
        <v>06/08/2016</v>
      </c>
    </row>
    <row r="1561" spans="1:27" x14ac:dyDescent="0.3">
      <c r="A1561" t="str">
        <f t="shared" si="435"/>
        <v>048314</v>
      </c>
      <c r="B1561" t="str">
        <f t="shared" si="428"/>
        <v>038430</v>
      </c>
      <c r="C1561" t="s">
        <v>2303</v>
      </c>
      <c r="D1561" t="s">
        <v>3839</v>
      </c>
      <c r="E1561" t="s">
        <v>3840</v>
      </c>
      <c r="F1561" t="s">
        <v>3841</v>
      </c>
      <c r="G1561" t="s">
        <v>3842</v>
      </c>
      <c r="H1561" t="str">
        <f t="shared" si="437"/>
        <v>048314</v>
      </c>
      <c r="I1561" t="s">
        <v>833</v>
      </c>
      <c r="J1561" t="str">
        <f t="shared" si="439"/>
        <v>2015-07-01 00:00:00.0</v>
      </c>
      <c r="K1561" t="s">
        <v>834</v>
      </c>
      <c r="L1561" t="s">
        <v>0</v>
      </c>
      <c r="M1561" t="str">
        <f t="shared" si="442"/>
        <v>048314</v>
      </c>
      <c r="N1561">
        <v>1</v>
      </c>
      <c r="O1561">
        <v>1</v>
      </c>
      <c r="P1561" t="str">
        <f>"05"</f>
        <v>05</v>
      </c>
      <c r="Q1561" t="str">
        <f>"12"</f>
        <v>12</v>
      </c>
      <c r="R1561" t="str">
        <f>"6"</f>
        <v>6</v>
      </c>
      <c r="S1561" t="s">
        <v>860</v>
      </c>
      <c r="T1561" t="s">
        <v>836</v>
      </c>
      <c r="U1561" t="str">
        <f t="shared" si="440"/>
        <v>2500-12-31 00:00:00.0</v>
      </c>
      <c r="V1561" t="s">
        <v>837</v>
      </c>
      <c r="W1561" t="str">
        <f>"048314-070417-**-**"</f>
        <v>048314-070417-**-**</v>
      </c>
      <c r="X1561" t="s">
        <v>838</v>
      </c>
      <c r="Y1561">
        <v>1125</v>
      </c>
      <c r="Z1561">
        <v>1125</v>
      </c>
      <c r="AA1561" t="str">
        <f t="shared" si="438"/>
        <v>06/08/2016</v>
      </c>
    </row>
    <row r="1562" spans="1:27" x14ac:dyDescent="0.3">
      <c r="A1562" t="str">
        <f t="shared" si="435"/>
        <v>048314</v>
      </c>
      <c r="B1562" t="str">
        <f t="shared" si="428"/>
        <v>038430</v>
      </c>
      <c r="C1562" t="s">
        <v>2776</v>
      </c>
      <c r="D1562" t="s">
        <v>3839</v>
      </c>
      <c r="E1562" t="s">
        <v>3840</v>
      </c>
      <c r="F1562" t="s">
        <v>3841</v>
      </c>
      <c r="G1562" t="s">
        <v>3842</v>
      </c>
      <c r="H1562" t="str">
        <f t="shared" si="437"/>
        <v>048314</v>
      </c>
      <c r="I1562" t="s">
        <v>833</v>
      </c>
      <c r="J1562" t="str">
        <f t="shared" si="439"/>
        <v>2015-07-01 00:00:00.0</v>
      </c>
      <c r="K1562" t="s">
        <v>834</v>
      </c>
      <c r="L1562" t="s">
        <v>0</v>
      </c>
      <c r="M1562" t="str">
        <f t="shared" si="442"/>
        <v>048314</v>
      </c>
      <c r="N1562">
        <v>1</v>
      </c>
      <c r="O1562">
        <v>1</v>
      </c>
      <c r="P1562" t="str">
        <f>"04"</f>
        <v>04</v>
      </c>
      <c r="Q1562" t="s">
        <v>835</v>
      </c>
      <c r="S1562" t="s">
        <v>860</v>
      </c>
      <c r="T1562" t="s">
        <v>836</v>
      </c>
      <c r="U1562" t="str">
        <f t="shared" si="440"/>
        <v>2500-12-31 00:00:00.0</v>
      </c>
      <c r="V1562" t="s">
        <v>837</v>
      </c>
      <c r="W1562" t="str">
        <f>"048314-038430-**-**"</f>
        <v>048314-038430-**-**</v>
      </c>
      <c r="X1562" t="s">
        <v>838</v>
      </c>
      <c r="Y1562">
        <v>1206.25</v>
      </c>
      <c r="Z1562">
        <v>1206.25</v>
      </c>
      <c r="AA1562" t="str">
        <f t="shared" si="438"/>
        <v>06/08/2016</v>
      </c>
    </row>
    <row r="1563" spans="1:27" x14ac:dyDescent="0.3">
      <c r="A1563" t="str">
        <f t="shared" si="435"/>
        <v>048314</v>
      </c>
      <c r="B1563" t="str">
        <f t="shared" si="428"/>
        <v>038430</v>
      </c>
      <c r="C1563" t="s">
        <v>2836</v>
      </c>
      <c r="D1563" t="s">
        <v>3839</v>
      </c>
      <c r="E1563" t="s">
        <v>3840</v>
      </c>
      <c r="F1563" t="s">
        <v>3841</v>
      </c>
      <c r="G1563" t="s">
        <v>3842</v>
      </c>
      <c r="H1563" t="str">
        <f t="shared" si="437"/>
        <v>048314</v>
      </c>
      <c r="I1563" t="s">
        <v>833</v>
      </c>
      <c r="J1563" t="str">
        <f t="shared" si="439"/>
        <v>2015-07-01 00:00:00.0</v>
      </c>
      <c r="K1563" t="s">
        <v>834</v>
      </c>
      <c r="L1563" t="s">
        <v>0</v>
      </c>
      <c r="M1563" t="str">
        <f t="shared" si="442"/>
        <v>048314</v>
      </c>
      <c r="N1563">
        <v>1</v>
      </c>
      <c r="O1563">
        <v>1</v>
      </c>
      <c r="P1563" t="str">
        <f>"05"</f>
        <v>05</v>
      </c>
      <c r="Q1563" t="s">
        <v>835</v>
      </c>
      <c r="S1563" t="s">
        <v>836</v>
      </c>
      <c r="T1563" t="s">
        <v>836</v>
      </c>
      <c r="U1563" t="str">
        <f t="shared" si="440"/>
        <v>2500-12-31 00:00:00.0</v>
      </c>
      <c r="V1563" t="s">
        <v>837</v>
      </c>
      <c r="W1563" t="str">
        <f>"048314-070417-**-**"</f>
        <v>048314-070417-**-**</v>
      </c>
      <c r="X1563" t="s">
        <v>838</v>
      </c>
      <c r="Y1563">
        <v>1125</v>
      </c>
      <c r="Z1563">
        <v>1125</v>
      </c>
      <c r="AA1563" t="str">
        <f t="shared" si="438"/>
        <v>06/08/2016</v>
      </c>
    </row>
    <row r="1564" spans="1:27" x14ac:dyDescent="0.3">
      <c r="A1564" t="str">
        <f t="shared" si="435"/>
        <v>048314</v>
      </c>
      <c r="B1564" t="str">
        <f t="shared" si="428"/>
        <v>038430</v>
      </c>
      <c r="C1564" t="s">
        <v>3415</v>
      </c>
      <c r="D1564" t="s">
        <v>3839</v>
      </c>
      <c r="E1564" t="s">
        <v>3840</v>
      </c>
      <c r="F1564" t="s">
        <v>3841</v>
      </c>
      <c r="G1564" t="s">
        <v>3842</v>
      </c>
      <c r="H1564" t="str">
        <f t="shared" si="437"/>
        <v>048314</v>
      </c>
      <c r="I1564" t="s">
        <v>833</v>
      </c>
      <c r="J1564" t="str">
        <f t="shared" si="439"/>
        <v>2015-07-01 00:00:00.0</v>
      </c>
      <c r="K1564" t="s">
        <v>834</v>
      </c>
      <c r="L1564" t="s">
        <v>0</v>
      </c>
      <c r="M1564" t="str">
        <f t="shared" si="442"/>
        <v>048314</v>
      </c>
      <c r="N1564">
        <v>1</v>
      </c>
      <c r="O1564">
        <v>1</v>
      </c>
      <c r="P1564" t="str">
        <f>"05"</f>
        <v>05</v>
      </c>
      <c r="Q1564" t="s">
        <v>835</v>
      </c>
      <c r="S1564" t="s">
        <v>836</v>
      </c>
      <c r="T1564" t="s">
        <v>836</v>
      </c>
      <c r="U1564" t="str">
        <f t="shared" si="440"/>
        <v>2500-12-31 00:00:00.0</v>
      </c>
      <c r="V1564" t="s">
        <v>837</v>
      </c>
      <c r="W1564" t="str">
        <f>"048314-070417-**-**"</f>
        <v>048314-070417-**-**</v>
      </c>
      <c r="X1564" t="s">
        <v>838</v>
      </c>
      <c r="Y1564">
        <v>1125</v>
      </c>
      <c r="Z1564">
        <v>1125</v>
      </c>
      <c r="AA1564" t="str">
        <f t="shared" si="438"/>
        <v>06/08/2016</v>
      </c>
    </row>
    <row r="1565" spans="1:27" x14ac:dyDescent="0.3">
      <c r="A1565" t="str">
        <f t="shared" si="435"/>
        <v>048314</v>
      </c>
      <c r="B1565" t="str">
        <f t="shared" si="428"/>
        <v>038430</v>
      </c>
      <c r="C1565" t="s">
        <v>2230</v>
      </c>
      <c r="D1565" t="s">
        <v>3839</v>
      </c>
      <c r="E1565" t="s">
        <v>3840</v>
      </c>
      <c r="F1565" t="s">
        <v>3841</v>
      </c>
      <c r="G1565" t="s">
        <v>3842</v>
      </c>
      <c r="H1565" t="str">
        <f t="shared" si="437"/>
        <v>048314</v>
      </c>
      <c r="I1565" t="s">
        <v>833</v>
      </c>
      <c r="J1565" t="str">
        <f t="shared" si="439"/>
        <v>2015-07-01 00:00:00.0</v>
      </c>
      <c r="K1565" t="s">
        <v>834</v>
      </c>
      <c r="L1565" t="s">
        <v>0</v>
      </c>
      <c r="M1565" t="str">
        <f t="shared" si="442"/>
        <v>048314</v>
      </c>
      <c r="N1565">
        <v>1</v>
      </c>
      <c r="O1565">
        <v>1</v>
      </c>
      <c r="P1565" t="str">
        <f>"01"</f>
        <v>01</v>
      </c>
      <c r="Q1565" t="s">
        <v>835</v>
      </c>
      <c r="S1565" t="s">
        <v>860</v>
      </c>
      <c r="T1565" t="s">
        <v>836</v>
      </c>
      <c r="U1565" t="str">
        <f t="shared" si="440"/>
        <v>2500-12-31 00:00:00.0</v>
      </c>
      <c r="V1565" t="s">
        <v>837</v>
      </c>
      <c r="W1565" t="str">
        <f t="shared" ref="W1565:W1571" si="443">"048314-038430-**-**"</f>
        <v>048314-038430-**-**</v>
      </c>
      <c r="X1565" t="s">
        <v>838</v>
      </c>
      <c r="Y1565">
        <v>1206.25</v>
      </c>
      <c r="Z1565">
        <v>1206.25</v>
      </c>
      <c r="AA1565" t="str">
        <f t="shared" si="438"/>
        <v>06/08/2016</v>
      </c>
    </row>
    <row r="1566" spans="1:27" x14ac:dyDescent="0.3">
      <c r="A1566" t="str">
        <f t="shared" si="435"/>
        <v>048314</v>
      </c>
      <c r="B1566" t="str">
        <f t="shared" si="428"/>
        <v>038430</v>
      </c>
      <c r="C1566" t="s">
        <v>3520</v>
      </c>
      <c r="D1566" t="s">
        <v>3839</v>
      </c>
      <c r="E1566" t="s">
        <v>3840</v>
      </c>
      <c r="F1566" t="s">
        <v>3841</v>
      </c>
      <c r="G1566" t="s">
        <v>3842</v>
      </c>
      <c r="H1566" t="str">
        <f t="shared" si="437"/>
        <v>048314</v>
      </c>
      <c r="I1566" t="s">
        <v>833</v>
      </c>
      <c r="J1566" t="str">
        <f t="shared" si="439"/>
        <v>2015-07-01 00:00:00.0</v>
      </c>
      <c r="K1566" t="s">
        <v>834</v>
      </c>
      <c r="L1566" t="s">
        <v>0</v>
      </c>
      <c r="M1566" t="str">
        <f t="shared" si="442"/>
        <v>048314</v>
      </c>
      <c r="N1566">
        <v>1</v>
      </c>
      <c r="O1566">
        <v>1</v>
      </c>
      <c r="P1566" t="str">
        <f>"03"</f>
        <v>03</v>
      </c>
      <c r="Q1566" t="s">
        <v>835</v>
      </c>
      <c r="S1566" t="s">
        <v>860</v>
      </c>
      <c r="T1566" t="s">
        <v>836</v>
      </c>
      <c r="U1566" t="str">
        <f t="shared" si="440"/>
        <v>2500-12-31 00:00:00.0</v>
      </c>
      <c r="V1566" t="s">
        <v>837</v>
      </c>
      <c r="W1566" t="str">
        <f t="shared" si="443"/>
        <v>048314-038430-**-**</v>
      </c>
      <c r="X1566" t="s">
        <v>838</v>
      </c>
      <c r="Y1566">
        <v>1206.25</v>
      </c>
      <c r="Z1566">
        <v>1206.25</v>
      </c>
      <c r="AA1566" t="str">
        <f t="shared" si="438"/>
        <v>06/08/2016</v>
      </c>
    </row>
    <row r="1567" spans="1:27" x14ac:dyDescent="0.3">
      <c r="A1567" t="str">
        <f t="shared" si="435"/>
        <v>048314</v>
      </c>
      <c r="B1567" t="str">
        <f t="shared" si="428"/>
        <v>038430</v>
      </c>
      <c r="C1567" t="s">
        <v>3035</v>
      </c>
      <c r="D1567" t="s">
        <v>3839</v>
      </c>
      <c r="E1567" t="s">
        <v>3840</v>
      </c>
      <c r="F1567" t="s">
        <v>3841</v>
      </c>
      <c r="G1567" t="s">
        <v>3842</v>
      </c>
      <c r="H1567" t="str">
        <f t="shared" si="437"/>
        <v>048314</v>
      </c>
      <c r="I1567" t="s">
        <v>833</v>
      </c>
      <c r="J1567" t="str">
        <f>"2015-08-01 00:00:00.0"</f>
        <v>2015-08-01 00:00:00.0</v>
      </c>
      <c r="K1567" t="s">
        <v>834</v>
      </c>
      <c r="L1567" t="s">
        <v>0</v>
      </c>
      <c r="M1567" t="str">
        <f t="shared" si="442"/>
        <v>048314</v>
      </c>
      <c r="N1567">
        <v>1</v>
      </c>
      <c r="O1567">
        <v>1</v>
      </c>
      <c r="P1567" t="str">
        <f>"01"</f>
        <v>01</v>
      </c>
      <c r="Q1567" t="s">
        <v>835</v>
      </c>
      <c r="S1567" t="s">
        <v>836</v>
      </c>
      <c r="T1567" t="s">
        <v>836</v>
      </c>
      <c r="U1567" t="str">
        <f t="shared" si="440"/>
        <v>2500-12-31 00:00:00.0</v>
      </c>
      <c r="V1567" t="s">
        <v>837</v>
      </c>
      <c r="W1567" t="str">
        <f t="shared" si="443"/>
        <v>048314-038430-**-**</v>
      </c>
      <c r="X1567" t="s">
        <v>838</v>
      </c>
      <c r="Y1567">
        <v>1206.25</v>
      </c>
      <c r="Z1567">
        <v>1206.25</v>
      </c>
      <c r="AA1567" t="str">
        <f t="shared" si="438"/>
        <v>06/08/2016</v>
      </c>
    </row>
    <row r="1568" spans="1:27" x14ac:dyDescent="0.3">
      <c r="A1568" t="str">
        <f t="shared" si="435"/>
        <v>048314</v>
      </c>
      <c r="B1568" t="str">
        <f t="shared" si="428"/>
        <v>038430</v>
      </c>
      <c r="C1568" t="s">
        <v>2472</v>
      </c>
      <c r="D1568" t="s">
        <v>3839</v>
      </c>
      <c r="E1568" t="s">
        <v>3840</v>
      </c>
      <c r="F1568" t="s">
        <v>3841</v>
      </c>
      <c r="G1568" t="s">
        <v>3842</v>
      </c>
      <c r="H1568" t="str">
        <f t="shared" si="437"/>
        <v>048314</v>
      </c>
      <c r="I1568" t="s">
        <v>833</v>
      </c>
      <c r="J1568" t="str">
        <f>"2015-12-09 00:00:00.0"</f>
        <v>2015-12-09 00:00:00.0</v>
      </c>
      <c r="K1568" t="s">
        <v>834</v>
      </c>
      <c r="L1568" t="s">
        <v>0</v>
      </c>
      <c r="M1568" t="str">
        <f t="shared" si="442"/>
        <v>048314</v>
      </c>
      <c r="N1568">
        <v>0.64248700000000003</v>
      </c>
      <c r="O1568">
        <v>0.64248700000000003</v>
      </c>
      <c r="P1568" t="s">
        <v>764</v>
      </c>
      <c r="Q1568" t="str">
        <f>"05"</f>
        <v>05</v>
      </c>
      <c r="R1568" t="str">
        <f>"1"</f>
        <v>1</v>
      </c>
      <c r="S1568" t="s">
        <v>860</v>
      </c>
      <c r="T1568" t="s">
        <v>836</v>
      </c>
      <c r="U1568" t="str">
        <f t="shared" si="440"/>
        <v>2500-12-31 00:00:00.0</v>
      </c>
      <c r="V1568" t="s">
        <v>837</v>
      </c>
      <c r="W1568" t="str">
        <f t="shared" si="443"/>
        <v>048314-038430-**-**</v>
      </c>
      <c r="X1568" t="s">
        <v>838</v>
      </c>
      <c r="Y1568">
        <v>775</v>
      </c>
      <c r="Z1568">
        <v>1206.25</v>
      </c>
      <c r="AA1568" t="str">
        <f t="shared" si="438"/>
        <v>06/08/2016</v>
      </c>
    </row>
    <row r="1569" spans="1:27" x14ac:dyDescent="0.3">
      <c r="A1569" t="str">
        <f t="shared" si="435"/>
        <v>048314</v>
      </c>
      <c r="B1569" t="str">
        <f t="shared" si="428"/>
        <v>038430</v>
      </c>
      <c r="C1569" t="s">
        <v>2472</v>
      </c>
      <c r="D1569" t="s">
        <v>3839</v>
      </c>
      <c r="E1569" t="s">
        <v>3840</v>
      </c>
      <c r="F1569" t="s">
        <v>3841</v>
      </c>
      <c r="G1569" t="s">
        <v>3842</v>
      </c>
      <c r="H1569" t="str">
        <f t="shared" si="437"/>
        <v>048314</v>
      </c>
      <c r="I1569" t="s">
        <v>833</v>
      </c>
      <c r="J1569" t="str">
        <f>"2015-08-31 00:00:00.0"</f>
        <v>2015-08-31 00:00:00.0</v>
      </c>
      <c r="K1569" t="s">
        <v>834</v>
      </c>
      <c r="L1569" t="s">
        <v>0</v>
      </c>
      <c r="M1569" t="str">
        <f t="shared" si="442"/>
        <v>048314</v>
      </c>
      <c r="N1569">
        <v>0.35751300000000003</v>
      </c>
      <c r="O1569">
        <v>0.35751300000000003</v>
      </c>
      <c r="P1569" t="s">
        <v>764</v>
      </c>
      <c r="Q1569" t="s">
        <v>835</v>
      </c>
      <c r="S1569" t="s">
        <v>860</v>
      </c>
      <c r="T1569" t="s">
        <v>836</v>
      </c>
      <c r="U1569" t="str">
        <f>"2015-12-08 00:00:00.0"</f>
        <v>2015-12-08 00:00:00.0</v>
      </c>
      <c r="V1569" t="s">
        <v>837</v>
      </c>
      <c r="W1569" t="str">
        <f t="shared" si="443"/>
        <v>048314-038430-**-**</v>
      </c>
      <c r="X1569" t="s">
        <v>838</v>
      </c>
      <c r="Y1569">
        <v>431.25</v>
      </c>
      <c r="Z1569">
        <v>1206.25</v>
      </c>
      <c r="AA1569" t="str">
        <f t="shared" si="438"/>
        <v>06/08/2016</v>
      </c>
    </row>
    <row r="1570" spans="1:27" x14ac:dyDescent="0.3">
      <c r="A1570" t="str">
        <f t="shared" si="435"/>
        <v>048314</v>
      </c>
      <c r="B1570" t="str">
        <f t="shared" si="428"/>
        <v>038430</v>
      </c>
      <c r="C1570" t="s">
        <v>3738</v>
      </c>
      <c r="D1570" t="s">
        <v>3839</v>
      </c>
      <c r="E1570" t="s">
        <v>3840</v>
      </c>
      <c r="F1570" t="s">
        <v>3841</v>
      </c>
      <c r="G1570" t="s">
        <v>3842</v>
      </c>
      <c r="H1570" t="str">
        <f t="shared" si="437"/>
        <v>048314</v>
      </c>
      <c r="I1570" t="s">
        <v>833</v>
      </c>
      <c r="J1570" t="str">
        <f>"2015-07-01 00:00:00.0"</f>
        <v>2015-07-01 00:00:00.0</v>
      </c>
      <c r="K1570" t="s">
        <v>834</v>
      </c>
      <c r="L1570" t="s">
        <v>0</v>
      </c>
      <c r="M1570" t="str">
        <f t="shared" si="442"/>
        <v>048314</v>
      </c>
      <c r="N1570">
        <v>1</v>
      </c>
      <c r="O1570">
        <v>1</v>
      </c>
      <c r="P1570" t="str">
        <f>"01"</f>
        <v>01</v>
      </c>
      <c r="Q1570" t="s">
        <v>835</v>
      </c>
      <c r="S1570" t="s">
        <v>836</v>
      </c>
      <c r="T1570" t="s">
        <v>836</v>
      </c>
      <c r="U1570" t="str">
        <f t="shared" ref="U1570:U1576" si="444">"2500-12-31 00:00:00.0"</f>
        <v>2500-12-31 00:00:00.0</v>
      </c>
      <c r="V1570" t="s">
        <v>837</v>
      </c>
      <c r="W1570" t="str">
        <f t="shared" si="443"/>
        <v>048314-038430-**-**</v>
      </c>
      <c r="X1570" t="s">
        <v>838</v>
      </c>
      <c r="Y1570">
        <v>1206.25</v>
      </c>
      <c r="Z1570">
        <v>1206.25</v>
      </c>
      <c r="AA1570" t="str">
        <f t="shared" si="438"/>
        <v>06/08/2016</v>
      </c>
    </row>
    <row r="1571" spans="1:27" x14ac:dyDescent="0.3">
      <c r="A1571" t="str">
        <f t="shared" si="435"/>
        <v>048314</v>
      </c>
      <c r="B1571" t="str">
        <f t="shared" si="428"/>
        <v>038430</v>
      </c>
      <c r="C1571" t="s">
        <v>3358</v>
      </c>
      <c r="D1571" t="s">
        <v>3839</v>
      </c>
      <c r="E1571" t="s">
        <v>3840</v>
      </c>
      <c r="F1571" t="s">
        <v>3841</v>
      </c>
      <c r="G1571" t="s">
        <v>3842</v>
      </c>
      <c r="H1571" t="str">
        <f t="shared" si="437"/>
        <v>048314</v>
      </c>
      <c r="I1571" t="s">
        <v>833</v>
      </c>
      <c r="J1571" t="str">
        <f>"2015-07-01 00:00:00.0"</f>
        <v>2015-07-01 00:00:00.0</v>
      </c>
      <c r="K1571" t="s">
        <v>834</v>
      </c>
      <c r="L1571" t="s">
        <v>0</v>
      </c>
      <c r="M1571" t="str">
        <f t="shared" si="442"/>
        <v>048314</v>
      </c>
      <c r="N1571">
        <v>1</v>
      </c>
      <c r="O1571">
        <v>1</v>
      </c>
      <c r="P1571" t="str">
        <f>"04"</f>
        <v>04</v>
      </c>
      <c r="Q1571" t="s">
        <v>835</v>
      </c>
      <c r="S1571" t="s">
        <v>836</v>
      </c>
      <c r="T1571" t="s">
        <v>836</v>
      </c>
      <c r="U1571" t="str">
        <f t="shared" si="444"/>
        <v>2500-12-31 00:00:00.0</v>
      </c>
      <c r="V1571" t="s">
        <v>837</v>
      </c>
      <c r="W1571" t="str">
        <f t="shared" si="443"/>
        <v>048314-038430-**-**</v>
      </c>
      <c r="X1571" t="s">
        <v>838</v>
      </c>
      <c r="Y1571">
        <v>1206.25</v>
      </c>
      <c r="Z1571">
        <v>1206.25</v>
      </c>
      <c r="AA1571" t="str">
        <f t="shared" si="438"/>
        <v>06/08/2016</v>
      </c>
    </row>
    <row r="1572" spans="1:27" x14ac:dyDescent="0.3">
      <c r="A1572" t="str">
        <f t="shared" si="435"/>
        <v>048314</v>
      </c>
      <c r="B1572" t="str">
        <f t="shared" ref="B1572:B1635" si="445">"038430"</f>
        <v>038430</v>
      </c>
      <c r="C1572" t="s">
        <v>2839</v>
      </c>
      <c r="D1572" t="s">
        <v>3839</v>
      </c>
      <c r="E1572" t="s">
        <v>3840</v>
      </c>
      <c r="F1572" t="s">
        <v>3841</v>
      </c>
      <c r="G1572" t="s">
        <v>3842</v>
      </c>
      <c r="H1572" t="str">
        <f t="shared" si="437"/>
        <v>048314</v>
      </c>
      <c r="I1572" t="s">
        <v>833</v>
      </c>
      <c r="J1572" t="str">
        <f>"2015-07-01 00:00:00.0"</f>
        <v>2015-07-01 00:00:00.0</v>
      </c>
      <c r="K1572" t="s">
        <v>834</v>
      </c>
      <c r="L1572" t="s">
        <v>0</v>
      </c>
      <c r="M1572" t="str">
        <f t="shared" si="442"/>
        <v>048314</v>
      </c>
      <c r="N1572">
        <v>1</v>
      </c>
      <c r="O1572">
        <v>1</v>
      </c>
      <c r="P1572" t="str">
        <f>"05"</f>
        <v>05</v>
      </c>
      <c r="Q1572" t="s">
        <v>835</v>
      </c>
      <c r="S1572" t="s">
        <v>836</v>
      </c>
      <c r="T1572" t="s">
        <v>836</v>
      </c>
      <c r="U1572" t="str">
        <f t="shared" si="444"/>
        <v>2500-12-31 00:00:00.0</v>
      </c>
      <c r="V1572" t="s">
        <v>837</v>
      </c>
      <c r="W1572" t="str">
        <f>"048314-070417-**-**"</f>
        <v>048314-070417-**-**</v>
      </c>
      <c r="X1572" t="s">
        <v>838</v>
      </c>
      <c r="Y1572">
        <v>1125</v>
      </c>
      <c r="Z1572">
        <v>1125</v>
      </c>
      <c r="AA1572" t="str">
        <f t="shared" si="438"/>
        <v>06/08/2016</v>
      </c>
    </row>
    <row r="1573" spans="1:27" x14ac:dyDescent="0.3">
      <c r="A1573" t="str">
        <f t="shared" si="435"/>
        <v>048314</v>
      </c>
      <c r="B1573" t="str">
        <f t="shared" si="445"/>
        <v>038430</v>
      </c>
      <c r="C1573" t="s">
        <v>3260</v>
      </c>
      <c r="D1573" t="s">
        <v>3839</v>
      </c>
      <c r="E1573" t="s">
        <v>3840</v>
      </c>
      <c r="F1573" t="s">
        <v>3841</v>
      </c>
      <c r="G1573" t="s">
        <v>3842</v>
      </c>
      <c r="H1573" t="str">
        <f t="shared" si="437"/>
        <v>048314</v>
      </c>
      <c r="I1573" t="s">
        <v>833</v>
      </c>
      <c r="J1573" t="str">
        <f>"2015-07-01 00:00:00.0"</f>
        <v>2015-07-01 00:00:00.0</v>
      </c>
      <c r="K1573" t="s">
        <v>834</v>
      </c>
      <c r="L1573" t="s">
        <v>0</v>
      </c>
      <c r="M1573" t="str">
        <f t="shared" si="442"/>
        <v>048314</v>
      </c>
      <c r="N1573">
        <v>1</v>
      </c>
      <c r="O1573">
        <v>1</v>
      </c>
      <c r="P1573" t="str">
        <f>"01"</f>
        <v>01</v>
      </c>
      <c r="Q1573" t="s">
        <v>835</v>
      </c>
      <c r="S1573" t="s">
        <v>836</v>
      </c>
      <c r="T1573" t="s">
        <v>836</v>
      </c>
      <c r="U1573" t="str">
        <f t="shared" si="444"/>
        <v>2500-12-31 00:00:00.0</v>
      </c>
      <c r="V1573" t="s">
        <v>837</v>
      </c>
      <c r="W1573" t="str">
        <f>"048314-038430-**-**"</f>
        <v>048314-038430-**-**</v>
      </c>
      <c r="X1573" t="s">
        <v>838</v>
      </c>
      <c r="Y1573">
        <v>1206.25</v>
      </c>
      <c r="Z1573">
        <v>1206.25</v>
      </c>
      <c r="AA1573" t="str">
        <f t="shared" si="438"/>
        <v>06/08/2016</v>
      </c>
    </row>
    <row r="1574" spans="1:27" x14ac:dyDescent="0.3">
      <c r="A1574" t="str">
        <f t="shared" si="435"/>
        <v>048314</v>
      </c>
      <c r="B1574" t="str">
        <f t="shared" si="445"/>
        <v>038430</v>
      </c>
      <c r="C1574" t="s">
        <v>3739</v>
      </c>
      <c r="D1574" t="s">
        <v>3839</v>
      </c>
      <c r="E1574" t="s">
        <v>3840</v>
      </c>
      <c r="F1574" t="s">
        <v>3841</v>
      </c>
      <c r="G1574" t="s">
        <v>3842</v>
      </c>
      <c r="H1574" t="str">
        <f t="shared" si="437"/>
        <v>048314</v>
      </c>
      <c r="I1574" t="s">
        <v>833</v>
      </c>
      <c r="J1574" t="str">
        <f>"2015-08-01 00:00:00.0"</f>
        <v>2015-08-01 00:00:00.0</v>
      </c>
      <c r="K1574" t="s">
        <v>834</v>
      </c>
      <c r="L1574" t="s">
        <v>0</v>
      </c>
      <c r="M1574" t="str">
        <f t="shared" si="442"/>
        <v>048314</v>
      </c>
      <c r="N1574">
        <v>1</v>
      </c>
      <c r="O1574">
        <v>1</v>
      </c>
      <c r="P1574" t="s">
        <v>764</v>
      </c>
      <c r="Q1574" t="s">
        <v>835</v>
      </c>
      <c r="S1574" t="s">
        <v>836</v>
      </c>
      <c r="T1574" t="s">
        <v>836</v>
      </c>
      <c r="U1574" t="str">
        <f t="shared" si="444"/>
        <v>2500-12-31 00:00:00.0</v>
      </c>
      <c r="V1574" t="s">
        <v>837</v>
      </c>
      <c r="W1574" t="str">
        <f>"048314-004697-**-**"</f>
        <v>048314-004697-**-**</v>
      </c>
      <c r="X1574" t="s">
        <v>838</v>
      </c>
      <c r="Y1574">
        <v>1206.25</v>
      </c>
      <c r="Z1574">
        <v>1206.25</v>
      </c>
      <c r="AA1574" t="str">
        <f t="shared" si="438"/>
        <v>06/08/2016</v>
      </c>
    </row>
    <row r="1575" spans="1:27" x14ac:dyDescent="0.3">
      <c r="A1575" t="str">
        <f t="shared" si="435"/>
        <v>048314</v>
      </c>
      <c r="B1575" t="str">
        <f t="shared" si="445"/>
        <v>038430</v>
      </c>
      <c r="C1575" t="s">
        <v>3719</v>
      </c>
      <c r="D1575" t="s">
        <v>3839</v>
      </c>
      <c r="E1575" t="s">
        <v>3840</v>
      </c>
      <c r="F1575" t="s">
        <v>3841</v>
      </c>
      <c r="G1575" t="s">
        <v>3842</v>
      </c>
      <c r="H1575" t="str">
        <f t="shared" si="437"/>
        <v>048314</v>
      </c>
      <c r="I1575" t="s">
        <v>833</v>
      </c>
      <c r="J1575" t="str">
        <f>"2015-07-01 00:00:00.0"</f>
        <v>2015-07-01 00:00:00.0</v>
      </c>
      <c r="K1575" t="s">
        <v>834</v>
      </c>
      <c r="L1575" t="s">
        <v>0</v>
      </c>
      <c r="M1575" t="str">
        <f t="shared" si="442"/>
        <v>048314</v>
      </c>
      <c r="N1575">
        <v>1</v>
      </c>
      <c r="O1575">
        <v>1</v>
      </c>
      <c r="P1575" t="str">
        <f>"02"</f>
        <v>02</v>
      </c>
      <c r="Q1575" t="s">
        <v>835</v>
      </c>
      <c r="S1575" t="s">
        <v>836</v>
      </c>
      <c r="T1575" t="s">
        <v>836</v>
      </c>
      <c r="U1575" t="str">
        <f t="shared" si="444"/>
        <v>2500-12-31 00:00:00.0</v>
      </c>
      <c r="V1575" t="s">
        <v>837</v>
      </c>
      <c r="W1575" t="str">
        <f>"048314-038430-**-**"</f>
        <v>048314-038430-**-**</v>
      </c>
      <c r="X1575" t="s">
        <v>838</v>
      </c>
      <c r="Y1575">
        <v>1206.25</v>
      </c>
      <c r="Z1575">
        <v>1206.25</v>
      </c>
      <c r="AA1575" t="str">
        <f t="shared" si="438"/>
        <v>06/08/2016</v>
      </c>
    </row>
    <row r="1576" spans="1:27" x14ac:dyDescent="0.3">
      <c r="A1576" t="str">
        <f t="shared" si="435"/>
        <v>048314</v>
      </c>
      <c r="B1576" t="str">
        <f t="shared" si="445"/>
        <v>038430</v>
      </c>
      <c r="C1576" t="s">
        <v>940</v>
      </c>
      <c r="D1576" t="s">
        <v>3839</v>
      </c>
      <c r="E1576" t="s">
        <v>3840</v>
      </c>
      <c r="F1576" t="s">
        <v>3841</v>
      </c>
      <c r="G1576" t="s">
        <v>3842</v>
      </c>
      <c r="H1576" t="str">
        <f t="shared" si="437"/>
        <v>048314</v>
      </c>
      <c r="I1576" t="s">
        <v>833</v>
      </c>
      <c r="J1576" t="str">
        <f>"2015-07-01 00:00:00.0"</f>
        <v>2015-07-01 00:00:00.0</v>
      </c>
      <c r="K1576" t="s">
        <v>834</v>
      </c>
      <c r="L1576" t="s">
        <v>0</v>
      </c>
      <c r="M1576" t="str">
        <f t="shared" si="442"/>
        <v>048314</v>
      </c>
      <c r="N1576">
        <v>1</v>
      </c>
      <c r="O1576">
        <v>1</v>
      </c>
      <c r="P1576" t="str">
        <f>"03"</f>
        <v>03</v>
      </c>
      <c r="Q1576" t="s">
        <v>835</v>
      </c>
      <c r="S1576" t="s">
        <v>836</v>
      </c>
      <c r="T1576" t="s">
        <v>836</v>
      </c>
      <c r="U1576" t="str">
        <f t="shared" si="444"/>
        <v>2500-12-31 00:00:00.0</v>
      </c>
      <c r="V1576" t="s">
        <v>837</v>
      </c>
      <c r="W1576" t="str">
        <f>"048314-038430-**-**"</f>
        <v>048314-038430-**-**</v>
      </c>
      <c r="X1576" t="s">
        <v>838</v>
      </c>
      <c r="Y1576">
        <v>1206.25</v>
      </c>
      <c r="Z1576">
        <v>1206.25</v>
      </c>
      <c r="AA1576" t="str">
        <f t="shared" si="438"/>
        <v>06/08/2016</v>
      </c>
    </row>
    <row r="1577" spans="1:27" x14ac:dyDescent="0.3">
      <c r="A1577" t="str">
        <f t="shared" si="435"/>
        <v>048314</v>
      </c>
      <c r="B1577" t="str">
        <f t="shared" si="445"/>
        <v>038430</v>
      </c>
      <c r="C1577" t="s">
        <v>2773</v>
      </c>
      <c r="D1577" t="s">
        <v>3839</v>
      </c>
      <c r="E1577" t="s">
        <v>3840</v>
      </c>
      <c r="F1577" t="s">
        <v>3841</v>
      </c>
      <c r="G1577" t="s">
        <v>3842</v>
      </c>
      <c r="H1577" t="str">
        <f t="shared" si="437"/>
        <v>048314</v>
      </c>
      <c r="I1577" t="s">
        <v>833</v>
      </c>
      <c r="J1577" t="str">
        <f>"2015-07-01 00:00:00.0"</f>
        <v>2015-07-01 00:00:00.0</v>
      </c>
      <c r="K1577" t="s">
        <v>834</v>
      </c>
      <c r="L1577" t="s">
        <v>0</v>
      </c>
      <c r="M1577" t="str">
        <f t="shared" si="442"/>
        <v>048314</v>
      </c>
      <c r="N1577">
        <v>0.544041</v>
      </c>
      <c r="O1577">
        <v>0.544041</v>
      </c>
      <c r="P1577" t="str">
        <f>"01"</f>
        <v>01</v>
      </c>
      <c r="Q1577" t="s">
        <v>835</v>
      </c>
      <c r="S1577" t="s">
        <v>860</v>
      </c>
      <c r="T1577" t="s">
        <v>836</v>
      </c>
      <c r="U1577" t="str">
        <f>"2016-02-01 00:00:00.0"</f>
        <v>2016-02-01 00:00:00.0</v>
      </c>
      <c r="V1577" t="s">
        <v>837</v>
      </c>
      <c r="W1577" t="str">
        <f>"048314-038430-**-**"</f>
        <v>048314-038430-**-**</v>
      </c>
      <c r="X1577" t="s">
        <v>838</v>
      </c>
      <c r="Y1577">
        <v>656.25</v>
      </c>
      <c r="Z1577">
        <v>1206.25</v>
      </c>
      <c r="AA1577" t="str">
        <f t="shared" si="438"/>
        <v>06/08/2016</v>
      </c>
    </row>
    <row r="1578" spans="1:27" x14ac:dyDescent="0.3">
      <c r="A1578" t="str">
        <f t="shared" si="435"/>
        <v>048314</v>
      </c>
      <c r="B1578" t="str">
        <f t="shared" si="445"/>
        <v>038430</v>
      </c>
      <c r="C1578" t="s">
        <v>2773</v>
      </c>
      <c r="D1578" t="s">
        <v>3839</v>
      </c>
      <c r="E1578" t="s">
        <v>3840</v>
      </c>
      <c r="F1578" t="s">
        <v>3841</v>
      </c>
      <c r="G1578" t="s">
        <v>3842</v>
      </c>
      <c r="H1578" t="str">
        <f t="shared" si="437"/>
        <v>048314</v>
      </c>
      <c r="I1578" t="s">
        <v>833</v>
      </c>
      <c r="J1578" t="str">
        <f>"2016-02-02 00:00:00.0"</f>
        <v>2016-02-02 00:00:00.0</v>
      </c>
      <c r="K1578" t="s">
        <v>834</v>
      </c>
      <c r="L1578" t="s">
        <v>0</v>
      </c>
      <c r="M1578" t="str">
        <f t="shared" si="442"/>
        <v>048314</v>
      </c>
      <c r="N1578">
        <v>0.455959</v>
      </c>
      <c r="O1578">
        <v>0.455959</v>
      </c>
      <c r="P1578" t="str">
        <f>"01"</f>
        <v>01</v>
      </c>
      <c r="Q1578" t="str">
        <f>"08"</f>
        <v>08</v>
      </c>
      <c r="R1578" t="str">
        <f>"3"</f>
        <v>3</v>
      </c>
      <c r="S1578" t="s">
        <v>860</v>
      </c>
      <c r="T1578" t="s">
        <v>836</v>
      </c>
      <c r="U1578" t="str">
        <f t="shared" ref="U1578:U1603" si="446">"2500-12-31 00:00:00.0"</f>
        <v>2500-12-31 00:00:00.0</v>
      </c>
      <c r="V1578" t="s">
        <v>837</v>
      </c>
      <c r="W1578" t="str">
        <f>"048314-038430-**-**"</f>
        <v>048314-038430-**-**</v>
      </c>
      <c r="X1578" t="s">
        <v>838</v>
      </c>
      <c r="Y1578">
        <v>550</v>
      </c>
      <c r="Z1578">
        <v>1206.25</v>
      </c>
      <c r="AA1578" t="str">
        <f t="shared" si="438"/>
        <v>06/08/2016</v>
      </c>
    </row>
    <row r="1579" spans="1:27" x14ac:dyDescent="0.3">
      <c r="A1579" t="str">
        <f t="shared" si="435"/>
        <v>048314</v>
      </c>
      <c r="B1579" t="str">
        <f t="shared" si="445"/>
        <v>038430</v>
      </c>
      <c r="C1579" t="s">
        <v>2961</v>
      </c>
      <c r="D1579" t="s">
        <v>3839</v>
      </c>
      <c r="E1579" t="s">
        <v>3840</v>
      </c>
      <c r="F1579" t="s">
        <v>3841</v>
      </c>
      <c r="G1579" t="s">
        <v>3842</v>
      </c>
      <c r="H1579" t="str">
        <f t="shared" si="437"/>
        <v>048314</v>
      </c>
      <c r="I1579" t="s">
        <v>833</v>
      </c>
      <c r="J1579" t="str">
        <f>"2015-07-01 00:00:00.0"</f>
        <v>2015-07-01 00:00:00.0</v>
      </c>
      <c r="K1579" t="s">
        <v>834</v>
      </c>
      <c r="L1579" t="s">
        <v>0</v>
      </c>
      <c r="M1579" t="str">
        <f t="shared" si="442"/>
        <v>048314</v>
      </c>
      <c r="N1579">
        <v>1</v>
      </c>
      <c r="O1579">
        <v>1</v>
      </c>
      <c r="P1579" t="str">
        <f>"02"</f>
        <v>02</v>
      </c>
      <c r="Q1579" t="s">
        <v>835</v>
      </c>
      <c r="S1579" t="s">
        <v>836</v>
      </c>
      <c r="T1579" t="s">
        <v>836</v>
      </c>
      <c r="U1579" t="str">
        <f t="shared" si="446"/>
        <v>2500-12-31 00:00:00.0</v>
      </c>
      <c r="V1579" t="s">
        <v>837</v>
      </c>
      <c r="W1579" t="str">
        <f>"048314-038430-**-**"</f>
        <v>048314-038430-**-**</v>
      </c>
      <c r="X1579" t="s">
        <v>838</v>
      </c>
      <c r="Y1579">
        <v>1206.25</v>
      </c>
      <c r="Z1579">
        <v>1206.25</v>
      </c>
      <c r="AA1579" t="str">
        <f t="shared" si="438"/>
        <v>06/08/2016</v>
      </c>
    </row>
    <row r="1580" spans="1:27" x14ac:dyDescent="0.3">
      <c r="A1580" t="str">
        <f t="shared" si="435"/>
        <v>048314</v>
      </c>
      <c r="B1580" t="str">
        <f t="shared" si="445"/>
        <v>038430</v>
      </c>
      <c r="C1580" t="s">
        <v>2781</v>
      </c>
      <c r="D1580" t="s">
        <v>3839</v>
      </c>
      <c r="E1580" t="s">
        <v>3840</v>
      </c>
      <c r="F1580" t="s">
        <v>3841</v>
      </c>
      <c r="G1580" t="s">
        <v>3842</v>
      </c>
      <c r="H1580" t="str">
        <f>"066118"</f>
        <v>066118</v>
      </c>
      <c r="I1580" t="s">
        <v>833</v>
      </c>
      <c r="J1580" t="str">
        <f>"2015-08-25 00:00:00.0"</f>
        <v>2015-08-25 00:00:00.0</v>
      </c>
      <c r="K1580" t="s">
        <v>834</v>
      </c>
      <c r="L1580" t="s">
        <v>1283</v>
      </c>
      <c r="M1580" t="str">
        <f t="shared" si="442"/>
        <v>048314</v>
      </c>
      <c r="N1580">
        <v>1</v>
      </c>
      <c r="O1580">
        <v>1</v>
      </c>
      <c r="P1580" t="str">
        <f>"03"</f>
        <v>03</v>
      </c>
      <c r="Q1580" t="str">
        <f>"01"</f>
        <v>01</v>
      </c>
      <c r="R1580" t="str">
        <f>"5"</f>
        <v>5</v>
      </c>
      <c r="S1580" t="s">
        <v>836</v>
      </c>
      <c r="T1580" t="s">
        <v>836</v>
      </c>
      <c r="U1580" t="str">
        <f t="shared" si="446"/>
        <v>2500-12-31 00:00:00.0</v>
      </c>
      <c r="V1580" t="s">
        <v>1284</v>
      </c>
      <c r="W1580" t="str">
        <f>"066118-066118-**-**"</f>
        <v>066118-066118-**-**</v>
      </c>
      <c r="X1580" t="s">
        <v>1285</v>
      </c>
      <c r="Y1580">
        <v>182</v>
      </c>
      <c r="Z1580">
        <v>182</v>
      </c>
      <c r="AA1580" t="str">
        <f>"06/11/2016"</f>
        <v>06/11/2016</v>
      </c>
    </row>
    <row r="1581" spans="1:27" x14ac:dyDescent="0.3">
      <c r="A1581" t="str">
        <f t="shared" si="435"/>
        <v>048314</v>
      </c>
      <c r="B1581" t="str">
        <f t="shared" si="445"/>
        <v>038430</v>
      </c>
      <c r="C1581" t="s">
        <v>3124</v>
      </c>
      <c r="D1581" t="s">
        <v>3839</v>
      </c>
      <c r="E1581" t="s">
        <v>3840</v>
      </c>
      <c r="F1581" t="s">
        <v>3841</v>
      </c>
      <c r="G1581" t="s">
        <v>3842</v>
      </c>
      <c r="H1581" t="str">
        <f t="shared" ref="H1581:H1586" si="447">"048314"</f>
        <v>048314</v>
      </c>
      <c r="I1581" t="s">
        <v>833</v>
      </c>
      <c r="J1581" t="str">
        <f t="shared" ref="J1581:J1593" si="448">"2015-07-01 00:00:00.0"</f>
        <v>2015-07-01 00:00:00.0</v>
      </c>
      <c r="K1581" t="s">
        <v>834</v>
      </c>
      <c r="L1581" t="s">
        <v>0</v>
      </c>
      <c r="M1581" t="str">
        <f t="shared" si="442"/>
        <v>048314</v>
      </c>
      <c r="N1581">
        <v>1</v>
      </c>
      <c r="O1581">
        <v>1</v>
      </c>
      <c r="P1581" t="str">
        <f>"02"</f>
        <v>02</v>
      </c>
      <c r="Q1581" t="s">
        <v>835</v>
      </c>
      <c r="S1581" t="s">
        <v>836</v>
      </c>
      <c r="T1581" t="s">
        <v>836</v>
      </c>
      <c r="U1581" t="str">
        <f t="shared" si="446"/>
        <v>2500-12-31 00:00:00.0</v>
      </c>
      <c r="V1581" t="s">
        <v>837</v>
      </c>
      <c r="W1581" t="str">
        <f>"048314-038430-**-**"</f>
        <v>048314-038430-**-**</v>
      </c>
      <c r="X1581" t="s">
        <v>838</v>
      </c>
      <c r="Y1581">
        <v>1206.25</v>
      </c>
      <c r="Z1581">
        <v>1206.25</v>
      </c>
      <c r="AA1581" t="str">
        <f t="shared" ref="AA1581:AA1586" si="449">"06/08/2016"</f>
        <v>06/08/2016</v>
      </c>
    </row>
    <row r="1582" spans="1:27" x14ac:dyDescent="0.3">
      <c r="A1582" t="str">
        <f t="shared" si="435"/>
        <v>048314</v>
      </c>
      <c r="B1582" t="str">
        <f t="shared" si="445"/>
        <v>038430</v>
      </c>
      <c r="C1582" t="s">
        <v>3458</v>
      </c>
      <c r="D1582" t="s">
        <v>3839</v>
      </c>
      <c r="E1582" t="s">
        <v>3840</v>
      </c>
      <c r="F1582" t="s">
        <v>3841</v>
      </c>
      <c r="G1582" t="s">
        <v>3842</v>
      </c>
      <c r="H1582" t="str">
        <f t="shared" si="447"/>
        <v>048314</v>
      </c>
      <c r="I1582" t="s">
        <v>833</v>
      </c>
      <c r="J1582" t="str">
        <f t="shared" si="448"/>
        <v>2015-07-01 00:00:00.0</v>
      </c>
      <c r="K1582" t="s">
        <v>834</v>
      </c>
      <c r="L1582" t="s">
        <v>0</v>
      </c>
      <c r="M1582" t="str">
        <f t="shared" si="442"/>
        <v>048314</v>
      </c>
      <c r="N1582">
        <v>1</v>
      </c>
      <c r="O1582">
        <v>1</v>
      </c>
      <c r="P1582" t="str">
        <f>"05"</f>
        <v>05</v>
      </c>
      <c r="Q1582" t="s">
        <v>835</v>
      </c>
      <c r="S1582" t="s">
        <v>836</v>
      </c>
      <c r="T1582" t="s">
        <v>836</v>
      </c>
      <c r="U1582" t="str">
        <f t="shared" si="446"/>
        <v>2500-12-31 00:00:00.0</v>
      </c>
      <c r="V1582" t="s">
        <v>837</v>
      </c>
      <c r="W1582" t="str">
        <f>"048314-070417-**-**"</f>
        <v>048314-070417-**-**</v>
      </c>
      <c r="X1582" t="s">
        <v>838</v>
      </c>
      <c r="Y1582">
        <v>1125</v>
      </c>
      <c r="Z1582">
        <v>1125</v>
      </c>
      <c r="AA1582" t="str">
        <f t="shared" si="449"/>
        <v>06/08/2016</v>
      </c>
    </row>
    <row r="1583" spans="1:27" x14ac:dyDescent="0.3">
      <c r="A1583" t="str">
        <f t="shared" si="435"/>
        <v>048314</v>
      </c>
      <c r="B1583" t="str">
        <f t="shared" si="445"/>
        <v>038430</v>
      </c>
      <c r="C1583" t="s">
        <v>3036</v>
      </c>
      <c r="D1583" t="s">
        <v>3839</v>
      </c>
      <c r="E1583" t="s">
        <v>3840</v>
      </c>
      <c r="F1583" t="s">
        <v>3841</v>
      </c>
      <c r="G1583" t="s">
        <v>3842</v>
      </c>
      <c r="H1583" t="str">
        <f t="shared" si="447"/>
        <v>048314</v>
      </c>
      <c r="I1583" t="s">
        <v>833</v>
      </c>
      <c r="J1583" t="str">
        <f t="shared" si="448"/>
        <v>2015-07-01 00:00:00.0</v>
      </c>
      <c r="K1583" t="s">
        <v>834</v>
      </c>
      <c r="L1583" t="s">
        <v>0</v>
      </c>
      <c r="M1583" t="str">
        <f t="shared" si="442"/>
        <v>048314</v>
      </c>
      <c r="N1583">
        <v>1</v>
      </c>
      <c r="O1583">
        <v>1</v>
      </c>
      <c r="P1583" t="str">
        <f>"01"</f>
        <v>01</v>
      </c>
      <c r="Q1583" t="s">
        <v>835</v>
      </c>
      <c r="S1583" t="s">
        <v>836</v>
      </c>
      <c r="T1583" t="s">
        <v>836</v>
      </c>
      <c r="U1583" t="str">
        <f t="shared" si="446"/>
        <v>2500-12-31 00:00:00.0</v>
      </c>
      <c r="V1583" t="s">
        <v>837</v>
      </c>
      <c r="W1583" t="str">
        <f>"048314-038430-**-**"</f>
        <v>048314-038430-**-**</v>
      </c>
      <c r="X1583" t="s">
        <v>838</v>
      </c>
      <c r="Y1583">
        <v>1206.25</v>
      </c>
      <c r="Z1583">
        <v>1206.25</v>
      </c>
      <c r="AA1583" t="str">
        <f t="shared" si="449"/>
        <v>06/08/2016</v>
      </c>
    </row>
    <row r="1584" spans="1:27" x14ac:dyDescent="0.3">
      <c r="A1584" t="str">
        <f t="shared" si="435"/>
        <v>048314</v>
      </c>
      <c r="B1584" t="str">
        <f t="shared" si="445"/>
        <v>038430</v>
      </c>
      <c r="C1584" t="s">
        <v>1695</v>
      </c>
      <c r="D1584" t="s">
        <v>3839</v>
      </c>
      <c r="E1584" t="s">
        <v>3840</v>
      </c>
      <c r="F1584" t="s">
        <v>3841</v>
      </c>
      <c r="G1584" t="s">
        <v>3842</v>
      </c>
      <c r="H1584" t="str">
        <f t="shared" si="447"/>
        <v>048314</v>
      </c>
      <c r="I1584" t="s">
        <v>833</v>
      </c>
      <c r="J1584" t="str">
        <f t="shared" si="448"/>
        <v>2015-07-01 00:00:00.0</v>
      </c>
      <c r="K1584" t="s">
        <v>834</v>
      </c>
      <c r="L1584" t="s">
        <v>0</v>
      </c>
      <c r="M1584" t="str">
        <f t="shared" si="442"/>
        <v>048314</v>
      </c>
      <c r="N1584">
        <v>1</v>
      </c>
      <c r="O1584">
        <v>1</v>
      </c>
      <c r="P1584" t="str">
        <f>"02"</f>
        <v>02</v>
      </c>
      <c r="Q1584" t="s">
        <v>835</v>
      </c>
      <c r="S1584" t="s">
        <v>836</v>
      </c>
      <c r="T1584" t="s">
        <v>836</v>
      </c>
      <c r="U1584" t="str">
        <f t="shared" si="446"/>
        <v>2500-12-31 00:00:00.0</v>
      </c>
      <c r="V1584" t="s">
        <v>837</v>
      </c>
      <c r="W1584" t="str">
        <f>"048314-038430-**-**"</f>
        <v>048314-038430-**-**</v>
      </c>
      <c r="X1584" t="s">
        <v>838</v>
      </c>
      <c r="Y1584">
        <v>1206.25</v>
      </c>
      <c r="Z1584">
        <v>1206.25</v>
      </c>
      <c r="AA1584" t="str">
        <f t="shared" si="449"/>
        <v>06/08/2016</v>
      </c>
    </row>
    <row r="1585" spans="1:27" x14ac:dyDescent="0.3">
      <c r="A1585" t="str">
        <f t="shared" si="435"/>
        <v>048314</v>
      </c>
      <c r="B1585" t="str">
        <f t="shared" si="445"/>
        <v>038430</v>
      </c>
      <c r="C1585" t="s">
        <v>3092</v>
      </c>
      <c r="D1585" t="s">
        <v>3839</v>
      </c>
      <c r="E1585" t="s">
        <v>3840</v>
      </c>
      <c r="F1585" t="s">
        <v>3841</v>
      </c>
      <c r="G1585" t="s">
        <v>3842</v>
      </c>
      <c r="H1585" t="str">
        <f t="shared" si="447"/>
        <v>048314</v>
      </c>
      <c r="I1585" t="s">
        <v>833</v>
      </c>
      <c r="J1585" t="str">
        <f t="shared" si="448"/>
        <v>2015-07-01 00:00:00.0</v>
      </c>
      <c r="K1585" t="s">
        <v>834</v>
      </c>
      <c r="L1585" t="s">
        <v>0</v>
      </c>
      <c r="M1585" t="str">
        <f t="shared" si="442"/>
        <v>048314</v>
      </c>
      <c r="N1585">
        <v>1</v>
      </c>
      <c r="O1585">
        <v>1</v>
      </c>
      <c r="P1585" t="str">
        <f>"05"</f>
        <v>05</v>
      </c>
      <c r="Q1585" t="s">
        <v>835</v>
      </c>
      <c r="S1585" t="s">
        <v>860</v>
      </c>
      <c r="T1585" t="s">
        <v>836</v>
      </c>
      <c r="U1585" t="str">
        <f t="shared" si="446"/>
        <v>2500-12-31 00:00:00.0</v>
      </c>
      <c r="V1585" t="s">
        <v>837</v>
      </c>
      <c r="W1585" t="str">
        <f>"048314-070417-**-**"</f>
        <v>048314-070417-**-**</v>
      </c>
      <c r="X1585" t="s">
        <v>838</v>
      </c>
      <c r="Y1585">
        <v>1125</v>
      </c>
      <c r="Z1585">
        <v>1125</v>
      </c>
      <c r="AA1585" t="str">
        <f t="shared" si="449"/>
        <v>06/08/2016</v>
      </c>
    </row>
    <row r="1586" spans="1:27" x14ac:dyDescent="0.3">
      <c r="A1586" t="str">
        <f t="shared" si="435"/>
        <v>048314</v>
      </c>
      <c r="B1586" t="str">
        <f t="shared" si="445"/>
        <v>038430</v>
      </c>
      <c r="C1586" t="s">
        <v>1096</v>
      </c>
      <c r="D1586" t="s">
        <v>3839</v>
      </c>
      <c r="E1586" t="s">
        <v>3840</v>
      </c>
      <c r="F1586" t="s">
        <v>3841</v>
      </c>
      <c r="G1586" t="s">
        <v>3842</v>
      </c>
      <c r="H1586" t="str">
        <f t="shared" si="447"/>
        <v>048314</v>
      </c>
      <c r="I1586" t="s">
        <v>833</v>
      </c>
      <c r="J1586" t="str">
        <f t="shared" si="448"/>
        <v>2015-07-01 00:00:00.0</v>
      </c>
      <c r="K1586" t="s">
        <v>834</v>
      </c>
      <c r="L1586" t="s">
        <v>0</v>
      </c>
      <c r="M1586" t="str">
        <f t="shared" si="442"/>
        <v>048314</v>
      </c>
      <c r="N1586">
        <v>1</v>
      </c>
      <c r="O1586">
        <v>1</v>
      </c>
      <c r="P1586" t="str">
        <f>"03"</f>
        <v>03</v>
      </c>
      <c r="Q1586" t="s">
        <v>835</v>
      </c>
      <c r="S1586" t="s">
        <v>836</v>
      </c>
      <c r="T1586" t="s">
        <v>836</v>
      </c>
      <c r="U1586" t="str">
        <f t="shared" si="446"/>
        <v>2500-12-31 00:00:00.0</v>
      </c>
      <c r="V1586" t="s">
        <v>837</v>
      </c>
      <c r="W1586" t="str">
        <f>"048314-038430-**-**"</f>
        <v>048314-038430-**-**</v>
      </c>
      <c r="X1586" t="s">
        <v>838</v>
      </c>
      <c r="Y1586">
        <v>1206.25</v>
      </c>
      <c r="Z1586">
        <v>1206.25</v>
      </c>
      <c r="AA1586" t="str">
        <f t="shared" si="449"/>
        <v>06/08/2016</v>
      </c>
    </row>
    <row r="1587" spans="1:27" x14ac:dyDescent="0.3">
      <c r="A1587" t="str">
        <f t="shared" si="435"/>
        <v>048314</v>
      </c>
      <c r="B1587" t="str">
        <f t="shared" si="445"/>
        <v>038430</v>
      </c>
      <c r="C1587" t="s">
        <v>2768</v>
      </c>
      <c r="D1587" t="s">
        <v>3839</v>
      </c>
      <c r="E1587" t="s">
        <v>3840</v>
      </c>
      <c r="F1587" t="s">
        <v>3841</v>
      </c>
      <c r="G1587" t="s">
        <v>3842</v>
      </c>
      <c r="H1587" t="str">
        <f>"048363"</f>
        <v>048363</v>
      </c>
      <c r="I1587" t="s">
        <v>833</v>
      </c>
      <c r="J1587" t="str">
        <f t="shared" si="448"/>
        <v>2015-07-01 00:00:00.0</v>
      </c>
      <c r="K1587" t="s">
        <v>834</v>
      </c>
      <c r="L1587" t="s">
        <v>1</v>
      </c>
      <c r="M1587" t="str">
        <f t="shared" si="442"/>
        <v>048314</v>
      </c>
      <c r="N1587">
        <v>1</v>
      </c>
      <c r="O1587">
        <v>1</v>
      </c>
      <c r="P1587" t="str">
        <f>"05"</f>
        <v>05</v>
      </c>
      <c r="Q1587" t="s">
        <v>835</v>
      </c>
      <c r="S1587" t="s">
        <v>860</v>
      </c>
      <c r="T1587" t="s">
        <v>836</v>
      </c>
      <c r="U1587" t="str">
        <f t="shared" si="446"/>
        <v>2500-12-31 00:00:00.0</v>
      </c>
      <c r="V1587" t="s">
        <v>837</v>
      </c>
      <c r="W1587" t="str">
        <f>"048363-014522-**-**"</f>
        <v>048363-014522-**-**</v>
      </c>
      <c r="X1587" t="s">
        <v>838</v>
      </c>
      <c r="Y1587">
        <v>1127</v>
      </c>
      <c r="Z1587">
        <v>1127</v>
      </c>
      <c r="AA1587" t="str">
        <f>"06/15/2016"</f>
        <v>06/15/2016</v>
      </c>
    </row>
    <row r="1588" spans="1:27" x14ac:dyDescent="0.3">
      <c r="A1588" t="str">
        <f t="shared" si="435"/>
        <v>048314</v>
      </c>
      <c r="B1588" t="str">
        <f t="shared" si="445"/>
        <v>038430</v>
      </c>
      <c r="C1588" t="s">
        <v>982</v>
      </c>
      <c r="D1588" t="s">
        <v>3839</v>
      </c>
      <c r="E1588" t="s">
        <v>3840</v>
      </c>
      <c r="F1588" t="s">
        <v>3841</v>
      </c>
      <c r="G1588" t="s">
        <v>3842</v>
      </c>
      <c r="H1588" t="str">
        <f t="shared" ref="H1588:H1603" si="450">"048314"</f>
        <v>048314</v>
      </c>
      <c r="I1588" t="s">
        <v>833</v>
      </c>
      <c r="J1588" t="str">
        <f t="shared" si="448"/>
        <v>2015-07-01 00:00:00.0</v>
      </c>
      <c r="K1588" t="s">
        <v>834</v>
      </c>
      <c r="L1588" t="s">
        <v>0</v>
      </c>
      <c r="M1588" t="str">
        <f t="shared" si="442"/>
        <v>048314</v>
      </c>
      <c r="N1588">
        <v>1</v>
      </c>
      <c r="O1588">
        <v>1</v>
      </c>
      <c r="P1588" t="str">
        <f>"02"</f>
        <v>02</v>
      </c>
      <c r="Q1588" t="s">
        <v>835</v>
      </c>
      <c r="S1588" t="s">
        <v>836</v>
      </c>
      <c r="T1588" t="s">
        <v>836</v>
      </c>
      <c r="U1588" t="str">
        <f t="shared" si="446"/>
        <v>2500-12-31 00:00:00.0</v>
      </c>
      <c r="V1588" t="s">
        <v>837</v>
      </c>
      <c r="W1588" t="str">
        <f>"048314-038430-**-**"</f>
        <v>048314-038430-**-**</v>
      </c>
      <c r="X1588" t="s">
        <v>838</v>
      </c>
      <c r="Y1588">
        <v>1206.25</v>
      </c>
      <c r="Z1588">
        <v>1206.25</v>
      </c>
      <c r="AA1588" t="str">
        <f t="shared" ref="AA1588:AA1603" si="451">"06/08/2016"</f>
        <v>06/08/2016</v>
      </c>
    </row>
    <row r="1589" spans="1:27" x14ac:dyDescent="0.3">
      <c r="A1589" t="str">
        <f t="shared" si="435"/>
        <v>048314</v>
      </c>
      <c r="B1589" t="str">
        <f t="shared" si="445"/>
        <v>038430</v>
      </c>
      <c r="C1589" t="s">
        <v>2842</v>
      </c>
      <c r="D1589" t="s">
        <v>3839</v>
      </c>
      <c r="E1589" t="s">
        <v>3840</v>
      </c>
      <c r="F1589" t="s">
        <v>3841</v>
      </c>
      <c r="G1589" t="s">
        <v>3842</v>
      </c>
      <c r="H1589" t="str">
        <f t="shared" si="450"/>
        <v>048314</v>
      </c>
      <c r="I1589" t="s">
        <v>833</v>
      </c>
      <c r="J1589" t="str">
        <f t="shared" si="448"/>
        <v>2015-07-01 00:00:00.0</v>
      </c>
      <c r="K1589" t="s">
        <v>834</v>
      </c>
      <c r="L1589" t="s">
        <v>0</v>
      </c>
      <c r="M1589" t="str">
        <f t="shared" si="442"/>
        <v>048314</v>
      </c>
      <c r="N1589">
        <v>1</v>
      </c>
      <c r="O1589">
        <v>1</v>
      </c>
      <c r="P1589" t="str">
        <f>"05"</f>
        <v>05</v>
      </c>
      <c r="Q1589" t="s">
        <v>835</v>
      </c>
      <c r="S1589" t="s">
        <v>836</v>
      </c>
      <c r="T1589" t="s">
        <v>836</v>
      </c>
      <c r="U1589" t="str">
        <f t="shared" si="446"/>
        <v>2500-12-31 00:00:00.0</v>
      </c>
      <c r="V1589" t="s">
        <v>837</v>
      </c>
      <c r="W1589" t="str">
        <f>"048314-070417-**-**"</f>
        <v>048314-070417-**-**</v>
      </c>
      <c r="X1589" t="s">
        <v>838</v>
      </c>
      <c r="Y1589">
        <v>1125</v>
      </c>
      <c r="Z1589">
        <v>1125</v>
      </c>
      <c r="AA1589" t="str">
        <f t="shared" si="451"/>
        <v>06/08/2016</v>
      </c>
    </row>
    <row r="1590" spans="1:27" x14ac:dyDescent="0.3">
      <c r="A1590" t="str">
        <f t="shared" si="435"/>
        <v>048314</v>
      </c>
      <c r="B1590" t="str">
        <f t="shared" si="445"/>
        <v>038430</v>
      </c>
      <c r="C1590" t="s">
        <v>3220</v>
      </c>
      <c r="D1590" t="s">
        <v>3839</v>
      </c>
      <c r="E1590" t="s">
        <v>3840</v>
      </c>
      <c r="F1590" t="s">
        <v>3841</v>
      </c>
      <c r="G1590" t="s">
        <v>3842</v>
      </c>
      <c r="H1590" t="str">
        <f t="shared" si="450"/>
        <v>048314</v>
      </c>
      <c r="I1590" t="s">
        <v>833</v>
      </c>
      <c r="J1590" t="str">
        <f t="shared" si="448"/>
        <v>2015-07-01 00:00:00.0</v>
      </c>
      <c r="K1590" t="s">
        <v>834</v>
      </c>
      <c r="L1590" t="s">
        <v>0</v>
      </c>
      <c r="M1590" t="str">
        <f t="shared" si="442"/>
        <v>048314</v>
      </c>
      <c r="N1590">
        <v>1</v>
      </c>
      <c r="O1590">
        <v>1</v>
      </c>
      <c r="P1590" t="str">
        <f>"02"</f>
        <v>02</v>
      </c>
      <c r="Q1590" t="s">
        <v>835</v>
      </c>
      <c r="S1590" t="s">
        <v>836</v>
      </c>
      <c r="T1590" t="s">
        <v>836</v>
      </c>
      <c r="U1590" t="str">
        <f t="shared" si="446"/>
        <v>2500-12-31 00:00:00.0</v>
      </c>
      <c r="V1590" t="s">
        <v>837</v>
      </c>
      <c r="W1590" t="str">
        <f t="shared" ref="W1590:W1600" si="452">"048314-038430-**-**"</f>
        <v>048314-038430-**-**</v>
      </c>
      <c r="X1590" t="s">
        <v>838</v>
      </c>
      <c r="Y1590">
        <v>1206.25</v>
      </c>
      <c r="Z1590">
        <v>1206.25</v>
      </c>
      <c r="AA1590" t="str">
        <f t="shared" si="451"/>
        <v>06/08/2016</v>
      </c>
    </row>
    <row r="1591" spans="1:27" x14ac:dyDescent="0.3">
      <c r="A1591" t="str">
        <f t="shared" si="435"/>
        <v>048314</v>
      </c>
      <c r="B1591" t="str">
        <f t="shared" si="445"/>
        <v>038430</v>
      </c>
      <c r="C1591" t="s">
        <v>3191</v>
      </c>
      <c r="D1591" t="s">
        <v>3839</v>
      </c>
      <c r="E1591" t="s">
        <v>3840</v>
      </c>
      <c r="F1591" t="s">
        <v>3841</v>
      </c>
      <c r="G1591" t="s">
        <v>3842</v>
      </c>
      <c r="H1591" t="str">
        <f t="shared" si="450"/>
        <v>048314</v>
      </c>
      <c r="I1591" t="s">
        <v>833</v>
      </c>
      <c r="J1591" t="str">
        <f t="shared" si="448"/>
        <v>2015-07-01 00:00:00.0</v>
      </c>
      <c r="K1591" t="s">
        <v>834</v>
      </c>
      <c r="L1591" t="s">
        <v>0</v>
      </c>
      <c r="M1591" t="str">
        <f t="shared" si="442"/>
        <v>048314</v>
      </c>
      <c r="N1591">
        <v>1</v>
      </c>
      <c r="O1591">
        <v>1</v>
      </c>
      <c r="P1591" t="str">
        <f>"03"</f>
        <v>03</v>
      </c>
      <c r="Q1591" t="s">
        <v>835</v>
      </c>
      <c r="S1591" t="s">
        <v>836</v>
      </c>
      <c r="T1591" t="s">
        <v>836</v>
      </c>
      <c r="U1591" t="str">
        <f t="shared" si="446"/>
        <v>2500-12-31 00:00:00.0</v>
      </c>
      <c r="V1591" t="s">
        <v>837</v>
      </c>
      <c r="W1591" t="str">
        <f t="shared" si="452"/>
        <v>048314-038430-**-**</v>
      </c>
      <c r="X1591" t="s">
        <v>838</v>
      </c>
      <c r="Y1591">
        <v>1206.25</v>
      </c>
      <c r="Z1591">
        <v>1206.25</v>
      </c>
      <c r="AA1591" t="str">
        <f t="shared" si="451"/>
        <v>06/08/2016</v>
      </c>
    </row>
    <row r="1592" spans="1:27" x14ac:dyDescent="0.3">
      <c r="A1592" t="str">
        <f t="shared" si="435"/>
        <v>048314</v>
      </c>
      <c r="B1592" t="str">
        <f t="shared" si="445"/>
        <v>038430</v>
      </c>
      <c r="C1592" t="s">
        <v>3355</v>
      </c>
      <c r="D1592" t="s">
        <v>3839</v>
      </c>
      <c r="E1592" t="s">
        <v>3840</v>
      </c>
      <c r="F1592" t="s">
        <v>3841</v>
      </c>
      <c r="G1592" t="s">
        <v>3842</v>
      </c>
      <c r="H1592" t="str">
        <f t="shared" si="450"/>
        <v>048314</v>
      </c>
      <c r="I1592" t="s">
        <v>833</v>
      </c>
      <c r="J1592" t="str">
        <f t="shared" si="448"/>
        <v>2015-07-01 00:00:00.0</v>
      </c>
      <c r="K1592" t="s">
        <v>834</v>
      </c>
      <c r="L1592" t="s">
        <v>0</v>
      </c>
      <c r="M1592" t="str">
        <f t="shared" si="442"/>
        <v>048314</v>
      </c>
      <c r="N1592">
        <v>1</v>
      </c>
      <c r="O1592">
        <v>1</v>
      </c>
      <c r="P1592" t="str">
        <f>"04"</f>
        <v>04</v>
      </c>
      <c r="Q1592" t="s">
        <v>835</v>
      </c>
      <c r="S1592" t="s">
        <v>836</v>
      </c>
      <c r="T1592" t="s">
        <v>836</v>
      </c>
      <c r="U1592" t="str">
        <f t="shared" si="446"/>
        <v>2500-12-31 00:00:00.0</v>
      </c>
      <c r="V1592" t="s">
        <v>837</v>
      </c>
      <c r="W1592" t="str">
        <f t="shared" si="452"/>
        <v>048314-038430-**-**</v>
      </c>
      <c r="X1592" t="s">
        <v>838</v>
      </c>
      <c r="Y1592">
        <v>1206.25</v>
      </c>
      <c r="Z1592">
        <v>1206.25</v>
      </c>
      <c r="AA1592" t="str">
        <f t="shared" si="451"/>
        <v>06/08/2016</v>
      </c>
    </row>
    <row r="1593" spans="1:27" x14ac:dyDescent="0.3">
      <c r="A1593" t="str">
        <f t="shared" si="435"/>
        <v>048314</v>
      </c>
      <c r="B1593" t="str">
        <f t="shared" si="445"/>
        <v>038430</v>
      </c>
      <c r="C1593" t="s">
        <v>3367</v>
      </c>
      <c r="D1593" t="s">
        <v>3839</v>
      </c>
      <c r="E1593" t="s">
        <v>3840</v>
      </c>
      <c r="F1593" t="s">
        <v>3841</v>
      </c>
      <c r="G1593" t="s">
        <v>3842</v>
      </c>
      <c r="H1593" t="str">
        <f t="shared" si="450"/>
        <v>048314</v>
      </c>
      <c r="I1593" t="s">
        <v>833</v>
      </c>
      <c r="J1593" t="str">
        <f t="shared" si="448"/>
        <v>2015-07-01 00:00:00.0</v>
      </c>
      <c r="K1593" t="s">
        <v>834</v>
      </c>
      <c r="L1593" t="s">
        <v>0</v>
      </c>
      <c r="M1593" t="str">
        <f t="shared" si="442"/>
        <v>048314</v>
      </c>
      <c r="N1593">
        <v>1</v>
      </c>
      <c r="O1593">
        <v>1</v>
      </c>
      <c r="P1593" t="str">
        <f>"02"</f>
        <v>02</v>
      </c>
      <c r="Q1593" t="s">
        <v>835</v>
      </c>
      <c r="S1593" t="s">
        <v>836</v>
      </c>
      <c r="T1593" t="s">
        <v>836</v>
      </c>
      <c r="U1593" t="str">
        <f t="shared" si="446"/>
        <v>2500-12-31 00:00:00.0</v>
      </c>
      <c r="V1593" t="s">
        <v>837</v>
      </c>
      <c r="W1593" t="str">
        <f t="shared" si="452"/>
        <v>048314-038430-**-**</v>
      </c>
      <c r="X1593" t="s">
        <v>838</v>
      </c>
      <c r="Y1593">
        <v>1206.25</v>
      </c>
      <c r="Z1593">
        <v>1206.25</v>
      </c>
      <c r="AA1593" t="str">
        <f t="shared" si="451"/>
        <v>06/08/2016</v>
      </c>
    </row>
    <row r="1594" spans="1:27" x14ac:dyDescent="0.3">
      <c r="A1594" t="str">
        <f t="shared" si="435"/>
        <v>048314</v>
      </c>
      <c r="B1594" t="str">
        <f t="shared" si="445"/>
        <v>038430</v>
      </c>
      <c r="C1594" t="s">
        <v>3475</v>
      </c>
      <c r="D1594" t="s">
        <v>3839</v>
      </c>
      <c r="E1594" t="s">
        <v>3840</v>
      </c>
      <c r="F1594" t="s">
        <v>3841</v>
      </c>
      <c r="G1594" t="s">
        <v>3842</v>
      </c>
      <c r="H1594" t="str">
        <f t="shared" si="450"/>
        <v>048314</v>
      </c>
      <c r="I1594" t="s">
        <v>833</v>
      </c>
      <c r="J1594" t="str">
        <f>"2015-08-01 00:00:00.0"</f>
        <v>2015-08-01 00:00:00.0</v>
      </c>
      <c r="K1594" t="s">
        <v>834</v>
      </c>
      <c r="L1594" t="s">
        <v>0</v>
      </c>
      <c r="M1594" t="str">
        <f t="shared" si="442"/>
        <v>048314</v>
      </c>
      <c r="N1594">
        <v>1</v>
      </c>
      <c r="O1594">
        <v>1</v>
      </c>
      <c r="P1594" t="s">
        <v>764</v>
      </c>
      <c r="Q1594" t="s">
        <v>835</v>
      </c>
      <c r="S1594" t="s">
        <v>836</v>
      </c>
      <c r="T1594" t="s">
        <v>836</v>
      </c>
      <c r="U1594" t="str">
        <f t="shared" si="446"/>
        <v>2500-12-31 00:00:00.0</v>
      </c>
      <c r="V1594" t="s">
        <v>837</v>
      </c>
      <c r="W1594" t="str">
        <f t="shared" si="452"/>
        <v>048314-038430-**-**</v>
      </c>
      <c r="X1594" t="s">
        <v>838</v>
      </c>
      <c r="Y1594">
        <v>1206.25</v>
      </c>
      <c r="Z1594">
        <v>1206.25</v>
      </c>
      <c r="AA1594" t="str">
        <f t="shared" si="451"/>
        <v>06/08/2016</v>
      </c>
    </row>
    <row r="1595" spans="1:27" x14ac:dyDescent="0.3">
      <c r="A1595" t="str">
        <f t="shared" si="435"/>
        <v>048314</v>
      </c>
      <c r="B1595" t="str">
        <f t="shared" si="445"/>
        <v>038430</v>
      </c>
      <c r="C1595" t="s">
        <v>1484</v>
      </c>
      <c r="D1595" t="s">
        <v>3839</v>
      </c>
      <c r="E1595" t="s">
        <v>3840</v>
      </c>
      <c r="F1595" t="s">
        <v>3841</v>
      </c>
      <c r="G1595" t="s">
        <v>3842</v>
      </c>
      <c r="H1595" t="str">
        <f t="shared" si="450"/>
        <v>048314</v>
      </c>
      <c r="I1595" t="s">
        <v>833</v>
      </c>
      <c r="J1595" t="str">
        <f>"2015-08-01 00:00:00.0"</f>
        <v>2015-08-01 00:00:00.0</v>
      </c>
      <c r="K1595" t="s">
        <v>834</v>
      </c>
      <c r="L1595" t="s">
        <v>0</v>
      </c>
      <c r="M1595" t="str">
        <f t="shared" si="442"/>
        <v>048314</v>
      </c>
      <c r="N1595">
        <v>1</v>
      </c>
      <c r="O1595">
        <v>1</v>
      </c>
      <c r="P1595" t="s">
        <v>764</v>
      </c>
      <c r="Q1595" t="s">
        <v>835</v>
      </c>
      <c r="S1595" t="s">
        <v>836</v>
      </c>
      <c r="T1595" t="s">
        <v>836</v>
      </c>
      <c r="U1595" t="str">
        <f t="shared" si="446"/>
        <v>2500-12-31 00:00:00.0</v>
      </c>
      <c r="V1595" t="s">
        <v>837</v>
      </c>
      <c r="W1595" t="str">
        <f t="shared" si="452"/>
        <v>048314-038430-**-**</v>
      </c>
      <c r="X1595" t="s">
        <v>838</v>
      </c>
      <c r="Y1595">
        <v>1206.25</v>
      </c>
      <c r="Z1595">
        <v>1206.25</v>
      </c>
      <c r="AA1595" t="str">
        <f t="shared" si="451"/>
        <v>06/08/2016</v>
      </c>
    </row>
    <row r="1596" spans="1:27" x14ac:dyDescent="0.3">
      <c r="A1596" t="str">
        <f t="shared" si="435"/>
        <v>048314</v>
      </c>
      <c r="B1596" t="str">
        <f t="shared" si="445"/>
        <v>038430</v>
      </c>
      <c r="C1596" t="s">
        <v>3352</v>
      </c>
      <c r="D1596" t="s">
        <v>3839</v>
      </c>
      <c r="E1596" t="s">
        <v>3840</v>
      </c>
      <c r="F1596" t="s">
        <v>3841</v>
      </c>
      <c r="G1596" t="s">
        <v>3842</v>
      </c>
      <c r="H1596" t="str">
        <f t="shared" si="450"/>
        <v>048314</v>
      </c>
      <c r="I1596" t="s">
        <v>833</v>
      </c>
      <c r="J1596" t="str">
        <f>"2015-07-01 00:00:00.0"</f>
        <v>2015-07-01 00:00:00.0</v>
      </c>
      <c r="K1596" t="s">
        <v>834</v>
      </c>
      <c r="L1596" t="s">
        <v>0</v>
      </c>
      <c r="M1596" t="str">
        <f t="shared" si="442"/>
        <v>048314</v>
      </c>
      <c r="N1596">
        <v>1</v>
      </c>
      <c r="O1596">
        <v>1</v>
      </c>
      <c r="P1596" t="str">
        <f>"04"</f>
        <v>04</v>
      </c>
      <c r="Q1596" t="s">
        <v>835</v>
      </c>
      <c r="S1596" t="s">
        <v>836</v>
      </c>
      <c r="T1596" t="s">
        <v>836</v>
      </c>
      <c r="U1596" t="str">
        <f t="shared" si="446"/>
        <v>2500-12-31 00:00:00.0</v>
      </c>
      <c r="V1596" t="s">
        <v>837</v>
      </c>
      <c r="W1596" t="str">
        <f t="shared" si="452"/>
        <v>048314-038430-**-**</v>
      </c>
      <c r="X1596" t="s">
        <v>838</v>
      </c>
      <c r="Y1596">
        <v>1206.25</v>
      </c>
      <c r="Z1596">
        <v>1206.25</v>
      </c>
      <c r="AA1596" t="str">
        <f t="shared" si="451"/>
        <v>06/08/2016</v>
      </c>
    </row>
    <row r="1597" spans="1:27" x14ac:dyDescent="0.3">
      <c r="A1597" t="str">
        <f t="shared" si="435"/>
        <v>048314</v>
      </c>
      <c r="B1597" t="str">
        <f t="shared" si="445"/>
        <v>038430</v>
      </c>
      <c r="C1597" t="s">
        <v>883</v>
      </c>
      <c r="D1597" t="s">
        <v>3839</v>
      </c>
      <c r="E1597" t="s">
        <v>3840</v>
      </c>
      <c r="F1597" t="s">
        <v>3841</v>
      </c>
      <c r="G1597" t="s">
        <v>3842</v>
      </c>
      <c r="H1597" t="str">
        <f t="shared" si="450"/>
        <v>048314</v>
      </c>
      <c r="I1597" t="s">
        <v>833</v>
      </c>
      <c r="J1597" t="str">
        <f>"2015-08-01 00:00:00.0"</f>
        <v>2015-08-01 00:00:00.0</v>
      </c>
      <c r="K1597" t="s">
        <v>834</v>
      </c>
      <c r="L1597" t="s">
        <v>0</v>
      </c>
      <c r="M1597" t="str">
        <f t="shared" si="442"/>
        <v>048314</v>
      </c>
      <c r="N1597">
        <v>1</v>
      </c>
      <c r="O1597">
        <v>1</v>
      </c>
      <c r="P1597" t="str">
        <f>"01"</f>
        <v>01</v>
      </c>
      <c r="Q1597" t="s">
        <v>835</v>
      </c>
      <c r="S1597" t="s">
        <v>836</v>
      </c>
      <c r="T1597" t="s">
        <v>836</v>
      </c>
      <c r="U1597" t="str">
        <f t="shared" si="446"/>
        <v>2500-12-31 00:00:00.0</v>
      </c>
      <c r="V1597" t="s">
        <v>837</v>
      </c>
      <c r="W1597" t="str">
        <f t="shared" si="452"/>
        <v>048314-038430-**-**</v>
      </c>
      <c r="X1597" t="s">
        <v>838</v>
      </c>
      <c r="Y1597">
        <v>1206.25</v>
      </c>
      <c r="Z1597">
        <v>1206.25</v>
      </c>
      <c r="AA1597" t="str">
        <f t="shared" si="451"/>
        <v>06/08/2016</v>
      </c>
    </row>
    <row r="1598" spans="1:27" x14ac:dyDescent="0.3">
      <c r="A1598" t="str">
        <f t="shared" si="435"/>
        <v>048314</v>
      </c>
      <c r="B1598" t="str">
        <f t="shared" si="445"/>
        <v>038430</v>
      </c>
      <c r="C1598" t="s">
        <v>3232</v>
      </c>
      <c r="D1598" t="s">
        <v>3839</v>
      </c>
      <c r="E1598" t="s">
        <v>3840</v>
      </c>
      <c r="F1598" t="s">
        <v>3841</v>
      </c>
      <c r="G1598" t="s">
        <v>3842</v>
      </c>
      <c r="H1598" t="str">
        <f t="shared" si="450"/>
        <v>048314</v>
      </c>
      <c r="I1598" t="s">
        <v>833</v>
      </c>
      <c r="J1598" t="str">
        <f t="shared" ref="J1598:J1603" si="453">"2015-07-01 00:00:00.0"</f>
        <v>2015-07-01 00:00:00.0</v>
      </c>
      <c r="K1598" t="s">
        <v>834</v>
      </c>
      <c r="L1598" t="s">
        <v>0</v>
      </c>
      <c r="M1598" t="str">
        <f t="shared" si="442"/>
        <v>048314</v>
      </c>
      <c r="N1598">
        <v>1</v>
      </c>
      <c r="O1598">
        <v>1</v>
      </c>
      <c r="P1598" t="str">
        <f>"02"</f>
        <v>02</v>
      </c>
      <c r="Q1598" t="str">
        <f>"05"</f>
        <v>05</v>
      </c>
      <c r="R1598" t="str">
        <f>"1"</f>
        <v>1</v>
      </c>
      <c r="S1598" t="s">
        <v>836</v>
      </c>
      <c r="T1598" t="s">
        <v>836</v>
      </c>
      <c r="U1598" t="str">
        <f t="shared" si="446"/>
        <v>2500-12-31 00:00:00.0</v>
      </c>
      <c r="V1598" t="s">
        <v>837</v>
      </c>
      <c r="W1598" t="str">
        <f t="shared" si="452"/>
        <v>048314-038430-**-**</v>
      </c>
      <c r="X1598" t="s">
        <v>838</v>
      </c>
      <c r="Y1598">
        <v>1206.25</v>
      </c>
      <c r="Z1598">
        <v>1206.25</v>
      </c>
      <c r="AA1598" t="str">
        <f t="shared" si="451"/>
        <v>06/08/2016</v>
      </c>
    </row>
    <row r="1599" spans="1:27" x14ac:dyDescent="0.3">
      <c r="A1599" t="str">
        <f t="shared" si="435"/>
        <v>048314</v>
      </c>
      <c r="B1599" t="str">
        <f t="shared" si="445"/>
        <v>038430</v>
      </c>
      <c r="C1599" t="s">
        <v>3233</v>
      </c>
      <c r="D1599" t="s">
        <v>3839</v>
      </c>
      <c r="E1599" t="s">
        <v>3840</v>
      </c>
      <c r="F1599" t="s">
        <v>3841</v>
      </c>
      <c r="G1599" t="s">
        <v>3842</v>
      </c>
      <c r="H1599" t="str">
        <f t="shared" si="450"/>
        <v>048314</v>
      </c>
      <c r="I1599" t="s">
        <v>833</v>
      </c>
      <c r="J1599" t="str">
        <f t="shared" si="453"/>
        <v>2015-07-01 00:00:00.0</v>
      </c>
      <c r="K1599" t="s">
        <v>834</v>
      </c>
      <c r="L1599" t="s">
        <v>0</v>
      </c>
      <c r="M1599" t="str">
        <f t="shared" si="442"/>
        <v>048314</v>
      </c>
      <c r="N1599">
        <v>1</v>
      </c>
      <c r="O1599">
        <v>1</v>
      </c>
      <c r="P1599" t="str">
        <f>"02"</f>
        <v>02</v>
      </c>
      <c r="Q1599" t="s">
        <v>835</v>
      </c>
      <c r="S1599" t="s">
        <v>836</v>
      </c>
      <c r="T1599" t="s">
        <v>836</v>
      </c>
      <c r="U1599" t="str">
        <f t="shared" si="446"/>
        <v>2500-12-31 00:00:00.0</v>
      </c>
      <c r="V1599" t="s">
        <v>837</v>
      </c>
      <c r="W1599" t="str">
        <f t="shared" si="452"/>
        <v>048314-038430-**-**</v>
      </c>
      <c r="X1599" t="s">
        <v>838</v>
      </c>
      <c r="Y1599">
        <v>1206.25</v>
      </c>
      <c r="Z1599">
        <v>1206.25</v>
      </c>
      <c r="AA1599" t="str">
        <f t="shared" si="451"/>
        <v>06/08/2016</v>
      </c>
    </row>
    <row r="1600" spans="1:27" x14ac:dyDescent="0.3">
      <c r="A1600" t="str">
        <f t="shared" si="435"/>
        <v>048314</v>
      </c>
      <c r="B1600" t="str">
        <f t="shared" si="445"/>
        <v>038430</v>
      </c>
      <c r="C1600" t="s">
        <v>1298</v>
      </c>
      <c r="D1600" t="s">
        <v>3839</v>
      </c>
      <c r="E1600" t="s">
        <v>3840</v>
      </c>
      <c r="F1600" t="s">
        <v>3841</v>
      </c>
      <c r="G1600" t="s">
        <v>3842</v>
      </c>
      <c r="H1600" t="str">
        <f t="shared" si="450"/>
        <v>048314</v>
      </c>
      <c r="I1600" t="s">
        <v>833</v>
      </c>
      <c r="J1600" t="str">
        <f t="shared" si="453"/>
        <v>2015-07-01 00:00:00.0</v>
      </c>
      <c r="K1600" t="s">
        <v>834</v>
      </c>
      <c r="L1600" t="s">
        <v>0</v>
      </c>
      <c r="M1600" t="str">
        <f t="shared" si="442"/>
        <v>048314</v>
      </c>
      <c r="N1600">
        <v>1</v>
      </c>
      <c r="O1600">
        <v>1</v>
      </c>
      <c r="P1600" t="str">
        <f>"02"</f>
        <v>02</v>
      </c>
      <c r="Q1600" t="str">
        <f>"10"</f>
        <v>10</v>
      </c>
      <c r="R1600" t="str">
        <f>"2"</f>
        <v>2</v>
      </c>
      <c r="S1600" t="s">
        <v>860</v>
      </c>
      <c r="T1600" t="s">
        <v>836</v>
      </c>
      <c r="U1600" t="str">
        <f t="shared" si="446"/>
        <v>2500-12-31 00:00:00.0</v>
      </c>
      <c r="V1600" t="s">
        <v>837</v>
      </c>
      <c r="W1600" t="str">
        <f t="shared" si="452"/>
        <v>048314-038430-**-**</v>
      </c>
      <c r="X1600" t="s">
        <v>838</v>
      </c>
      <c r="Y1600">
        <v>1206.25</v>
      </c>
      <c r="Z1600">
        <v>1206.25</v>
      </c>
      <c r="AA1600" t="str">
        <f t="shared" si="451"/>
        <v>06/08/2016</v>
      </c>
    </row>
    <row r="1601" spans="1:27" x14ac:dyDescent="0.3">
      <c r="A1601" t="str">
        <f t="shared" si="435"/>
        <v>048314</v>
      </c>
      <c r="B1601" t="str">
        <f t="shared" si="445"/>
        <v>038430</v>
      </c>
      <c r="C1601" t="s">
        <v>2846</v>
      </c>
      <c r="D1601" t="s">
        <v>3839</v>
      </c>
      <c r="E1601" t="s">
        <v>3840</v>
      </c>
      <c r="F1601" t="s">
        <v>3841</v>
      </c>
      <c r="G1601" t="s">
        <v>3842</v>
      </c>
      <c r="H1601" t="str">
        <f t="shared" si="450"/>
        <v>048314</v>
      </c>
      <c r="I1601" t="s">
        <v>833</v>
      </c>
      <c r="J1601" t="str">
        <f t="shared" si="453"/>
        <v>2015-07-01 00:00:00.0</v>
      </c>
      <c r="K1601" t="s">
        <v>834</v>
      </c>
      <c r="L1601" t="s">
        <v>0</v>
      </c>
      <c r="M1601" t="str">
        <f t="shared" si="442"/>
        <v>048314</v>
      </c>
      <c r="N1601">
        <v>1</v>
      </c>
      <c r="O1601">
        <v>1</v>
      </c>
      <c r="P1601" t="str">
        <f>"05"</f>
        <v>05</v>
      </c>
      <c r="Q1601" t="s">
        <v>835</v>
      </c>
      <c r="S1601" t="s">
        <v>836</v>
      </c>
      <c r="T1601" t="s">
        <v>836</v>
      </c>
      <c r="U1601" t="str">
        <f t="shared" si="446"/>
        <v>2500-12-31 00:00:00.0</v>
      </c>
      <c r="V1601" t="s">
        <v>837</v>
      </c>
      <c r="W1601" t="str">
        <f>"048314-070417-**-**"</f>
        <v>048314-070417-**-**</v>
      </c>
      <c r="X1601" t="s">
        <v>838</v>
      </c>
      <c r="Y1601">
        <v>1125</v>
      </c>
      <c r="Z1601">
        <v>1125</v>
      </c>
      <c r="AA1601" t="str">
        <f t="shared" si="451"/>
        <v>06/08/2016</v>
      </c>
    </row>
    <row r="1602" spans="1:27" x14ac:dyDescent="0.3">
      <c r="A1602" t="str">
        <f t="shared" ref="A1602:A1665" si="454">"048314"</f>
        <v>048314</v>
      </c>
      <c r="B1602" t="str">
        <f t="shared" si="445"/>
        <v>038430</v>
      </c>
      <c r="C1602" t="s">
        <v>3369</v>
      </c>
      <c r="D1602" t="s">
        <v>3839</v>
      </c>
      <c r="E1602" t="s">
        <v>3840</v>
      </c>
      <c r="F1602" t="s">
        <v>3841</v>
      </c>
      <c r="G1602" t="s">
        <v>3842</v>
      </c>
      <c r="H1602" t="str">
        <f t="shared" si="450"/>
        <v>048314</v>
      </c>
      <c r="I1602" t="s">
        <v>833</v>
      </c>
      <c r="J1602" t="str">
        <f t="shared" si="453"/>
        <v>2015-07-01 00:00:00.0</v>
      </c>
      <c r="K1602" t="s">
        <v>834</v>
      </c>
      <c r="L1602" t="s">
        <v>0</v>
      </c>
      <c r="M1602" t="str">
        <f t="shared" si="442"/>
        <v>048314</v>
      </c>
      <c r="N1602">
        <v>1</v>
      </c>
      <c r="O1602">
        <v>1</v>
      </c>
      <c r="P1602" t="str">
        <f>"04"</f>
        <v>04</v>
      </c>
      <c r="Q1602" t="s">
        <v>835</v>
      </c>
      <c r="S1602" t="s">
        <v>836</v>
      </c>
      <c r="T1602" t="s">
        <v>836</v>
      </c>
      <c r="U1602" t="str">
        <f t="shared" si="446"/>
        <v>2500-12-31 00:00:00.0</v>
      </c>
      <c r="V1602" t="s">
        <v>837</v>
      </c>
      <c r="W1602" t="str">
        <f>"048314-038430-**-**"</f>
        <v>048314-038430-**-**</v>
      </c>
      <c r="X1602" t="s">
        <v>838</v>
      </c>
      <c r="Y1602">
        <v>1206.25</v>
      </c>
      <c r="Z1602">
        <v>1206.25</v>
      </c>
      <c r="AA1602" t="str">
        <f t="shared" si="451"/>
        <v>06/08/2016</v>
      </c>
    </row>
    <row r="1603" spans="1:27" x14ac:dyDescent="0.3">
      <c r="A1603" t="str">
        <f t="shared" si="454"/>
        <v>048314</v>
      </c>
      <c r="B1603" t="str">
        <f t="shared" si="445"/>
        <v>038430</v>
      </c>
      <c r="C1603" t="s">
        <v>1546</v>
      </c>
      <c r="D1603" t="s">
        <v>3839</v>
      </c>
      <c r="E1603" t="s">
        <v>3840</v>
      </c>
      <c r="F1603" t="s">
        <v>3841</v>
      </c>
      <c r="G1603" t="s">
        <v>3842</v>
      </c>
      <c r="H1603" t="str">
        <f t="shared" si="450"/>
        <v>048314</v>
      </c>
      <c r="I1603" t="s">
        <v>833</v>
      </c>
      <c r="J1603" t="str">
        <f t="shared" si="453"/>
        <v>2015-07-01 00:00:00.0</v>
      </c>
      <c r="K1603" t="s">
        <v>834</v>
      </c>
      <c r="L1603" t="s">
        <v>0</v>
      </c>
      <c r="M1603" t="str">
        <f t="shared" si="442"/>
        <v>048314</v>
      </c>
      <c r="N1603">
        <v>1</v>
      </c>
      <c r="O1603">
        <v>1</v>
      </c>
      <c r="P1603" t="str">
        <f>"02"</f>
        <v>02</v>
      </c>
      <c r="Q1603" t="s">
        <v>835</v>
      </c>
      <c r="S1603" t="s">
        <v>836</v>
      </c>
      <c r="T1603" t="s">
        <v>836</v>
      </c>
      <c r="U1603" t="str">
        <f t="shared" si="446"/>
        <v>2500-12-31 00:00:00.0</v>
      </c>
      <c r="V1603" t="s">
        <v>837</v>
      </c>
      <c r="W1603" t="str">
        <f>"048314-038430-**-**"</f>
        <v>048314-038430-**-**</v>
      </c>
      <c r="X1603" t="s">
        <v>838</v>
      </c>
      <c r="Y1603">
        <v>1206.25</v>
      </c>
      <c r="Z1603">
        <v>1206.25</v>
      </c>
      <c r="AA1603" t="str">
        <f t="shared" si="451"/>
        <v>06/08/2016</v>
      </c>
    </row>
    <row r="1604" spans="1:27" x14ac:dyDescent="0.3">
      <c r="A1604" t="str">
        <f t="shared" si="454"/>
        <v>048314</v>
      </c>
      <c r="B1604" t="str">
        <f t="shared" si="445"/>
        <v>038430</v>
      </c>
      <c r="C1604" t="s">
        <v>3058</v>
      </c>
      <c r="D1604" t="s">
        <v>3839</v>
      </c>
      <c r="E1604" t="s">
        <v>3840</v>
      </c>
      <c r="F1604" t="s">
        <v>3841</v>
      </c>
      <c r="G1604" t="s">
        <v>3842</v>
      </c>
      <c r="H1604" t="str">
        <f>"048363"</f>
        <v>048363</v>
      </c>
      <c r="I1604" t="s">
        <v>833</v>
      </c>
      <c r="J1604" t="str">
        <f>"2015-08-13 00:00:00.0"</f>
        <v>2015-08-13 00:00:00.0</v>
      </c>
      <c r="K1604" t="s">
        <v>834</v>
      </c>
      <c r="L1604" t="s">
        <v>1</v>
      </c>
      <c r="M1604" t="str">
        <f t="shared" si="442"/>
        <v>048314</v>
      </c>
      <c r="N1604">
        <v>0.438332</v>
      </c>
      <c r="O1604">
        <v>0.438332</v>
      </c>
      <c r="P1604" t="str">
        <f>"04"</f>
        <v>04</v>
      </c>
      <c r="Q1604" t="s">
        <v>835</v>
      </c>
      <c r="S1604" t="s">
        <v>836</v>
      </c>
      <c r="T1604" t="s">
        <v>836</v>
      </c>
      <c r="U1604" t="str">
        <f>"2015-12-20 00:00:00.0"</f>
        <v>2015-12-20 00:00:00.0</v>
      </c>
      <c r="V1604" t="s">
        <v>837</v>
      </c>
      <c r="W1604" t="str">
        <f>"048363-026211-**-**"</f>
        <v>048363-026211-**-**</v>
      </c>
      <c r="X1604" t="s">
        <v>838</v>
      </c>
      <c r="Y1604">
        <v>494</v>
      </c>
      <c r="Z1604">
        <v>1127</v>
      </c>
      <c r="AA1604" t="str">
        <f>"06/15/2016"</f>
        <v>06/15/2016</v>
      </c>
    </row>
    <row r="1605" spans="1:27" x14ac:dyDescent="0.3">
      <c r="A1605" t="str">
        <f t="shared" si="454"/>
        <v>048314</v>
      </c>
      <c r="B1605" t="str">
        <f t="shared" si="445"/>
        <v>038430</v>
      </c>
      <c r="C1605" t="s">
        <v>3058</v>
      </c>
      <c r="D1605" t="s">
        <v>3839</v>
      </c>
      <c r="E1605" t="s">
        <v>3840</v>
      </c>
      <c r="F1605" t="s">
        <v>3841</v>
      </c>
      <c r="G1605" t="s">
        <v>3842</v>
      </c>
      <c r="H1605" t="str">
        <f>"048363"</f>
        <v>048363</v>
      </c>
      <c r="I1605" t="s">
        <v>833</v>
      </c>
      <c r="J1605" t="str">
        <f>"2015-12-21 00:00:00.0"</f>
        <v>2015-12-21 00:00:00.0</v>
      </c>
      <c r="K1605" t="s">
        <v>834</v>
      </c>
      <c r="L1605" t="s">
        <v>1</v>
      </c>
      <c r="M1605" t="str">
        <f t="shared" si="442"/>
        <v>048314</v>
      </c>
      <c r="N1605">
        <v>0.56166799999999995</v>
      </c>
      <c r="O1605">
        <v>0.56166799999999995</v>
      </c>
      <c r="P1605" t="str">
        <f>"04"</f>
        <v>04</v>
      </c>
      <c r="Q1605" t="str">
        <f>"10"</f>
        <v>10</v>
      </c>
      <c r="R1605" t="str">
        <f>"2"</f>
        <v>2</v>
      </c>
      <c r="S1605" t="s">
        <v>836</v>
      </c>
      <c r="T1605" t="s">
        <v>836</v>
      </c>
      <c r="U1605" t="str">
        <f>"2500-12-31 00:00:00.0"</f>
        <v>2500-12-31 00:00:00.0</v>
      </c>
      <c r="V1605" t="s">
        <v>837</v>
      </c>
      <c r="W1605" t="str">
        <f>"048363-026211-**-**"</f>
        <v>048363-026211-**-**</v>
      </c>
      <c r="X1605" t="s">
        <v>838</v>
      </c>
      <c r="Y1605">
        <v>633</v>
      </c>
      <c r="Z1605">
        <v>1127</v>
      </c>
      <c r="AA1605" t="str">
        <f>"06/15/2016"</f>
        <v>06/15/2016</v>
      </c>
    </row>
    <row r="1606" spans="1:27" x14ac:dyDescent="0.3">
      <c r="A1606" t="str">
        <f t="shared" si="454"/>
        <v>048314</v>
      </c>
      <c r="B1606" t="str">
        <f t="shared" si="445"/>
        <v>038430</v>
      </c>
      <c r="C1606" t="s">
        <v>3094</v>
      </c>
      <c r="D1606" t="s">
        <v>3839</v>
      </c>
      <c r="E1606" t="s">
        <v>3840</v>
      </c>
      <c r="F1606" t="s">
        <v>3841</v>
      </c>
      <c r="G1606" t="s">
        <v>3842</v>
      </c>
      <c r="H1606" t="str">
        <f t="shared" ref="H1606:H1612" si="455">"048314"</f>
        <v>048314</v>
      </c>
      <c r="I1606" t="s">
        <v>833</v>
      </c>
      <c r="J1606" t="str">
        <f>"2015-07-01 00:00:00.0"</f>
        <v>2015-07-01 00:00:00.0</v>
      </c>
      <c r="K1606" t="s">
        <v>834</v>
      </c>
      <c r="L1606" t="s">
        <v>0</v>
      </c>
      <c r="M1606" t="str">
        <f t="shared" si="442"/>
        <v>048314</v>
      </c>
      <c r="N1606">
        <v>1</v>
      </c>
      <c r="O1606">
        <v>1</v>
      </c>
      <c r="P1606" t="str">
        <f>"05"</f>
        <v>05</v>
      </c>
      <c r="Q1606" t="s">
        <v>835</v>
      </c>
      <c r="S1606" t="s">
        <v>836</v>
      </c>
      <c r="T1606" t="s">
        <v>836</v>
      </c>
      <c r="U1606" t="str">
        <f>"2500-12-31 00:00:00.0"</f>
        <v>2500-12-31 00:00:00.0</v>
      </c>
      <c r="V1606" t="s">
        <v>837</v>
      </c>
      <c r="W1606" t="str">
        <f>"048314-070417-**-**"</f>
        <v>048314-070417-**-**</v>
      </c>
      <c r="X1606" t="s">
        <v>838</v>
      </c>
      <c r="Y1606">
        <v>1125</v>
      </c>
      <c r="Z1606">
        <v>1125</v>
      </c>
      <c r="AA1606" t="str">
        <f t="shared" ref="AA1606:AA1612" si="456">"06/08/2016"</f>
        <v>06/08/2016</v>
      </c>
    </row>
    <row r="1607" spans="1:27" x14ac:dyDescent="0.3">
      <c r="A1607" t="str">
        <f t="shared" si="454"/>
        <v>048314</v>
      </c>
      <c r="B1607" t="str">
        <f t="shared" si="445"/>
        <v>038430</v>
      </c>
      <c r="C1607" t="s">
        <v>3371</v>
      </c>
      <c r="D1607" t="s">
        <v>3839</v>
      </c>
      <c r="E1607" t="s">
        <v>3840</v>
      </c>
      <c r="F1607" t="s">
        <v>3841</v>
      </c>
      <c r="G1607" t="s">
        <v>3842</v>
      </c>
      <c r="H1607" t="str">
        <f t="shared" si="455"/>
        <v>048314</v>
      </c>
      <c r="I1607" t="s">
        <v>833</v>
      </c>
      <c r="J1607" t="str">
        <f>"2015-07-01 00:00:00.0"</f>
        <v>2015-07-01 00:00:00.0</v>
      </c>
      <c r="K1607" t="s">
        <v>834</v>
      </c>
      <c r="L1607" t="s">
        <v>0</v>
      </c>
      <c r="M1607" t="str">
        <f t="shared" si="442"/>
        <v>048314</v>
      </c>
      <c r="N1607">
        <v>1</v>
      </c>
      <c r="O1607">
        <v>1</v>
      </c>
      <c r="P1607" t="str">
        <f>"04"</f>
        <v>04</v>
      </c>
      <c r="Q1607" t="s">
        <v>835</v>
      </c>
      <c r="S1607" t="s">
        <v>836</v>
      </c>
      <c r="T1607" t="s">
        <v>836</v>
      </c>
      <c r="U1607" t="str">
        <f>"2500-12-31 00:00:00.0"</f>
        <v>2500-12-31 00:00:00.0</v>
      </c>
      <c r="V1607" t="s">
        <v>837</v>
      </c>
      <c r="W1607" t="str">
        <f t="shared" ref="W1607:W1612" si="457">"048314-038430-**-**"</f>
        <v>048314-038430-**-**</v>
      </c>
      <c r="X1607" t="s">
        <v>838</v>
      </c>
      <c r="Y1607">
        <v>1206.25</v>
      </c>
      <c r="Z1607">
        <v>1206.25</v>
      </c>
      <c r="AA1607" t="str">
        <f t="shared" si="456"/>
        <v>06/08/2016</v>
      </c>
    </row>
    <row r="1608" spans="1:27" x14ac:dyDescent="0.3">
      <c r="A1608" t="str">
        <f t="shared" si="454"/>
        <v>048314</v>
      </c>
      <c r="B1608" t="str">
        <f t="shared" si="445"/>
        <v>038430</v>
      </c>
      <c r="C1608" t="s">
        <v>855</v>
      </c>
      <c r="D1608" t="s">
        <v>3839</v>
      </c>
      <c r="E1608" t="s">
        <v>3840</v>
      </c>
      <c r="F1608" t="s">
        <v>3841</v>
      </c>
      <c r="G1608" t="s">
        <v>3842</v>
      </c>
      <c r="H1608" t="str">
        <f t="shared" si="455"/>
        <v>048314</v>
      </c>
      <c r="I1608" t="s">
        <v>833</v>
      </c>
      <c r="J1608" t="str">
        <f>"2015-07-01 00:00:00.0"</f>
        <v>2015-07-01 00:00:00.0</v>
      </c>
      <c r="K1608" t="s">
        <v>834</v>
      </c>
      <c r="L1608" t="s">
        <v>0</v>
      </c>
      <c r="M1608" t="str">
        <f t="shared" si="442"/>
        <v>048314</v>
      </c>
      <c r="N1608">
        <v>1</v>
      </c>
      <c r="O1608">
        <v>1</v>
      </c>
      <c r="P1608" t="str">
        <f>"04"</f>
        <v>04</v>
      </c>
      <c r="Q1608" t="s">
        <v>835</v>
      </c>
      <c r="S1608" t="s">
        <v>836</v>
      </c>
      <c r="T1608" t="s">
        <v>836</v>
      </c>
      <c r="U1608" t="str">
        <f>"2500-12-31 00:00:00.0"</f>
        <v>2500-12-31 00:00:00.0</v>
      </c>
      <c r="V1608" t="s">
        <v>837</v>
      </c>
      <c r="W1608" t="str">
        <f t="shared" si="457"/>
        <v>048314-038430-**-**</v>
      </c>
      <c r="X1608" t="s">
        <v>838</v>
      </c>
      <c r="Y1608">
        <v>1206.25</v>
      </c>
      <c r="Z1608">
        <v>1206.25</v>
      </c>
      <c r="AA1608" t="str">
        <f t="shared" si="456"/>
        <v>06/08/2016</v>
      </c>
    </row>
    <row r="1609" spans="1:27" x14ac:dyDescent="0.3">
      <c r="A1609" t="str">
        <f t="shared" si="454"/>
        <v>048314</v>
      </c>
      <c r="B1609" t="str">
        <f t="shared" si="445"/>
        <v>038430</v>
      </c>
      <c r="C1609" t="s">
        <v>1566</v>
      </c>
      <c r="D1609" t="s">
        <v>3839</v>
      </c>
      <c r="E1609" t="s">
        <v>3840</v>
      </c>
      <c r="F1609" t="s">
        <v>3841</v>
      </c>
      <c r="G1609" t="s">
        <v>3842</v>
      </c>
      <c r="H1609" t="str">
        <f t="shared" si="455"/>
        <v>048314</v>
      </c>
      <c r="I1609" t="s">
        <v>833</v>
      </c>
      <c r="J1609" t="str">
        <f>"2015-07-01 00:00:00.0"</f>
        <v>2015-07-01 00:00:00.0</v>
      </c>
      <c r="K1609" t="s">
        <v>834</v>
      </c>
      <c r="L1609" t="s">
        <v>0</v>
      </c>
      <c r="M1609" t="str">
        <f t="shared" si="442"/>
        <v>048314</v>
      </c>
      <c r="N1609">
        <v>1</v>
      </c>
      <c r="O1609">
        <v>1</v>
      </c>
      <c r="P1609" t="str">
        <f>"02"</f>
        <v>02</v>
      </c>
      <c r="Q1609" t="s">
        <v>835</v>
      </c>
      <c r="S1609" t="s">
        <v>836</v>
      </c>
      <c r="T1609" t="s">
        <v>836</v>
      </c>
      <c r="U1609" t="str">
        <f>"2500-12-31 00:00:00.0"</f>
        <v>2500-12-31 00:00:00.0</v>
      </c>
      <c r="V1609" t="s">
        <v>837</v>
      </c>
      <c r="W1609" t="str">
        <f t="shared" si="457"/>
        <v>048314-038430-**-**</v>
      </c>
      <c r="X1609" t="s">
        <v>838</v>
      </c>
      <c r="Y1609">
        <v>1206.25</v>
      </c>
      <c r="Z1609">
        <v>1206.25</v>
      </c>
      <c r="AA1609" t="str">
        <f t="shared" si="456"/>
        <v>06/08/2016</v>
      </c>
    </row>
    <row r="1610" spans="1:27" x14ac:dyDescent="0.3">
      <c r="A1610" t="str">
        <f t="shared" si="454"/>
        <v>048314</v>
      </c>
      <c r="B1610" t="str">
        <f t="shared" si="445"/>
        <v>038430</v>
      </c>
      <c r="C1610" t="s">
        <v>3234</v>
      </c>
      <c r="D1610" t="s">
        <v>3839</v>
      </c>
      <c r="E1610" t="s">
        <v>3840</v>
      </c>
      <c r="F1610" t="s">
        <v>3841</v>
      </c>
      <c r="G1610" t="s">
        <v>3842</v>
      </c>
      <c r="H1610" t="str">
        <f t="shared" si="455"/>
        <v>048314</v>
      </c>
      <c r="I1610" t="s">
        <v>833</v>
      </c>
      <c r="J1610" t="str">
        <f>"2015-07-01 00:00:00.0"</f>
        <v>2015-07-01 00:00:00.0</v>
      </c>
      <c r="K1610" t="s">
        <v>834</v>
      </c>
      <c r="L1610" t="s">
        <v>0</v>
      </c>
      <c r="M1610" t="str">
        <f t="shared" si="442"/>
        <v>048314</v>
      </c>
      <c r="N1610">
        <v>0.80310899999999996</v>
      </c>
      <c r="O1610">
        <v>0.80310899999999996</v>
      </c>
      <c r="P1610" t="str">
        <f>"02"</f>
        <v>02</v>
      </c>
      <c r="Q1610" t="s">
        <v>835</v>
      </c>
      <c r="S1610" t="s">
        <v>860</v>
      </c>
      <c r="T1610" t="s">
        <v>836</v>
      </c>
      <c r="U1610" t="str">
        <f>"2016-04-14 00:00:00.0"</f>
        <v>2016-04-14 00:00:00.0</v>
      </c>
      <c r="V1610" t="s">
        <v>837</v>
      </c>
      <c r="W1610" t="str">
        <f t="shared" si="457"/>
        <v>048314-038430-**-**</v>
      </c>
      <c r="X1610" t="s">
        <v>838</v>
      </c>
      <c r="Y1610">
        <v>968.75</v>
      </c>
      <c r="Z1610">
        <v>1206.25</v>
      </c>
      <c r="AA1610" t="str">
        <f t="shared" si="456"/>
        <v>06/08/2016</v>
      </c>
    </row>
    <row r="1611" spans="1:27" x14ac:dyDescent="0.3">
      <c r="A1611" t="str">
        <f t="shared" si="454"/>
        <v>048314</v>
      </c>
      <c r="B1611" t="str">
        <f t="shared" si="445"/>
        <v>038430</v>
      </c>
      <c r="C1611" t="s">
        <v>3234</v>
      </c>
      <c r="D1611" t="s">
        <v>3839</v>
      </c>
      <c r="E1611" t="s">
        <v>3840</v>
      </c>
      <c r="F1611" t="s">
        <v>3841</v>
      </c>
      <c r="G1611" t="s">
        <v>3842</v>
      </c>
      <c r="H1611" t="str">
        <f t="shared" si="455"/>
        <v>048314</v>
      </c>
      <c r="I1611" t="s">
        <v>833</v>
      </c>
      <c r="J1611" t="str">
        <f>"2016-04-15 00:00:00.0"</f>
        <v>2016-04-15 00:00:00.0</v>
      </c>
      <c r="K1611" t="s">
        <v>834</v>
      </c>
      <c r="L1611" t="s">
        <v>0</v>
      </c>
      <c r="M1611" t="str">
        <f t="shared" si="442"/>
        <v>048314</v>
      </c>
      <c r="N1611">
        <v>0.19689100000000001</v>
      </c>
      <c r="O1611">
        <v>0.19689100000000001</v>
      </c>
      <c r="P1611" t="str">
        <f>"02"</f>
        <v>02</v>
      </c>
      <c r="Q1611" t="str">
        <f>"10"</f>
        <v>10</v>
      </c>
      <c r="R1611" t="str">
        <f>"2"</f>
        <v>2</v>
      </c>
      <c r="S1611" t="s">
        <v>860</v>
      </c>
      <c r="T1611" t="s">
        <v>836</v>
      </c>
      <c r="U1611" t="str">
        <f t="shared" ref="U1611:U1645" si="458">"2500-12-31 00:00:00.0"</f>
        <v>2500-12-31 00:00:00.0</v>
      </c>
      <c r="V1611" t="s">
        <v>837</v>
      </c>
      <c r="W1611" t="str">
        <f t="shared" si="457"/>
        <v>048314-038430-**-**</v>
      </c>
      <c r="X1611" t="s">
        <v>838</v>
      </c>
      <c r="Y1611">
        <v>237.5</v>
      </c>
      <c r="Z1611">
        <v>1206.25</v>
      </c>
      <c r="AA1611" t="str">
        <f t="shared" si="456"/>
        <v>06/08/2016</v>
      </c>
    </row>
    <row r="1612" spans="1:27" x14ac:dyDescent="0.3">
      <c r="A1612" t="str">
        <f t="shared" si="454"/>
        <v>048314</v>
      </c>
      <c r="B1612" t="str">
        <f t="shared" si="445"/>
        <v>038430</v>
      </c>
      <c r="C1612" t="s">
        <v>1115</v>
      </c>
      <c r="D1612" t="s">
        <v>3839</v>
      </c>
      <c r="E1612" t="s">
        <v>3840</v>
      </c>
      <c r="F1612" t="s">
        <v>3841</v>
      </c>
      <c r="G1612" t="s">
        <v>3842</v>
      </c>
      <c r="H1612" t="str">
        <f t="shared" si="455"/>
        <v>048314</v>
      </c>
      <c r="I1612" t="s">
        <v>833</v>
      </c>
      <c r="J1612" t="str">
        <f>"2015-08-01 00:00:00.0"</f>
        <v>2015-08-01 00:00:00.0</v>
      </c>
      <c r="K1612" t="s">
        <v>834</v>
      </c>
      <c r="L1612" t="s">
        <v>0</v>
      </c>
      <c r="M1612" t="str">
        <f t="shared" si="442"/>
        <v>048314</v>
      </c>
      <c r="N1612">
        <v>1</v>
      </c>
      <c r="O1612">
        <v>1</v>
      </c>
      <c r="P1612" t="s">
        <v>764</v>
      </c>
      <c r="Q1612" t="s">
        <v>835</v>
      </c>
      <c r="S1612" t="s">
        <v>836</v>
      </c>
      <c r="T1612" t="s">
        <v>836</v>
      </c>
      <c r="U1612" t="str">
        <f t="shared" si="458"/>
        <v>2500-12-31 00:00:00.0</v>
      </c>
      <c r="V1612" t="s">
        <v>837</v>
      </c>
      <c r="W1612" t="str">
        <f t="shared" si="457"/>
        <v>048314-038430-**-**</v>
      </c>
      <c r="X1612" t="s">
        <v>838</v>
      </c>
      <c r="Y1612">
        <v>1206.25</v>
      </c>
      <c r="Z1612">
        <v>1206.25</v>
      </c>
      <c r="AA1612" t="str">
        <f t="shared" si="456"/>
        <v>06/08/2016</v>
      </c>
    </row>
    <row r="1613" spans="1:27" x14ac:dyDescent="0.3">
      <c r="A1613" t="str">
        <f t="shared" si="454"/>
        <v>048314</v>
      </c>
      <c r="B1613" t="str">
        <f t="shared" si="445"/>
        <v>038430</v>
      </c>
      <c r="C1613" t="s">
        <v>3121</v>
      </c>
      <c r="D1613" t="s">
        <v>3839</v>
      </c>
      <c r="E1613" t="s">
        <v>3840</v>
      </c>
      <c r="F1613" t="s">
        <v>3841</v>
      </c>
      <c r="G1613" t="s">
        <v>3842</v>
      </c>
      <c r="H1613" t="str">
        <f>"048363"</f>
        <v>048363</v>
      </c>
      <c r="I1613" t="s">
        <v>833</v>
      </c>
      <c r="J1613" t="str">
        <f t="shared" ref="J1613:J1623" si="459">"2015-07-01 00:00:00.0"</f>
        <v>2015-07-01 00:00:00.0</v>
      </c>
      <c r="K1613" t="s">
        <v>834</v>
      </c>
      <c r="L1613" t="s">
        <v>1</v>
      </c>
      <c r="M1613" t="str">
        <f t="shared" si="442"/>
        <v>048314</v>
      </c>
      <c r="N1613">
        <v>1</v>
      </c>
      <c r="O1613">
        <v>1</v>
      </c>
      <c r="P1613" t="s">
        <v>764</v>
      </c>
      <c r="Q1613" t="s">
        <v>835</v>
      </c>
      <c r="S1613" t="s">
        <v>860</v>
      </c>
      <c r="T1613" t="s">
        <v>836</v>
      </c>
      <c r="U1613" t="str">
        <f t="shared" si="458"/>
        <v>2500-12-31 00:00:00.0</v>
      </c>
      <c r="V1613" t="s">
        <v>837</v>
      </c>
      <c r="W1613" t="str">
        <f>"048363-026211-**-**"</f>
        <v>048363-026211-**-**</v>
      </c>
      <c r="X1613" t="s">
        <v>838</v>
      </c>
      <c r="Y1613">
        <v>1127</v>
      </c>
      <c r="Z1613">
        <v>1127</v>
      </c>
      <c r="AA1613" t="str">
        <f>"06/15/2016"</f>
        <v>06/15/2016</v>
      </c>
    </row>
    <row r="1614" spans="1:27" x14ac:dyDescent="0.3">
      <c r="A1614" t="str">
        <f t="shared" si="454"/>
        <v>048314</v>
      </c>
      <c r="B1614" t="str">
        <f t="shared" si="445"/>
        <v>038430</v>
      </c>
      <c r="C1614" t="s">
        <v>2953</v>
      </c>
      <c r="D1614" t="s">
        <v>3839</v>
      </c>
      <c r="E1614" t="s">
        <v>3840</v>
      </c>
      <c r="F1614" t="s">
        <v>3841</v>
      </c>
      <c r="G1614" t="s">
        <v>3842</v>
      </c>
      <c r="H1614" t="str">
        <f>"048363"</f>
        <v>048363</v>
      </c>
      <c r="I1614" t="s">
        <v>833</v>
      </c>
      <c r="J1614" t="str">
        <f t="shared" si="459"/>
        <v>2015-07-01 00:00:00.0</v>
      </c>
      <c r="K1614" t="s">
        <v>834</v>
      </c>
      <c r="L1614" t="s">
        <v>1</v>
      </c>
      <c r="M1614" t="str">
        <f t="shared" si="442"/>
        <v>048314</v>
      </c>
      <c r="N1614">
        <v>1</v>
      </c>
      <c r="O1614">
        <v>1</v>
      </c>
      <c r="P1614" t="str">
        <f>"02"</f>
        <v>02</v>
      </c>
      <c r="Q1614" t="s">
        <v>835</v>
      </c>
      <c r="S1614" t="s">
        <v>860</v>
      </c>
      <c r="T1614" t="s">
        <v>836</v>
      </c>
      <c r="U1614" t="str">
        <f t="shared" si="458"/>
        <v>2500-12-31 00:00:00.0</v>
      </c>
      <c r="V1614" t="s">
        <v>837</v>
      </c>
      <c r="W1614" t="str">
        <f>"048363-026211-**-**"</f>
        <v>048363-026211-**-**</v>
      </c>
      <c r="X1614" t="s">
        <v>838</v>
      </c>
      <c r="Y1614">
        <v>1127</v>
      </c>
      <c r="Z1614">
        <v>1127</v>
      </c>
      <c r="AA1614" t="str">
        <f>"06/15/2016"</f>
        <v>06/15/2016</v>
      </c>
    </row>
    <row r="1615" spans="1:27" x14ac:dyDescent="0.3">
      <c r="A1615" t="str">
        <f t="shared" si="454"/>
        <v>048314</v>
      </c>
      <c r="B1615" t="str">
        <f t="shared" si="445"/>
        <v>038430</v>
      </c>
      <c r="C1615" t="s">
        <v>1496</v>
      </c>
      <c r="D1615" t="s">
        <v>3839</v>
      </c>
      <c r="E1615" t="s">
        <v>3840</v>
      </c>
      <c r="F1615" t="s">
        <v>3841</v>
      </c>
      <c r="G1615" t="s">
        <v>3842</v>
      </c>
      <c r="H1615" t="str">
        <f t="shared" ref="H1615:H1626" si="460">"048314"</f>
        <v>048314</v>
      </c>
      <c r="I1615" t="s">
        <v>833</v>
      </c>
      <c r="J1615" t="str">
        <f t="shared" si="459"/>
        <v>2015-07-01 00:00:00.0</v>
      </c>
      <c r="K1615" t="s">
        <v>834</v>
      </c>
      <c r="L1615" t="s">
        <v>0</v>
      </c>
      <c r="M1615" t="str">
        <f t="shared" si="442"/>
        <v>048314</v>
      </c>
      <c r="N1615">
        <v>1</v>
      </c>
      <c r="O1615">
        <v>1</v>
      </c>
      <c r="P1615" t="str">
        <f>"01"</f>
        <v>01</v>
      </c>
      <c r="Q1615" t="s">
        <v>835</v>
      </c>
      <c r="S1615" t="s">
        <v>836</v>
      </c>
      <c r="T1615" t="s">
        <v>836</v>
      </c>
      <c r="U1615" t="str">
        <f t="shared" si="458"/>
        <v>2500-12-31 00:00:00.0</v>
      </c>
      <c r="V1615" t="s">
        <v>837</v>
      </c>
      <c r="W1615" t="str">
        <f>"048314-038430-**-**"</f>
        <v>048314-038430-**-**</v>
      </c>
      <c r="X1615" t="s">
        <v>838</v>
      </c>
      <c r="Y1615">
        <v>1206.25</v>
      </c>
      <c r="Z1615">
        <v>1206.25</v>
      </c>
      <c r="AA1615" t="str">
        <f t="shared" ref="AA1615:AA1626" si="461">"06/08/2016"</f>
        <v>06/08/2016</v>
      </c>
    </row>
    <row r="1616" spans="1:27" x14ac:dyDescent="0.3">
      <c r="A1616" t="str">
        <f t="shared" si="454"/>
        <v>048314</v>
      </c>
      <c r="B1616" t="str">
        <f t="shared" si="445"/>
        <v>038430</v>
      </c>
      <c r="C1616" t="s">
        <v>3351</v>
      </c>
      <c r="D1616" t="s">
        <v>3839</v>
      </c>
      <c r="E1616" t="s">
        <v>3840</v>
      </c>
      <c r="F1616" t="s">
        <v>3841</v>
      </c>
      <c r="G1616" t="s">
        <v>3842</v>
      </c>
      <c r="H1616" t="str">
        <f t="shared" si="460"/>
        <v>048314</v>
      </c>
      <c r="I1616" t="s">
        <v>833</v>
      </c>
      <c r="J1616" t="str">
        <f t="shared" si="459"/>
        <v>2015-07-01 00:00:00.0</v>
      </c>
      <c r="K1616" t="s">
        <v>834</v>
      </c>
      <c r="L1616" t="s">
        <v>0</v>
      </c>
      <c r="M1616" t="str">
        <f t="shared" si="442"/>
        <v>048314</v>
      </c>
      <c r="N1616">
        <v>1</v>
      </c>
      <c r="O1616">
        <v>1</v>
      </c>
      <c r="P1616" t="str">
        <f>"04"</f>
        <v>04</v>
      </c>
      <c r="Q1616" t="s">
        <v>835</v>
      </c>
      <c r="S1616" t="s">
        <v>836</v>
      </c>
      <c r="T1616" t="s">
        <v>836</v>
      </c>
      <c r="U1616" t="str">
        <f t="shared" si="458"/>
        <v>2500-12-31 00:00:00.0</v>
      </c>
      <c r="V1616" t="s">
        <v>837</v>
      </c>
      <c r="W1616" t="str">
        <f>"048314-038430-**-**"</f>
        <v>048314-038430-**-**</v>
      </c>
      <c r="X1616" t="s">
        <v>838</v>
      </c>
      <c r="Y1616">
        <v>1206.25</v>
      </c>
      <c r="Z1616">
        <v>1206.25</v>
      </c>
      <c r="AA1616" t="str">
        <f t="shared" si="461"/>
        <v>06/08/2016</v>
      </c>
    </row>
    <row r="1617" spans="1:27" x14ac:dyDescent="0.3">
      <c r="A1617" t="str">
        <f t="shared" si="454"/>
        <v>048314</v>
      </c>
      <c r="B1617" t="str">
        <f t="shared" si="445"/>
        <v>038430</v>
      </c>
      <c r="C1617" t="s">
        <v>3407</v>
      </c>
      <c r="D1617" t="s">
        <v>3839</v>
      </c>
      <c r="E1617" t="s">
        <v>3840</v>
      </c>
      <c r="F1617" t="s">
        <v>3841</v>
      </c>
      <c r="G1617" t="s">
        <v>3842</v>
      </c>
      <c r="H1617" t="str">
        <f t="shared" si="460"/>
        <v>048314</v>
      </c>
      <c r="I1617" t="s">
        <v>833</v>
      </c>
      <c r="J1617" t="str">
        <f t="shared" si="459"/>
        <v>2015-07-01 00:00:00.0</v>
      </c>
      <c r="K1617" t="s">
        <v>834</v>
      </c>
      <c r="L1617" t="s">
        <v>0</v>
      </c>
      <c r="M1617" t="str">
        <f t="shared" si="442"/>
        <v>048314</v>
      </c>
      <c r="N1617">
        <v>1</v>
      </c>
      <c r="O1617">
        <v>1</v>
      </c>
      <c r="P1617" t="str">
        <f>"05"</f>
        <v>05</v>
      </c>
      <c r="Q1617" t="str">
        <f>"10"</f>
        <v>10</v>
      </c>
      <c r="R1617" t="str">
        <f>"2"</f>
        <v>2</v>
      </c>
      <c r="S1617" t="s">
        <v>860</v>
      </c>
      <c r="T1617" t="s">
        <v>836</v>
      </c>
      <c r="U1617" t="str">
        <f t="shared" si="458"/>
        <v>2500-12-31 00:00:00.0</v>
      </c>
      <c r="V1617" t="s">
        <v>837</v>
      </c>
      <c r="W1617" t="str">
        <f>"048314-070417-**-**"</f>
        <v>048314-070417-**-**</v>
      </c>
      <c r="X1617" t="s">
        <v>838</v>
      </c>
      <c r="Y1617">
        <v>1125</v>
      </c>
      <c r="Z1617">
        <v>1125</v>
      </c>
      <c r="AA1617" t="str">
        <f t="shared" si="461"/>
        <v>06/08/2016</v>
      </c>
    </row>
    <row r="1618" spans="1:27" x14ac:dyDescent="0.3">
      <c r="A1618" t="str">
        <f t="shared" si="454"/>
        <v>048314</v>
      </c>
      <c r="B1618" t="str">
        <f t="shared" si="445"/>
        <v>038430</v>
      </c>
      <c r="C1618" t="s">
        <v>3271</v>
      </c>
      <c r="D1618" t="s">
        <v>3839</v>
      </c>
      <c r="E1618" t="s">
        <v>3840</v>
      </c>
      <c r="F1618" t="s">
        <v>3841</v>
      </c>
      <c r="G1618" t="s">
        <v>3842</v>
      </c>
      <c r="H1618" t="str">
        <f t="shared" si="460"/>
        <v>048314</v>
      </c>
      <c r="I1618" t="s">
        <v>833</v>
      </c>
      <c r="J1618" t="str">
        <f t="shared" si="459"/>
        <v>2015-07-01 00:00:00.0</v>
      </c>
      <c r="K1618" t="s">
        <v>834</v>
      </c>
      <c r="L1618" t="s">
        <v>0</v>
      </c>
      <c r="M1618" t="str">
        <f t="shared" si="442"/>
        <v>048314</v>
      </c>
      <c r="N1618">
        <v>1</v>
      </c>
      <c r="O1618">
        <v>1</v>
      </c>
      <c r="P1618" t="str">
        <f>"05"</f>
        <v>05</v>
      </c>
      <c r="Q1618" t="s">
        <v>835</v>
      </c>
      <c r="S1618" t="s">
        <v>836</v>
      </c>
      <c r="T1618" t="s">
        <v>836</v>
      </c>
      <c r="U1618" t="str">
        <f t="shared" si="458"/>
        <v>2500-12-31 00:00:00.0</v>
      </c>
      <c r="V1618" t="s">
        <v>837</v>
      </c>
      <c r="W1618" t="str">
        <f>"048314-070417-**-**"</f>
        <v>048314-070417-**-**</v>
      </c>
      <c r="X1618" t="s">
        <v>838</v>
      </c>
      <c r="Y1618">
        <v>1125</v>
      </c>
      <c r="Z1618">
        <v>1125</v>
      </c>
      <c r="AA1618" t="str">
        <f t="shared" si="461"/>
        <v>06/08/2016</v>
      </c>
    </row>
    <row r="1619" spans="1:27" x14ac:dyDescent="0.3">
      <c r="A1619" t="str">
        <f t="shared" si="454"/>
        <v>048314</v>
      </c>
      <c r="B1619" t="str">
        <f t="shared" si="445"/>
        <v>038430</v>
      </c>
      <c r="C1619" t="s">
        <v>2981</v>
      </c>
      <c r="D1619" t="s">
        <v>3839</v>
      </c>
      <c r="E1619" t="s">
        <v>3840</v>
      </c>
      <c r="F1619" t="s">
        <v>3841</v>
      </c>
      <c r="G1619" t="s">
        <v>3842</v>
      </c>
      <c r="H1619" t="str">
        <f t="shared" si="460"/>
        <v>048314</v>
      </c>
      <c r="I1619" t="s">
        <v>833</v>
      </c>
      <c r="J1619" t="str">
        <f t="shared" si="459"/>
        <v>2015-07-01 00:00:00.0</v>
      </c>
      <c r="K1619" t="s">
        <v>834</v>
      </c>
      <c r="L1619" t="s">
        <v>0</v>
      </c>
      <c r="M1619" t="str">
        <f t="shared" si="442"/>
        <v>048314</v>
      </c>
      <c r="N1619">
        <v>1</v>
      </c>
      <c r="O1619">
        <v>1</v>
      </c>
      <c r="P1619" t="str">
        <f>"02"</f>
        <v>02</v>
      </c>
      <c r="Q1619" t="s">
        <v>835</v>
      </c>
      <c r="S1619" t="s">
        <v>836</v>
      </c>
      <c r="T1619" t="s">
        <v>836</v>
      </c>
      <c r="U1619" t="str">
        <f t="shared" si="458"/>
        <v>2500-12-31 00:00:00.0</v>
      </c>
      <c r="V1619" t="s">
        <v>837</v>
      </c>
      <c r="W1619" t="str">
        <f>"048314-038430-**-**"</f>
        <v>048314-038430-**-**</v>
      </c>
      <c r="X1619" t="s">
        <v>838</v>
      </c>
      <c r="Y1619">
        <v>1206.25</v>
      </c>
      <c r="Z1619">
        <v>1206.25</v>
      </c>
      <c r="AA1619" t="str">
        <f t="shared" si="461"/>
        <v>06/08/2016</v>
      </c>
    </row>
    <row r="1620" spans="1:27" x14ac:dyDescent="0.3">
      <c r="A1620" t="str">
        <f t="shared" si="454"/>
        <v>048314</v>
      </c>
      <c r="B1620" t="str">
        <f t="shared" si="445"/>
        <v>038430</v>
      </c>
      <c r="C1620" t="s">
        <v>2849</v>
      </c>
      <c r="D1620" t="s">
        <v>3839</v>
      </c>
      <c r="E1620" t="s">
        <v>3840</v>
      </c>
      <c r="F1620" t="s">
        <v>3841</v>
      </c>
      <c r="G1620" t="s">
        <v>3842</v>
      </c>
      <c r="H1620" t="str">
        <f t="shared" si="460"/>
        <v>048314</v>
      </c>
      <c r="I1620" t="s">
        <v>833</v>
      </c>
      <c r="J1620" t="str">
        <f t="shared" si="459"/>
        <v>2015-07-01 00:00:00.0</v>
      </c>
      <c r="K1620" t="s">
        <v>834</v>
      </c>
      <c r="L1620" t="s">
        <v>0</v>
      </c>
      <c r="M1620" t="str">
        <f t="shared" si="442"/>
        <v>048314</v>
      </c>
      <c r="N1620">
        <v>1</v>
      </c>
      <c r="O1620">
        <v>1</v>
      </c>
      <c r="P1620" t="str">
        <f>"05"</f>
        <v>05</v>
      </c>
      <c r="Q1620" t="s">
        <v>835</v>
      </c>
      <c r="S1620" t="s">
        <v>836</v>
      </c>
      <c r="T1620" t="s">
        <v>836</v>
      </c>
      <c r="U1620" t="str">
        <f t="shared" si="458"/>
        <v>2500-12-31 00:00:00.0</v>
      </c>
      <c r="V1620" t="s">
        <v>837</v>
      </c>
      <c r="W1620" t="str">
        <f>"048314-070417-**-**"</f>
        <v>048314-070417-**-**</v>
      </c>
      <c r="X1620" t="s">
        <v>838</v>
      </c>
      <c r="Y1620">
        <v>1125</v>
      </c>
      <c r="Z1620">
        <v>1125</v>
      </c>
      <c r="AA1620" t="str">
        <f t="shared" si="461"/>
        <v>06/08/2016</v>
      </c>
    </row>
    <row r="1621" spans="1:27" x14ac:dyDescent="0.3">
      <c r="A1621" t="str">
        <f t="shared" si="454"/>
        <v>048314</v>
      </c>
      <c r="B1621" t="str">
        <f t="shared" si="445"/>
        <v>038430</v>
      </c>
      <c r="C1621" t="s">
        <v>2951</v>
      </c>
      <c r="D1621" t="s">
        <v>3839</v>
      </c>
      <c r="E1621" t="s">
        <v>3840</v>
      </c>
      <c r="F1621" t="s">
        <v>3841</v>
      </c>
      <c r="G1621" t="s">
        <v>3842</v>
      </c>
      <c r="H1621" t="str">
        <f t="shared" si="460"/>
        <v>048314</v>
      </c>
      <c r="I1621" t="s">
        <v>833</v>
      </c>
      <c r="J1621" t="str">
        <f t="shared" si="459"/>
        <v>2015-07-01 00:00:00.0</v>
      </c>
      <c r="K1621" t="s">
        <v>834</v>
      </c>
      <c r="L1621" t="s">
        <v>0</v>
      </c>
      <c r="M1621" t="str">
        <f t="shared" si="442"/>
        <v>048314</v>
      </c>
      <c r="N1621">
        <v>1</v>
      </c>
      <c r="O1621">
        <v>1</v>
      </c>
      <c r="P1621" t="str">
        <f>"02"</f>
        <v>02</v>
      </c>
      <c r="Q1621" t="s">
        <v>835</v>
      </c>
      <c r="S1621" t="s">
        <v>836</v>
      </c>
      <c r="T1621" t="s">
        <v>836</v>
      </c>
      <c r="U1621" t="str">
        <f t="shared" si="458"/>
        <v>2500-12-31 00:00:00.0</v>
      </c>
      <c r="V1621" t="s">
        <v>837</v>
      </c>
      <c r="W1621" t="str">
        <f>"048314-038430-**-**"</f>
        <v>048314-038430-**-**</v>
      </c>
      <c r="X1621" t="s">
        <v>838</v>
      </c>
      <c r="Y1621">
        <v>1206.25</v>
      </c>
      <c r="Z1621">
        <v>1206.25</v>
      </c>
      <c r="AA1621" t="str">
        <f t="shared" si="461"/>
        <v>06/08/2016</v>
      </c>
    </row>
    <row r="1622" spans="1:27" x14ac:dyDescent="0.3">
      <c r="A1622" t="str">
        <f t="shared" si="454"/>
        <v>048314</v>
      </c>
      <c r="B1622" t="str">
        <f t="shared" si="445"/>
        <v>038430</v>
      </c>
      <c r="C1622" t="s">
        <v>3514</v>
      </c>
      <c r="D1622" t="s">
        <v>3839</v>
      </c>
      <c r="E1622" t="s">
        <v>3840</v>
      </c>
      <c r="F1622" t="s">
        <v>3841</v>
      </c>
      <c r="G1622" t="s">
        <v>3842</v>
      </c>
      <c r="H1622" t="str">
        <f t="shared" si="460"/>
        <v>048314</v>
      </c>
      <c r="I1622" t="s">
        <v>833</v>
      </c>
      <c r="J1622" t="str">
        <f t="shared" si="459"/>
        <v>2015-07-01 00:00:00.0</v>
      </c>
      <c r="K1622" t="s">
        <v>834</v>
      </c>
      <c r="L1622" t="s">
        <v>0</v>
      </c>
      <c r="M1622" t="str">
        <f t="shared" ref="M1622:M1685" si="462">"048314"</f>
        <v>048314</v>
      </c>
      <c r="N1622">
        <v>1</v>
      </c>
      <c r="O1622">
        <v>1</v>
      </c>
      <c r="P1622" t="str">
        <f>"04"</f>
        <v>04</v>
      </c>
      <c r="Q1622" t="s">
        <v>835</v>
      </c>
      <c r="S1622" t="s">
        <v>836</v>
      </c>
      <c r="T1622" t="s">
        <v>836</v>
      </c>
      <c r="U1622" t="str">
        <f t="shared" si="458"/>
        <v>2500-12-31 00:00:00.0</v>
      </c>
      <c r="V1622" t="s">
        <v>837</v>
      </c>
      <c r="W1622" t="str">
        <f>"048314-038430-**-**"</f>
        <v>048314-038430-**-**</v>
      </c>
      <c r="X1622" t="s">
        <v>838</v>
      </c>
      <c r="Y1622">
        <v>1206.25</v>
      </c>
      <c r="Z1622">
        <v>1206.25</v>
      </c>
      <c r="AA1622" t="str">
        <f t="shared" si="461"/>
        <v>06/08/2016</v>
      </c>
    </row>
    <row r="1623" spans="1:27" x14ac:dyDescent="0.3">
      <c r="A1623" t="str">
        <f t="shared" si="454"/>
        <v>048314</v>
      </c>
      <c r="B1623" t="str">
        <f t="shared" si="445"/>
        <v>038430</v>
      </c>
      <c r="C1623" t="s">
        <v>2850</v>
      </c>
      <c r="D1623" t="s">
        <v>3839</v>
      </c>
      <c r="E1623" t="s">
        <v>3840</v>
      </c>
      <c r="F1623" t="s">
        <v>3841</v>
      </c>
      <c r="G1623" t="s">
        <v>3842</v>
      </c>
      <c r="H1623" t="str">
        <f t="shared" si="460"/>
        <v>048314</v>
      </c>
      <c r="I1623" t="s">
        <v>833</v>
      </c>
      <c r="J1623" t="str">
        <f t="shared" si="459"/>
        <v>2015-07-01 00:00:00.0</v>
      </c>
      <c r="K1623" t="s">
        <v>834</v>
      </c>
      <c r="L1623" t="s">
        <v>0</v>
      </c>
      <c r="M1623" t="str">
        <f t="shared" si="462"/>
        <v>048314</v>
      </c>
      <c r="N1623">
        <v>1</v>
      </c>
      <c r="O1623">
        <v>1</v>
      </c>
      <c r="P1623" t="str">
        <f>"05"</f>
        <v>05</v>
      </c>
      <c r="Q1623" t="str">
        <f>"10"</f>
        <v>10</v>
      </c>
      <c r="R1623" t="str">
        <f>"2"</f>
        <v>2</v>
      </c>
      <c r="S1623" t="s">
        <v>836</v>
      </c>
      <c r="T1623" t="s">
        <v>836</v>
      </c>
      <c r="U1623" t="str">
        <f t="shared" si="458"/>
        <v>2500-12-31 00:00:00.0</v>
      </c>
      <c r="V1623" t="s">
        <v>837</v>
      </c>
      <c r="W1623" t="str">
        <f>"048314-070417-**-**"</f>
        <v>048314-070417-**-**</v>
      </c>
      <c r="X1623" t="s">
        <v>838</v>
      </c>
      <c r="Y1623">
        <v>1125</v>
      </c>
      <c r="Z1623">
        <v>1125</v>
      </c>
      <c r="AA1623" t="str">
        <f t="shared" si="461"/>
        <v>06/08/2016</v>
      </c>
    </row>
    <row r="1624" spans="1:27" x14ac:dyDescent="0.3">
      <c r="A1624" t="str">
        <f t="shared" si="454"/>
        <v>048314</v>
      </c>
      <c r="B1624" t="str">
        <f t="shared" si="445"/>
        <v>038430</v>
      </c>
      <c r="C1624" t="s">
        <v>2326</v>
      </c>
      <c r="D1624" t="s">
        <v>3839</v>
      </c>
      <c r="E1624" t="s">
        <v>3840</v>
      </c>
      <c r="F1624" t="s">
        <v>3841</v>
      </c>
      <c r="G1624" t="s">
        <v>3842</v>
      </c>
      <c r="H1624" t="str">
        <f t="shared" si="460"/>
        <v>048314</v>
      </c>
      <c r="I1624" t="s">
        <v>833</v>
      </c>
      <c r="J1624" t="str">
        <f>"2015-08-31 00:00:00.0"</f>
        <v>2015-08-31 00:00:00.0</v>
      </c>
      <c r="K1624" t="s">
        <v>834</v>
      </c>
      <c r="L1624" t="s">
        <v>0</v>
      </c>
      <c r="M1624" t="str">
        <f t="shared" si="462"/>
        <v>048314</v>
      </c>
      <c r="N1624">
        <v>1</v>
      </c>
      <c r="O1624">
        <v>1</v>
      </c>
      <c r="P1624" t="s">
        <v>764</v>
      </c>
      <c r="Q1624" t="s">
        <v>835</v>
      </c>
      <c r="S1624" t="s">
        <v>836</v>
      </c>
      <c r="T1624" t="s">
        <v>836</v>
      </c>
      <c r="U1624" t="str">
        <f t="shared" si="458"/>
        <v>2500-12-31 00:00:00.0</v>
      </c>
      <c r="V1624" t="s">
        <v>837</v>
      </c>
      <c r="W1624" t="str">
        <f>"048314-038430-**-**"</f>
        <v>048314-038430-**-**</v>
      </c>
      <c r="X1624" t="s">
        <v>838</v>
      </c>
      <c r="Y1624">
        <v>1206.25</v>
      </c>
      <c r="Z1624">
        <v>1206.25</v>
      </c>
      <c r="AA1624" t="str">
        <f t="shared" si="461"/>
        <v>06/08/2016</v>
      </c>
    </row>
    <row r="1625" spans="1:27" x14ac:dyDescent="0.3">
      <c r="A1625" t="str">
        <f t="shared" si="454"/>
        <v>048314</v>
      </c>
      <c r="B1625" t="str">
        <f t="shared" si="445"/>
        <v>038430</v>
      </c>
      <c r="C1625" t="s">
        <v>3647</v>
      </c>
      <c r="D1625" t="s">
        <v>3839</v>
      </c>
      <c r="E1625" t="s">
        <v>3840</v>
      </c>
      <c r="F1625" t="s">
        <v>3841</v>
      </c>
      <c r="G1625" t="s">
        <v>3842</v>
      </c>
      <c r="H1625" t="str">
        <f t="shared" si="460"/>
        <v>048314</v>
      </c>
      <c r="I1625" t="s">
        <v>833</v>
      </c>
      <c r="J1625" t="str">
        <f t="shared" ref="J1625:J1634" si="463">"2015-07-01 00:00:00.0"</f>
        <v>2015-07-01 00:00:00.0</v>
      </c>
      <c r="K1625" t="s">
        <v>834</v>
      </c>
      <c r="L1625" t="s">
        <v>0</v>
      </c>
      <c r="M1625" t="str">
        <f t="shared" si="462"/>
        <v>048314</v>
      </c>
      <c r="N1625">
        <v>1</v>
      </c>
      <c r="O1625">
        <v>1</v>
      </c>
      <c r="P1625" t="str">
        <f>"02"</f>
        <v>02</v>
      </c>
      <c r="Q1625" t="s">
        <v>835</v>
      </c>
      <c r="S1625" t="s">
        <v>836</v>
      </c>
      <c r="T1625" t="s">
        <v>836</v>
      </c>
      <c r="U1625" t="str">
        <f t="shared" si="458"/>
        <v>2500-12-31 00:00:00.0</v>
      </c>
      <c r="V1625" t="s">
        <v>837</v>
      </c>
      <c r="W1625" t="str">
        <f>"048314-038430-**-**"</f>
        <v>048314-038430-**-**</v>
      </c>
      <c r="X1625" t="s">
        <v>838</v>
      </c>
      <c r="Y1625">
        <v>1206.25</v>
      </c>
      <c r="Z1625">
        <v>1206.25</v>
      </c>
      <c r="AA1625" t="str">
        <f t="shared" si="461"/>
        <v>06/08/2016</v>
      </c>
    </row>
    <row r="1626" spans="1:27" x14ac:dyDescent="0.3">
      <c r="A1626" t="str">
        <f t="shared" si="454"/>
        <v>048314</v>
      </c>
      <c r="B1626" t="str">
        <f t="shared" si="445"/>
        <v>038430</v>
      </c>
      <c r="C1626" t="s">
        <v>1304</v>
      </c>
      <c r="D1626" t="s">
        <v>3839</v>
      </c>
      <c r="E1626" t="s">
        <v>3840</v>
      </c>
      <c r="F1626" t="s">
        <v>3841</v>
      </c>
      <c r="G1626" t="s">
        <v>3842</v>
      </c>
      <c r="H1626" t="str">
        <f t="shared" si="460"/>
        <v>048314</v>
      </c>
      <c r="I1626" t="s">
        <v>833</v>
      </c>
      <c r="J1626" t="str">
        <f t="shared" si="463"/>
        <v>2015-07-01 00:00:00.0</v>
      </c>
      <c r="K1626" t="s">
        <v>834</v>
      </c>
      <c r="L1626" t="s">
        <v>0</v>
      </c>
      <c r="M1626" t="str">
        <f t="shared" si="462"/>
        <v>048314</v>
      </c>
      <c r="N1626">
        <v>1</v>
      </c>
      <c r="O1626">
        <v>1</v>
      </c>
      <c r="P1626" t="str">
        <f>"03"</f>
        <v>03</v>
      </c>
      <c r="Q1626" t="s">
        <v>835</v>
      </c>
      <c r="S1626" t="s">
        <v>836</v>
      </c>
      <c r="T1626" t="s">
        <v>836</v>
      </c>
      <c r="U1626" t="str">
        <f t="shared" si="458"/>
        <v>2500-12-31 00:00:00.0</v>
      </c>
      <c r="V1626" t="s">
        <v>837</v>
      </c>
      <c r="W1626" t="str">
        <f>"048314-038430-**-**"</f>
        <v>048314-038430-**-**</v>
      </c>
      <c r="X1626" t="s">
        <v>838</v>
      </c>
      <c r="Y1626">
        <v>1206.25</v>
      </c>
      <c r="Z1626">
        <v>1206.25</v>
      </c>
      <c r="AA1626" t="str">
        <f t="shared" si="461"/>
        <v>06/08/2016</v>
      </c>
    </row>
    <row r="1627" spans="1:27" x14ac:dyDescent="0.3">
      <c r="A1627" t="str">
        <f t="shared" si="454"/>
        <v>048314</v>
      </c>
      <c r="B1627" t="str">
        <f t="shared" si="445"/>
        <v>038430</v>
      </c>
      <c r="C1627" t="s">
        <v>2088</v>
      </c>
      <c r="D1627" t="s">
        <v>3839</v>
      </c>
      <c r="E1627" t="s">
        <v>3840</v>
      </c>
      <c r="F1627" t="s">
        <v>3841</v>
      </c>
      <c r="G1627" t="s">
        <v>3842</v>
      </c>
      <c r="H1627" t="str">
        <f>"048280"</f>
        <v>048280</v>
      </c>
      <c r="I1627" t="s">
        <v>833</v>
      </c>
      <c r="J1627" t="str">
        <f t="shared" si="463"/>
        <v>2015-07-01 00:00:00.0</v>
      </c>
      <c r="K1627" t="s">
        <v>834</v>
      </c>
      <c r="L1627" t="s">
        <v>142</v>
      </c>
      <c r="M1627" t="str">
        <f t="shared" si="462"/>
        <v>048314</v>
      </c>
      <c r="N1627">
        <v>1</v>
      </c>
      <c r="O1627">
        <v>1</v>
      </c>
      <c r="P1627" t="s">
        <v>841</v>
      </c>
      <c r="Q1627" t="str">
        <f>"05"</f>
        <v>05</v>
      </c>
      <c r="R1627" t="str">
        <f>"1"</f>
        <v>1</v>
      </c>
      <c r="S1627" t="s">
        <v>836</v>
      </c>
      <c r="T1627" t="s">
        <v>836</v>
      </c>
      <c r="U1627" t="str">
        <f t="shared" si="458"/>
        <v>2500-12-31 00:00:00.0</v>
      </c>
      <c r="V1627" t="s">
        <v>837</v>
      </c>
      <c r="W1627" t="str">
        <f>"048280-048280-PS-FA"</f>
        <v>048280-048280-PS-FA</v>
      </c>
      <c r="X1627" t="s">
        <v>838</v>
      </c>
      <c r="Y1627">
        <v>151</v>
      </c>
      <c r="Z1627">
        <v>151</v>
      </c>
      <c r="AA1627" t="str">
        <f>"06/15/2016"</f>
        <v>06/15/2016</v>
      </c>
    </row>
    <row r="1628" spans="1:27" x14ac:dyDescent="0.3">
      <c r="A1628" t="str">
        <f t="shared" si="454"/>
        <v>048314</v>
      </c>
      <c r="B1628" t="str">
        <f t="shared" si="445"/>
        <v>038430</v>
      </c>
      <c r="C1628" t="s">
        <v>2798</v>
      </c>
      <c r="D1628" t="s">
        <v>3839</v>
      </c>
      <c r="E1628" t="s">
        <v>3840</v>
      </c>
      <c r="F1628" t="s">
        <v>3841</v>
      </c>
      <c r="G1628" t="s">
        <v>3842</v>
      </c>
      <c r="H1628" t="str">
        <f t="shared" ref="H1628:H1650" si="464">"048314"</f>
        <v>048314</v>
      </c>
      <c r="I1628" t="s">
        <v>833</v>
      </c>
      <c r="J1628" t="str">
        <f t="shared" si="463"/>
        <v>2015-07-01 00:00:00.0</v>
      </c>
      <c r="K1628" t="s">
        <v>834</v>
      </c>
      <c r="L1628" t="s">
        <v>0</v>
      </c>
      <c r="M1628" t="str">
        <f t="shared" si="462"/>
        <v>048314</v>
      </c>
      <c r="N1628">
        <v>1</v>
      </c>
      <c r="O1628">
        <v>1</v>
      </c>
      <c r="P1628" t="str">
        <f>"05"</f>
        <v>05</v>
      </c>
      <c r="Q1628" t="s">
        <v>835</v>
      </c>
      <c r="S1628" t="s">
        <v>836</v>
      </c>
      <c r="T1628" t="s">
        <v>836</v>
      </c>
      <c r="U1628" t="str">
        <f t="shared" si="458"/>
        <v>2500-12-31 00:00:00.0</v>
      </c>
      <c r="V1628" t="s">
        <v>837</v>
      </c>
      <c r="W1628" t="str">
        <f>"048314-070417-**-**"</f>
        <v>048314-070417-**-**</v>
      </c>
      <c r="X1628" t="s">
        <v>838</v>
      </c>
      <c r="Y1628">
        <v>1125</v>
      </c>
      <c r="Z1628">
        <v>1125</v>
      </c>
      <c r="AA1628" t="str">
        <f t="shared" ref="AA1628:AA1650" si="465">"06/08/2016"</f>
        <v>06/08/2016</v>
      </c>
    </row>
    <row r="1629" spans="1:27" x14ac:dyDescent="0.3">
      <c r="A1629" t="str">
        <f t="shared" si="454"/>
        <v>048314</v>
      </c>
      <c r="B1629" t="str">
        <f t="shared" si="445"/>
        <v>038430</v>
      </c>
      <c r="C1629" t="s">
        <v>3540</v>
      </c>
      <c r="D1629" t="s">
        <v>3839</v>
      </c>
      <c r="E1629" t="s">
        <v>3840</v>
      </c>
      <c r="F1629" t="s">
        <v>3841</v>
      </c>
      <c r="G1629" t="s">
        <v>3842</v>
      </c>
      <c r="H1629" t="str">
        <f t="shared" si="464"/>
        <v>048314</v>
      </c>
      <c r="I1629" t="s">
        <v>833</v>
      </c>
      <c r="J1629" t="str">
        <f t="shared" si="463"/>
        <v>2015-07-01 00:00:00.0</v>
      </c>
      <c r="K1629" t="s">
        <v>834</v>
      </c>
      <c r="L1629" t="s">
        <v>0</v>
      </c>
      <c r="M1629" t="str">
        <f t="shared" si="462"/>
        <v>048314</v>
      </c>
      <c r="N1629">
        <v>0.5</v>
      </c>
      <c r="O1629">
        <v>0.5</v>
      </c>
      <c r="P1629" t="str">
        <f>"03"</f>
        <v>03</v>
      </c>
      <c r="Q1629" t="s">
        <v>835</v>
      </c>
      <c r="S1629" t="s">
        <v>836</v>
      </c>
      <c r="T1629" t="s">
        <v>836</v>
      </c>
      <c r="U1629" t="str">
        <f t="shared" si="458"/>
        <v>2500-12-31 00:00:00.0</v>
      </c>
      <c r="V1629" t="s">
        <v>837</v>
      </c>
      <c r="W1629" t="str">
        <f t="shared" ref="W1629:W1650" si="466">"048314-038430-**-**"</f>
        <v>048314-038430-**-**</v>
      </c>
      <c r="X1629" t="s">
        <v>838</v>
      </c>
      <c r="Y1629">
        <v>603.13</v>
      </c>
      <c r="Z1629">
        <v>1206.25</v>
      </c>
      <c r="AA1629" t="str">
        <f t="shared" si="465"/>
        <v>06/08/2016</v>
      </c>
    </row>
    <row r="1630" spans="1:27" x14ac:dyDescent="0.3">
      <c r="A1630" t="str">
        <f t="shared" si="454"/>
        <v>048314</v>
      </c>
      <c r="B1630" t="str">
        <f t="shared" si="445"/>
        <v>038430</v>
      </c>
      <c r="C1630" t="s">
        <v>1995</v>
      </c>
      <c r="D1630" t="s">
        <v>3839</v>
      </c>
      <c r="E1630" t="s">
        <v>3840</v>
      </c>
      <c r="F1630" t="s">
        <v>3841</v>
      </c>
      <c r="G1630" t="s">
        <v>3842</v>
      </c>
      <c r="H1630" t="str">
        <f t="shared" si="464"/>
        <v>048314</v>
      </c>
      <c r="I1630" t="s">
        <v>833</v>
      </c>
      <c r="J1630" t="str">
        <f t="shared" si="463"/>
        <v>2015-07-01 00:00:00.0</v>
      </c>
      <c r="K1630" t="s">
        <v>834</v>
      </c>
      <c r="L1630" t="s">
        <v>0</v>
      </c>
      <c r="M1630" t="str">
        <f t="shared" si="462"/>
        <v>048314</v>
      </c>
      <c r="N1630">
        <v>1</v>
      </c>
      <c r="O1630">
        <v>1</v>
      </c>
      <c r="P1630" t="str">
        <f>"01"</f>
        <v>01</v>
      </c>
      <c r="Q1630" t="s">
        <v>835</v>
      </c>
      <c r="S1630" t="s">
        <v>836</v>
      </c>
      <c r="T1630" t="s">
        <v>836</v>
      </c>
      <c r="U1630" t="str">
        <f t="shared" si="458"/>
        <v>2500-12-31 00:00:00.0</v>
      </c>
      <c r="V1630" t="s">
        <v>837</v>
      </c>
      <c r="W1630" t="str">
        <f t="shared" si="466"/>
        <v>048314-038430-**-**</v>
      </c>
      <c r="X1630" t="s">
        <v>838</v>
      </c>
      <c r="Y1630">
        <v>1206.25</v>
      </c>
      <c r="Z1630">
        <v>1206.25</v>
      </c>
      <c r="AA1630" t="str">
        <f t="shared" si="465"/>
        <v>06/08/2016</v>
      </c>
    </row>
    <row r="1631" spans="1:27" x14ac:dyDescent="0.3">
      <c r="A1631" t="str">
        <f t="shared" si="454"/>
        <v>048314</v>
      </c>
      <c r="B1631" t="str">
        <f t="shared" si="445"/>
        <v>038430</v>
      </c>
      <c r="C1631" t="s">
        <v>3125</v>
      </c>
      <c r="D1631" t="s">
        <v>3839</v>
      </c>
      <c r="E1631" t="s">
        <v>3840</v>
      </c>
      <c r="F1631" t="s">
        <v>3841</v>
      </c>
      <c r="G1631" t="s">
        <v>3842</v>
      </c>
      <c r="H1631" t="str">
        <f t="shared" si="464"/>
        <v>048314</v>
      </c>
      <c r="I1631" t="s">
        <v>833</v>
      </c>
      <c r="J1631" t="str">
        <f t="shared" si="463"/>
        <v>2015-07-01 00:00:00.0</v>
      </c>
      <c r="K1631" t="s">
        <v>834</v>
      </c>
      <c r="L1631" t="s">
        <v>0</v>
      </c>
      <c r="M1631" t="str">
        <f t="shared" si="462"/>
        <v>048314</v>
      </c>
      <c r="N1631">
        <v>1</v>
      </c>
      <c r="O1631">
        <v>1</v>
      </c>
      <c r="P1631" t="str">
        <f>"02"</f>
        <v>02</v>
      </c>
      <c r="Q1631" t="s">
        <v>835</v>
      </c>
      <c r="S1631" t="s">
        <v>836</v>
      </c>
      <c r="T1631" t="s">
        <v>836</v>
      </c>
      <c r="U1631" t="str">
        <f t="shared" si="458"/>
        <v>2500-12-31 00:00:00.0</v>
      </c>
      <c r="V1631" t="s">
        <v>837</v>
      </c>
      <c r="W1631" t="str">
        <f t="shared" si="466"/>
        <v>048314-038430-**-**</v>
      </c>
      <c r="X1631" t="s">
        <v>838</v>
      </c>
      <c r="Y1631">
        <v>1206.25</v>
      </c>
      <c r="Z1631">
        <v>1206.25</v>
      </c>
      <c r="AA1631" t="str">
        <f t="shared" si="465"/>
        <v>06/08/2016</v>
      </c>
    </row>
    <row r="1632" spans="1:27" x14ac:dyDescent="0.3">
      <c r="A1632" t="str">
        <f t="shared" si="454"/>
        <v>048314</v>
      </c>
      <c r="B1632" t="str">
        <f t="shared" si="445"/>
        <v>038430</v>
      </c>
      <c r="C1632" t="s">
        <v>3038</v>
      </c>
      <c r="D1632" t="s">
        <v>3839</v>
      </c>
      <c r="E1632" t="s">
        <v>3840</v>
      </c>
      <c r="F1632" t="s">
        <v>3841</v>
      </c>
      <c r="G1632" t="s">
        <v>3842</v>
      </c>
      <c r="H1632" t="str">
        <f t="shared" si="464"/>
        <v>048314</v>
      </c>
      <c r="I1632" t="s">
        <v>833</v>
      </c>
      <c r="J1632" t="str">
        <f t="shared" si="463"/>
        <v>2015-07-01 00:00:00.0</v>
      </c>
      <c r="K1632" t="s">
        <v>834</v>
      </c>
      <c r="L1632" t="s">
        <v>0</v>
      </c>
      <c r="M1632" t="str">
        <f t="shared" si="462"/>
        <v>048314</v>
      </c>
      <c r="N1632">
        <v>1</v>
      </c>
      <c r="O1632">
        <v>1</v>
      </c>
      <c r="P1632" t="str">
        <f>"01"</f>
        <v>01</v>
      </c>
      <c r="Q1632" t="str">
        <f>"10"</f>
        <v>10</v>
      </c>
      <c r="R1632" t="str">
        <f>"2"</f>
        <v>2</v>
      </c>
      <c r="S1632" t="s">
        <v>860</v>
      </c>
      <c r="T1632" t="s">
        <v>836</v>
      </c>
      <c r="U1632" t="str">
        <f t="shared" si="458"/>
        <v>2500-12-31 00:00:00.0</v>
      </c>
      <c r="V1632" t="s">
        <v>837</v>
      </c>
      <c r="W1632" t="str">
        <f t="shared" si="466"/>
        <v>048314-038430-**-**</v>
      </c>
      <c r="X1632" t="s">
        <v>838</v>
      </c>
      <c r="Y1632">
        <v>1206.25</v>
      </c>
      <c r="Z1632">
        <v>1206.25</v>
      </c>
      <c r="AA1632" t="str">
        <f t="shared" si="465"/>
        <v>06/08/2016</v>
      </c>
    </row>
    <row r="1633" spans="1:27" x14ac:dyDescent="0.3">
      <c r="A1633" t="str">
        <f t="shared" si="454"/>
        <v>048314</v>
      </c>
      <c r="B1633" t="str">
        <f t="shared" si="445"/>
        <v>038430</v>
      </c>
      <c r="C1633" t="s">
        <v>2983</v>
      </c>
      <c r="D1633" t="s">
        <v>3839</v>
      </c>
      <c r="E1633" t="s">
        <v>3840</v>
      </c>
      <c r="F1633" t="s">
        <v>3841</v>
      </c>
      <c r="G1633" t="s">
        <v>3842</v>
      </c>
      <c r="H1633" t="str">
        <f t="shared" si="464"/>
        <v>048314</v>
      </c>
      <c r="I1633" t="s">
        <v>833</v>
      </c>
      <c r="J1633" t="str">
        <f t="shared" si="463"/>
        <v>2015-07-01 00:00:00.0</v>
      </c>
      <c r="K1633" t="s">
        <v>834</v>
      </c>
      <c r="L1633" t="s">
        <v>0</v>
      </c>
      <c r="M1633" t="str">
        <f t="shared" si="462"/>
        <v>048314</v>
      </c>
      <c r="N1633">
        <v>1</v>
      </c>
      <c r="O1633">
        <v>1</v>
      </c>
      <c r="P1633" t="str">
        <f>"01"</f>
        <v>01</v>
      </c>
      <c r="Q1633" t="s">
        <v>835</v>
      </c>
      <c r="S1633" t="s">
        <v>836</v>
      </c>
      <c r="T1633" t="s">
        <v>836</v>
      </c>
      <c r="U1633" t="str">
        <f t="shared" si="458"/>
        <v>2500-12-31 00:00:00.0</v>
      </c>
      <c r="V1633" t="s">
        <v>837</v>
      </c>
      <c r="W1633" t="str">
        <f t="shared" si="466"/>
        <v>048314-038430-**-**</v>
      </c>
      <c r="X1633" t="s">
        <v>838</v>
      </c>
      <c r="Y1633">
        <v>1206.25</v>
      </c>
      <c r="Z1633">
        <v>1206.25</v>
      </c>
      <c r="AA1633" t="str">
        <f t="shared" si="465"/>
        <v>06/08/2016</v>
      </c>
    </row>
    <row r="1634" spans="1:27" x14ac:dyDescent="0.3">
      <c r="A1634" t="str">
        <f t="shared" si="454"/>
        <v>048314</v>
      </c>
      <c r="B1634" t="str">
        <f t="shared" si="445"/>
        <v>038430</v>
      </c>
      <c r="C1634" t="s">
        <v>3412</v>
      </c>
      <c r="D1634" t="s">
        <v>3839</v>
      </c>
      <c r="E1634" t="s">
        <v>3840</v>
      </c>
      <c r="F1634" t="s">
        <v>3841</v>
      </c>
      <c r="G1634" t="s">
        <v>3842</v>
      </c>
      <c r="H1634" t="str">
        <f t="shared" si="464"/>
        <v>048314</v>
      </c>
      <c r="I1634" t="s">
        <v>833</v>
      </c>
      <c r="J1634" t="str">
        <f t="shared" si="463"/>
        <v>2015-07-01 00:00:00.0</v>
      </c>
      <c r="K1634" t="s">
        <v>834</v>
      </c>
      <c r="L1634" t="s">
        <v>0</v>
      </c>
      <c r="M1634" t="str">
        <f t="shared" si="462"/>
        <v>048314</v>
      </c>
      <c r="N1634">
        <v>1</v>
      </c>
      <c r="O1634">
        <v>1</v>
      </c>
      <c r="P1634" t="str">
        <f>"04"</f>
        <v>04</v>
      </c>
      <c r="Q1634" t="s">
        <v>835</v>
      </c>
      <c r="S1634" t="s">
        <v>836</v>
      </c>
      <c r="T1634" t="s">
        <v>836</v>
      </c>
      <c r="U1634" t="str">
        <f t="shared" si="458"/>
        <v>2500-12-31 00:00:00.0</v>
      </c>
      <c r="V1634" t="s">
        <v>837</v>
      </c>
      <c r="W1634" t="str">
        <f t="shared" si="466"/>
        <v>048314-038430-**-**</v>
      </c>
      <c r="X1634" t="s">
        <v>838</v>
      </c>
      <c r="Y1634">
        <v>1206.25</v>
      </c>
      <c r="Z1634">
        <v>1206.25</v>
      </c>
      <c r="AA1634" t="str">
        <f t="shared" si="465"/>
        <v>06/08/2016</v>
      </c>
    </row>
    <row r="1635" spans="1:27" x14ac:dyDescent="0.3">
      <c r="A1635" t="str">
        <f t="shared" si="454"/>
        <v>048314</v>
      </c>
      <c r="B1635" t="str">
        <f t="shared" si="445"/>
        <v>038430</v>
      </c>
      <c r="C1635" t="s">
        <v>1640</v>
      </c>
      <c r="D1635" t="s">
        <v>3839</v>
      </c>
      <c r="E1635" t="s">
        <v>3840</v>
      </c>
      <c r="F1635" t="s">
        <v>3841</v>
      </c>
      <c r="G1635" t="s">
        <v>3842</v>
      </c>
      <c r="H1635" t="str">
        <f t="shared" si="464"/>
        <v>048314</v>
      </c>
      <c r="I1635" t="s">
        <v>833</v>
      </c>
      <c r="J1635" t="str">
        <f>"2015-08-01 00:00:00.0"</f>
        <v>2015-08-01 00:00:00.0</v>
      </c>
      <c r="K1635" t="s">
        <v>834</v>
      </c>
      <c r="L1635" t="s">
        <v>0</v>
      </c>
      <c r="M1635" t="str">
        <f t="shared" si="462"/>
        <v>048314</v>
      </c>
      <c r="N1635">
        <v>1</v>
      </c>
      <c r="O1635">
        <v>1</v>
      </c>
      <c r="P1635" t="s">
        <v>764</v>
      </c>
      <c r="Q1635" t="s">
        <v>835</v>
      </c>
      <c r="S1635" t="s">
        <v>836</v>
      </c>
      <c r="T1635" t="s">
        <v>836</v>
      </c>
      <c r="U1635" t="str">
        <f t="shared" si="458"/>
        <v>2500-12-31 00:00:00.0</v>
      </c>
      <c r="V1635" t="s">
        <v>837</v>
      </c>
      <c r="W1635" t="str">
        <f t="shared" si="466"/>
        <v>048314-038430-**-**</v>
      </c>
      <c r="X1635" t="s">
        <v>838</v>
      </c>
      <c r="Y1635">
        <v>1206.25</v>
      </c>
      <c r="Z1635">
        <v>1206.25</v>
      </c>
      <c r="AA1635" t="str">
        <f t="shared" si="465"/>
        <v>06/08/2016</v>
      </c>
    </row>
    <row r="1636" spans="1:27" x14ac:dyDescent="0.3">
      <c r="A1636" t="str">
        <f t="shared" si="454"/>
        <v>048314</v>
      </c>
      <c r="B1636" t="str">
        <f t="shared" ref="B1636:B1699" si="467">"038430"</f>
        <v>038430</v>
      </c>
      <c r="C1636" t="s">
        <v>1267</v>
      </c>
      <c r="D1636" t="s">
        <v>3839</v>
      </c>
      <c r="E1636" t="s">
        <v>3840</v>
      </c>
      <c r="F1636" t="s">
        <v>3841</v>
      </c>
      <c r="G1636" t="s">
        <v>3842</v>
      </c>
      <c r="H1636" t="str">
        <f t="shared" si="464"/>
        <v>048314</v>
      </c>
      <c r="I1636" t="s">
        <v>833</v>
      </c>
      <c r="J1636" t="str">
        <f t="shared" ref="J1636:J1641" si="468">"2015-07-01 00:00:00.0"</f>
        <v>2015-07-01 00:00:00.0</v>
      </c>
      <c r="K1636" t="s">
        <v>834</v>
      </c>
      <c r="L1636" t="s">
        <v>0</v>
      </c>
      <c r="M1636" t="str">
        <f t="shared" si="462"/>
        <v>048314</v>
      </c>
      <c r="N1636">
        <v>1</v>
      </c>
      <c r="O1636">
        <v>1</v>
      </c>
      <c r="P1636" t="str">
        <f>"03"</f>
        <v>03</v>
      </c>
      <c r="Q1636" t="s">
        <v>835</v>
      </c>
      <c r="S1636" t="s">
        <v>836</v>
      </c>
      <c r="T1636" t="s">
        <v>836</v>
      </c>
      <c r="U1636" t="str">
        <f t="shared" si="458"/>
        <v>2500-12-31 00:00:00.0</v>
      </c>
      <c r="V1636" t="s">
        <v>837</v>
      </c>
      <c r="W1636" t="str">
        <f t="shared" si="466"/>
        <v>048314-038430-**-**</v>
      </c>
      <c r="X1636" t="s">
        <v>838</v>
      </c>
      <c r="Y1636">
        <v>1206.25</v>
      </c>
      <c r="Z1636">
        <v>1206.25</v>
      </c>
      <c r="AA1636" t="str">
        <f t="shared" si="465"/>
        <v>06/08/2016</v>
      </c>
    </row>
    <row r="1637" spans="1:27" x14ac:dyDescent="0.3">
      <c r="A1637" t="str">
        <f t="shared" si="454"/>
        <v>048314</v>
      </c>
      <c r="B1637" t="str">
        <f t="shared" si="467"/>
        <v>038430</v>
      </c>
      <c r="C1637" t="s">
        <v>981</v>
      </c>
      <c r="D1637" t="s">
        <v>3839</v>
      </c>
      <c r="E1637" t="s">
        <v>3840</v>
      </c>
      <c r="F1637" t="s">
        <v>3841</v>
      </c>
      <c r="G1637" t="s">
        <v>3842</v>
      </c>
      <c r="H1637" t="str">
        <f t="shared" si="464"/>
        <v>048314</v>
      </c>
      <c r="I1637" t="s">
        <v>833</v>
      </c>
      <c r="J1637" t="str">
        <f t="shared" si="468"/>
        <v>2015-07-01 00:00:00.0</v>
      </c>
      <c r="K1637" t="s">
        <v>834</v>
      </c>
      <c r="L1637" t="s">
        <v>0</v>
      </c>
      <c r="M1637" t="str">
        <f t="shared" si="462"/>
        <v>048314</v>
      </c>
      <c r="N1637">
        <v>1</v>
      </c>
      <c r="O1637">
        <v>1</v>
      </c>
      <c r="P1637" t="str">
        <f>"01"</f>
        <v>01</v>
      </c>
      <c r="Q1637" t="s">
        <v>835</v>
      </c>
      <c r="S1637" t="s">
        <v>836</v>
      </c>
      <c r="T1637" t="s">
        <v>836</v>
      </c>
      <c r="U1637" t="str">
        <f t="shared" si="458"/>
        <v>2500-12-31 00:00:00.0</v>
      </c>
      <c r="V1637" t="s">
        <v>837</v>
      </c>
      <c r="W1637" t="str">
        <f t="shared" si="466"/>
        <v>048314-038430-**-**</v>
      </c>
      <c r="X1637" t="s">
        <v>838</v>
      </c>
      <c r="Y1637">
        <v>1206.25</v>
      </c>
      <c r="Z1637">
        <v>1206.25</v>
      </c>
      <c r="AA1637" t="str">
        <f t="shared" si="465"/>
        <v>06/08/2016</v>
      </c>
    </row>
    <row r="1638" spans="1:27" x14ac:dyDescent="0.3">
      <c r="A1638" t="str">
        <f t="shared" si="454"/>
        <v>048314</v>
      </c>
      <c r="B1638" t="str">
        <f t="shared" si="467"/>
        <v>038430</v>
      </c>
      <c r="C1638" t="s">
        <v>3502</v>
      </c>
      <c r="D1638" t="s">
        <v>3839</v>
      </c>
      <c r="E1638" t="s">
        <v>3840</v>
      </c>
      <c r="F1638" t="s">
        <v>3841</v>
      </c>
      <c r="G1638" t="s">
        <v>3842</v>
      </c>
      <c r="H1638" t="str">
        <f t="shared" si="464"/>
        <v>048314</v>
      </c>
      <c r="I1638" t="s">
        <v>833</v>
      </c>
      <c r="J1638" t="str">
        <f t="shared" si="468"/>
        <v>2015-07-01 00:00:00.0</v>
      </c>
      <c r="K1638" t="s">
        <v>834</v>
      </c>
      <c r="L1638" t="s">
        <v>0</v>
      </c>
      <c r="M1638" t="str">
        <f t="shared" si="462"/>
        <v>048314</v>
      </c>
      <c r="N1638">
        <v>1</v>
      </c>
      <c r="O1638">
        <v>1</v>
      </c>
      <c r="P1638" t="str">
        <f>"03"</f>
        <v>03</v>
      </c>
      <c r="Q1638" t="s">
        <v>835</v>
      </c>
      <c r="S1638" t="s">
        <v>836</v>
      </c>
      <c r="T1638" t="s">
        <v>836</v>
      </c>
      <c r="U1638" t="str">
        <f t="shared" si="458"/>
        <v>2500-12-31 00:00:00.0</v>
      </c>
      <c r="V1638" t="s">
        <v>837</v>
      </c>
      <c r="W1638" t="str">
        <f t="shared" si="466"/>
        <v>048314-038430-**-**</v>
      </c>
      <c r="X1638" t="s">
        <v>838</v>
      </c>
      <c r="Y1638">
        <v>1206.25</v>
      </c>
      <c r="Z1638">
        <v>1206.25</v>
      </c>
      <c r="AA1638" t="str">
        <f t="shared" si="465"/>
        <v>06/08/2016</v>
      </c>
    </row>
    <row r="1639" spans="1:27" x14ac:dyDescent="0.3">
      <c r="A1639" t="str">
        <f t="shared" si="454"/>
        <v>048314</v>
      </c>
      <c r="B1639" t="str">
        <f t="shared" si="467"/>
        <v>038430</v>
      </c>
      <c r="C1639" t="s">
        <v>3472</v>
      </c>
      <c r="D1639" t="s">
        <v>3839</v>
      </c>
      <c r="E1639" t="s">
        <v>3840</v>
      </c>
      <c r="F1639" t="s">
        <v>3841</v>
      </c>
      <c r="G1639" t="s">
        <v>3842</v>
      </c>
      <c r="H1639" t="str">
        <f t="shared" si="464"/>
        <v>048314</v>
      </c>
      <c r="I1639" t="s">
        <v>833</v>
      </c>
      <c r="J1639" t="str">
        <f t="shared" si="468"/>
        <v>2015-07-01 00:00:00.0</v>
      </c>
      <c r="K1639" t="s">
        <v>834</v>
      </c>
      <c r="L1639" t="s">
        <v>0</v>
      </c>
      <c r="M1639" t="str">
        <f t="shared" si="462"/>
        <v>048314</v>
      </c>
      <c r="N1639">
        <v>1</v>
      </c>
      <c r="O1639">
        <v>1</v>
      </c>
      <c r="P1639" t="str">
        <f>"01"</f>
        <v>01</v>
      </c>
      <c r="Q1639" t="s">
        <v>835</v>
      </c>
      <c r="S1639" t="s">
        <v>836</v>
      </c>
      <c r="T1639" t="s">
        <v>836</v>
      </c>
      <c r="U1639" t="str">
        <f t="shared" si="458"/>
        <v>2500-12-31 00:00:00.0</v>
      </c>
      <c r="V1639" t="s">
        <v>837</v>
      </c>
      <c r="W1639" t="str">
        <f t="shared" si="466"/>
        <v>048314-038430-**-**</v>
      </c>
      <c r="X1639" t="s">
        <v>838</v>
      </c>
      <c r="Y1639">
        <v>1206.25</v>
      </c>
      <c r="Z1639">
        <v>1206.25</v>
      </c>
      <c r="AA1639" t="str">
        <f t="shared" si="465"/>
        <v>06/08/2016</v>
      </c>
    </row>
    <row r="1640" spans="1:27" x14ac:dyDescent="0.3">
      <c r="A1640" t="str">
        <f t="shared" si="454"/>
        <v>048314</v>
      </c>
      <c r="B1640" t="str">
        <f t="shared" si="467"/>
        <v>038430</v>
      </c>
      <c r="C1640" t="s">
        <v>3047</v>
      </c>
      <c r="D1640" t="s">
        <v>3839</v>
      </c>
      <c r="E1640" t="s">
        <v>3840</v>
      </c>
      <c r="F1640" t="s">
        <v>3841</v>
      </c>
      <c r="G1640" t="s">
        <v>3842</v>
      </c>
      <c r="H1640" t="str">
        <f t="shared" si="464"/>
        <v>048314</v>
      </c>
      <c r="I1640" t="s">
        <v>833</v>
      </c>
      <c r="J1640" t="str">
        <f t="shared" si="468"/>
        <v>2015-07-01 00:00:00.0</v>
      </c>
      <c r="K1640" t="s">
        <v>834</v>
      </c>
      <c r="L1640" t="s">
        <v>0</v>
      </c>
      <c r="M1640" t="str">
        <f t="shared" si="462"/>
        <v>048314</v>
      </c>
      <c r="N1640">
        <v>1</v>
      </c>
      <c r="O1640">
        <v>1</v>
      </c>
      <c r="P1640" t="str">
        <f>"01"</f>
        <v>01</v>
      </c>
      <c r="Q1640" t="s">
        <v>835</v>
      </c>
      <c r="S1640" t="s">
        <v>836</v>
      </c>
      <c r="T1640" t="s">
        <v>836</v>
      </c>
      <c r="U1640" t="str">
        <f t="shared" si="458"/>
        <v>2500-12-31 00:00:00.0</v>
      </c>
      <c r="V1640" t="s">
        <v>837</v>
      </c>
      <c r="W1640" t="str">
        <f t="shared" si="466"/>
        <v>048314-038430-**-**</v>
      </c>
      <c r="X1640" t="s">
        <v>838</v>
      </c>
      <c r="Y1640">
        <v>1206.25</v>
      </c>
      <c r="Z1640">
        <v>1206.25</v>
      </c>
      <c r="AA1640" t="str">
        <f t="shared" si="465"/>
        <v>06/08/2016</v>
      </c>
    </row>
    <row r="1641" spans="1:27" x14ac:dyDescent="0.3">
      <c r="A1641" t="str">
        <f t="shared" si="454"/>
        <v>048314</v>
      </c>
      <c r="B1641" t="str">
        <f t="shared" si="467"/>
        <v>038430</v>
      </c>
      <c r="C1641" t="s">
        <v>3048</v>
      </c>
      <c r="D1641" t="s">
        <v>3839</v>
      </c>
      <c r="E1641" t="s">
        <v>3840</v>
      </c>
      <c r="F1641" t="s">
        <v>3841</v>
      </c>
      <c r="G1641" t="s">
        <v>3842</v>
      </c>
      <c r="H1641" t="str">
        <f t="shared" si="464"/>
        <v>048314</v>
      </c>
      <c r="I1641" t="s">
        <v>833</v>
      </c>
      <c r="J1641" t="str">
        <f t="shared" si="468"/>
        <v>2015-07-01 00:00:00.0</v>
      </c>
      <c r="K1641" t="s">
        <v>834</v>
      </c>
      <c r="L1641" t="s">
        <v>0</v>
      </c>
      <c r="M1641" t="str">
        <f t="shared" si="462"/>
        <v>048314</v>
      </c>
      <c r="N1641">
        <v>1</v>
      </c>
      <c r="O1641">
        <v>1</v>
      </c>
      <c r="P1641" t="str">
        <f>"01"</f>
        <v>01</v>
      </c>
      <c r="Q1641" t="s">
        <v>835</v>
      </c>
      <c r="S1641" t="s">
        <v>836</v>
      </c>
      <c r="T1641" t="s">
        <v>836</v>
      </c>
      <c r="U1641" t="str">
        <f t="shared" si="458"/>
        <v>2500-12-31 00:00:00.0</v>
      </c>
      <c r="V1641" t="s">
        <v>837</v>
      </c>
      <c r="W1641" t="str">
        <f t="shared" si="466"/>
        <v>048314-038430-**-**</v>
      </c>
      <c r="X1641" t="s">
        <v>838</v>
      </c>
      <c r="Y1641">
        <v>1206.25</v>
      </c>
      <c r="Z1641">
        <v>1206.25</v>
      </c>
      <c r="AA1641" t="str">
        <f t="shared" si="465"/>
        <v>06/08/2016</v>
      </c>
    </row>
    <row r="1642" spans="1:27" x14ac:dyDescent="0.3">
      <c r="A1642" t="str">
        <f t="shared" si="454"/>
        <v>048314</v>
      </c>
      <c r="B1642" t="str">
        <f t="shared" si="467"/>
        <v>038430</v>
      </c>
      <c r="C1642" t="s">
        <v>961</v>
      </c>
      <c r="D1642" t="s">
        <v>3839</v>
      </c>
      <c r="E1642" t="s">
        <v>3840</v>
      </c>
      <c r="F1642" t="s">
        <v>3841</v>
      </c>
      <c r="G1642" t="s">
        <v>3842</v>
      </c>
      <c r="H1642" t="str">
        <f t="shared" si="464"/>
        <v>048314</v>
      </c>
      <c r="I1642" t="s">
        <v>833</v>
      </c>
      <c r="J1642" t="str">
        <f>"2015-08-31 00:00:00.0"</f>
        <v>2015-08-31 00:00:00.0</v>
      </c>
      <c r="K1642" t="s">
        <v>834</v>
      </c>
      <c r="L1642" t="s">
        <v>0</v>
      </c>
      <c r="M1642" t="str">
        <f t="shared" si="462"/>
        <v>048314</v>
      </c>
      <c r="N1642">
        <v>1</v>
      </c>
      <c r="O1642">
        <v>1</v>
      </c>
      <c r="P1642" t="s">
        <v>764</v>
      </c>
      <c r="Q1642" t="s">
        <v>835</v>
      </c>
      <c r="S1642" t="s">
        <v>836</v>
      </c>
      <c r="T1642" t="s">
        <v>836</v>
      </c>
      <c r="U1642" t="str">
        <f t="shared" si="458"/>
        <v>2500-12-31 00:00:00.0</v>
      </c>
      <c r="V1642" t="s">
        <v>837</v>
      </c>
      <c r="W1642" t="str">
        <f t="shared" si="466"/>
        <v>048314-038430-**-**</v>
      </c>
      <c r="X1642" t="s">
        <v>838</v>
      </c>
      <c r="Y1642">
        <v>1206.25</v>
      </c>
      <c r="Z1642">
        <v>1206.25</v>
      </c>
      <c r="AA1642" t="str">
        <f t="shared" si="465"/>
        <v>06/08/2016</v>
      </c>
    </row>
    <row r="1643" spans="1:27" x14ac:dyDescent="0.3">
      <c r="A1643" t="str">
        <f t="shared" si="454"/>
        <v>048314</v>
      </c>
      <c r="B1643" t="str">
        <f t="shared" si="467"/>
        <v>038430</v>
      </c>
      <c r="C1643" t="s">
        <v>3004</v>
      </c>
      <c r="D1643" t="s">
        <v>3839</v>
      </c>
      <c r="E1643" t="s">
        <v>3840</v>
      </c>
      <c r="F1643" t="s">
        <v>3841</v>
      </c>
      <c r="G1643" t="s">
        <v>3842</v>
      </c>
      <c r="H1643" t="str">
        <f t="shared" si="464"/>
        <v>048314</v>
      </c>
      <c r="I1643" t="s">
        <v>833</v>
      </c>
      <c r="J1643" t="str">
        <f>"2015-07-01 00:00:00.0"</f>
        <v>2015-07-01 00:00:00.0</v>
      </c>
      <c r="K1643" t="s">
        <v>834</v>
      </c>
      <c r="L1643" t="s">
        <v>0</v>
      </c>
      <c r="M1643" t="str">
        <f t="shared" si="462"/>
        <v>048314</v>
      </c>
      <c r="N1643">
        <v>1</v>
      </c>
      <c r="O1643">
        <v>1</v>
      </c>
      <c r="P1643" t="str">
        <f>"02"</f>
        <v>02</v>
      </c>
      <c r="Q1643" t="s">
        <v>835</v>
      </c>
      <c r="S1643" t="s">
        <v>836</v>
      </c>
      <c r="T1643" t="s">
        <v>836</v>
      </c>
      <c r="U1643" t="str">
        <f t="shared" si="458"/>
        <v>2500-12-31 00:00:00.0</v>
      </c>
      <c r="V1643" t="s">
        <v>837</v>
      </c>
      <c r="W1643" t="str">
        <f t="shared" si="466"/>
        <v>048314-038430-**-**</v>
      </c>
      <c r="X1643" t="s">
        <v>838</v>
      </c>
      <c r="Y1643">
        <v>1206.25</v>
      </c>
      <c r="Z1643">
        <v>1206.25</v>
      </c>
      <c r="AA1643" t="str">
        <f t="shared" si="465"/>
        <v>06/08/2016</v>
      </c>
    </row>
    <row r="1644" spans="1:27" x14ac:dyDescent="0.3">
      <c r="A1644" t="str">
        <f t="shared" si="454"/>
        <v>048314</v>
      </c>
      <c r="B1644" t="str">
        <f t="shared" si="467"/>
        <v>038430</v>
      </c>
      <c r="C1644" t="s">
        <v>3547</v>
      </c>
      <c r="D1644" t="s">
        <v>3839</v>
      </c>
      <c r="E1644" t="s">
        <v>3840</v>
      </c>
      <c r="F1644" t="s">
        <v>3841</v>
      </c>
      <c r="G1644" t="s">
        <v>3842</v>
      </c>
      <c r="H1644" t="str">
        <f t="shared" si="464"/>
        <v>048314</v>
      </c>
      <c r="I1644" t="s">
        <v>833</v>
      </c>
      <c r="J1644" t="str">
        <f>"2015-07-01 00:00:00.0"</f>
        <v>2015-07-01 00:00:00.0</v>
      </c>
      <c r="K1644" t="s">
        <v>834</v>
      </c>
      <c r="L1644" t="s">
        <v>0</v>
      </c>
      <c r="M1644" t="str">
        <f t="shared" si="462"/>
        <v>048314</v>
      </c>
      <c r="N1644">
        <v>1</v>
      </c>
      <c r="O1644">
        <v>1</v>
      </c>
      <c r="P1644" t="str">
        <f>"03"</f>
        <v>03</v>
      </c>
      <c r="Q1644" t="s">
        <v>835</v>
      </c>
      <c r="S1644" t="s">
        <v>836</v>
      </c>
      <c r="T1644" t="s">
        <v>836</v>
      </c>
      <c r="U1644" t="str">
        <f t="shared" si="458"/>
        <v>2500-12-31 00:00:00.0</v>
      </c>
      <c r="V1644" t="s">
        <v>837</v>
      </c>
      <c r="W1644" t="str">
        <f t="shared" si="466"/>
        <v>048314-038430-**-**</v>
      </c>
      <c r="X1644" t="s">
        <v>838</v>
      </c>
      <c r="Y1644">
        <v>1206.25</v>
      </c>
      <c r="Z1644">
        <v>1206.25</v>
      </c>
      <c r="AA1644" t="str">
        <f t="shared" si="465"/>
        <v>06/08/2016</v>
      </c>
    </row>
    <row r="1645" spans="1:27" x14ac:dyDescent="0.3">
      <c r="A1645" t="str">
        <f t="shared" si="454"/>
        <v>048314</v>
      </c>
      <c r="B1645" t="str">
        <f t="shared" si="467"/>
        <v>038430</v>
      </c>
      <c r="C1645" t="s">
        <v>3049</v>
      </c>
      <c r="D1645" t="s">
        <v>3839</v>
      </c>
      <c r="E1645" t="s">
        <v>3840</v>
      </c>
      <c r="F1645" t="s">
        <v>3841</v>
      </c>
      <c r="G1645" t="s">
        <v>3842</v>
      </c>
      <c r="H1645" t="str">
        <f t="shared" si="464"/>
        <v>048314</v>
      </c>
      <c r="I1645" t="s">
        <v>833</v>
      </c>
      <c r="J1645" t="str">
        <f>"2015-07-01 00:00:00.0"</f>
        <v>2015-07-01 00:00:00.0</v>
      </c>
      <c r="K1645" t="s">
        <v>834</v>
      </c>
      <c r="L1645" t="s">
        <v>0</v>
      </c>
      <c r="M1645" t="str">
        <f t="shared" si="462"/>
        <v>048314</v>
      </c>
      <c r="N1645">
        <v>1</v>
      </c>
      <c r="O1645">
        <v>1</v>
      </c>
      <c r="P1645" t="str">
        <f>"01"</f>
        <v>01</v>
      </c>
      <c r="Q1645" t="s">
        <v>835</v>
      </c>
      <c r="S1645" t="s">
        <v>836</v>
      </c>
      <c r="T1645" t="s">
        <v>836</v>
      </c>
      <c r="U1645" t="str">
        <f t="shared" si="458"/>
        <v>2500-12-31 00:00:00.0</v>
      </c>
      <c r="V1645" t="s">
        <v>837</v>
      </c>
      <c r="W1645" t="str">
        <f t="shared" si="466"/>
        <v>048314-038430-**-**</v>
      </c>
      <c r="X1645" t="s">
        <v>838</v>
      </c>
      <c r="Y1645">
        <v>1206.25</v>
      </c>
      <c r="Z1645">
        <v>1206.25</v>
      </c>
      <c r="AA1645" t="str">
        <f t="shared" si="465"/>
        <v>06/08/2016</v>
      </c>
    </row>
    <row r="1646" spans="1:27" x14ac:dyDescent="0.3">
      <c r="A1646" t="str">
        <f t="shared" si="454"/>
        <v>048314</v>
      </c>
      <c r="B1646" t="str">
        <f t="shared" si="467"/>
        <v>038430</v>
      </c>
      <c r="C1646" t="s">
        <v>1505</v>
      </c>
      <c r="D1646" t="s">
        <v>3839</v>
      </c>
      <c r="E1646" t="s">
        <v>3840</v>
      </c>
      <c r="F1646" t="s">
        <v>3841</v>
      </c>
      <c r="G1646" t="s">
        <v>3842</v>
      </c>
      <c r="H1646" t="str">
        <f t="shared" si="464"/>
        <v>048314</v>
      </c>
      <c r="I1646" t="s">
        <v>833</v>
      </c>
      <c r="J1646" t="str">
        <f>"2015-07-01 00:00:00.0"</f>
        <v>2015-07-01 00:00:00.0</v>
      </c>
      <c r="K1646" t="s">
        <v>834</v>
      </c>
      <c r="L1646" t="s">
        <v>0</v>
      </c>
      <c r="M1646" t="str">
        <f t="shared" si="462"/>
        <v>048314</v>
      </c>
      <c r="N1646">
        <v>0.34715000000000001</v>
      </c>
      <c r="O1646">
        <v>0.34715000000000001</v>
      </c>
      <c r="P1646" t="str">
        <f>"02"</f>
        <v>02</v>
      </c>
      <c r="Q1646" t="s">
        <v>835</v>
      </c>
      <c r="S1646" t="s">
        <v>836</v>
      </c>
      <c r="T1646" t="s">
        <v>836</v>
      </c>
      <c r="U1646" t="str">
        <f>"2015-12-04 00:00:00.0"</f>
        <v>2015-12-04 00:00:00.0</v>
      </c>
      <c r="V1646" t="s">
        <v>837</v>
      </c>
      <c r="W1646" t="str">
        <f t="shared" si="466"/>
        <v>048314-038430-**-**</v>
      </c>
      <c r="X1646" t="s">
        <v>838</v>
      </c>
      <c r="Y1646">
        <v>418.75</v>
      </c>
      <c r="Z1646">
        <v>1206.25</v>
      </c>
      <c r="AA1646" t="str">
        <f t="shared" si="465"/>
        <v>06/08/2016</v>
      </c>
    </row>
    <row r="1647" spans="1:27" x14ac:dyDescent="0.3">
      <c r="A1647" t="str">
        <f t="shared" si="454"/>
        <v>048314</v>
      </c>
      <c r="B1647" t="str">
        <f t="shared" si="467"/>
        <v>038430</v>
      </c>
      <c r="C1647" t="s">
        <v>3499</v>
      </c>
      <c r="D1647" t="s">
        <v>3839</v>
      </c>
      <c r="E1647" t="s">
        <v>3840</v>
      </c>
      <c r="F1647" t="s">
        <v>3841</v>
      </c>
      <c r="G1647" t="s">
        <v>3842</v>
      </c>
      <c r="H1647" t="str">
        <f t="shared" si="464"/>
        <v>048314</v>
      </c>
      <c r="I1647" t="s">
        <v>833</v>
      </c>
      <c r="J1647" t="str">
        <f>"2015-07-01 00:00:00.0"</f>
        <v>2015-07-01 00:00:00.0</v>
      </c>
      <c r="K1647" t="s">
        <v>834</v>
      </c>
      <c r="L1647" t="s">
        <v>0</v>
      </c>
      <c r="M1647" t="str">
        <f t="shared" si="462"/>
        <v>048314</v>
      </c>
      <c r="N1647">
        <v>1</v>
      </c>
      <c r="O1647">
        <v>1</v>
      </c>
      <c r="P1647" t="str">
        <f>"03"</f>
        <v>03</v>
      </c>
      <c r="Q1647" t="s">
        <v>835</v>
      </c>
      <c r="S1647" t="s">
        <v>836</v>
      </c>
      <c r="T1647" t="s">
        <v>836</v>
      </c>
      <c r="U1647" t="str">
        <f t="shared" ref="U1647:U1662" si="469">"2500-12-31 00:00:00.0"</f>
        <v>2500-12-31 00:00:00.0</v>
      </c>
      <c r="V1647" t="s">
        <v>837</v>
      </c>
      <c r="W1647" t="str">
        <f t="shared" si="466"/>
        <v>048314-038430-**-**</v>
      </c>
      <c r="X1647" t="s">
        <v>838</v>
      </c>
      <c r="Y1647">
        <v>1206.25</v>
      </c>
      <c r="Z1647">
        <v>1206.25</v>
      </c>
      <c r="AA1647" t="str">
        <f t="shared" si="465"/>
        <v>06/08/2016</v>
      </c>
    </row>
    <row r="1648" spans="1:27" x14ac:dyDescent="0.3">
      <c r="A1648" t="str">
        <f t="shared" si="454"/>
        <v>048314</v>
      </c>
      <c r="B1648" t="str">
        <f t="shared" si="467"/>
        <v>038430</v>
      </c>
      <c r="C1648" t="s">
        <v>3050</v>
      </c>
      <c r="D1648" t="s">
        <v>3839</v>
      </c>
      <c r="E1648" t="s">
        <v>3840</v>
      </c>
      <c r="F1648" t="s">
        <v>3841</v>
      </c>
      <c r="G1648" t="s">
        <v>3842</v>
      </c>
      <c r="H1648" t="str">
        <f t="shared" si="464"/>
        <v>048314</v>
      </c>
      <c r="I1648" t="s">
        <v>833</v>
      </c>
      <c r="J1648" t="str">
        <f>"2015-08-31 00:00:00.0"</f>
        <v>2015-08-31 00:00:00.0</v>
      </c>
      <c r="K1648" t="s">
        <v>834</v>
      </c>
      <c r="L1648" t="s">
        <v>0</v>
      </c>
      <c r="M1648" t="str">
        <f t="shared" si="462"/>
        <v>048314</v>
      </c>
      <c r="N1648">
        <v>1</v>
      </c>
      <c r="O1648">
        <v>1</v>
      </c>
      <c r="P1648" t="str">
        <f>"01"</f>
        <v>01</v>
      </c>
      <c r="Q1648" t="s">
        <v>835</v>
      </c>
      <c r="S1648" t="s">
        <v>836</v>
      </c>
      <c r="T1648" t="s">
        <v>836</v>
      </c>
      <c r="U1648" t="str">
        <f t="shared" si="469"/>
        <v>2500-12-31 00:00:00.0</v>
      </c>
      <c r="V1648" t="s">
        <v>837</v>
      </c>
      <c r="W1648" t="str">
        <f t="shared" si="466"/>
        <v>048314-038430-**-**</v>
      </c>
      <c r="X1648" t="s">
        <v>838</v>
      </c>
      <c r="Y1648">
        <v>1206.25</v>
      </c>
      <c r="Z1648">
        <v>1206.25</v>
      </c>
      <c r="AA1648" t="str">
        <f t="shared" si="465"/>
        <v>06/08/2016</v>
      </c>
    </row>
    <row r="1649" spans="1:27" x14ac:dyDescent="0.3">
      <c r="A1649" t="str">
        <f t="shared" si="454"/>
        <v>048314</v>
      </c>
      <c r="B1649" t="str">
        <f t="shared" si="467"/>
        <v>038430</v>
      </c>
      <c r="C1649" t="s">
        <v>3051</v>
      </c>
      <c r="D1649" t="s">
        <v>3839</v>
      </c>
      <c r="E1649" t="s">
        <v>3840</v>
      </c>
      <c r="F1649" t="s">
        <v>3841</v>
      </c>
      <c r="G1649" t="s">
        <v>3842</v>
      </c>
      <c r="H1649" t="str">
        <f t="shared" si="464"/>
        <v>048314</v>
      </c>
      <c r="I1649" t="s">
        <v>833</v>
      </c>
      <c r="J1649" t="str">
        <f>"2015-08-31 00:00:00.0"</f>
        <v>2015-08-31 00:00:00.0</v>
      </c>
      <c r="K1649" t="s">
        <v>834</v>
      </c>
      <c r="L1649" t="s">
        <v>0</v>
      </c>
      <c r="M1649" t="str">
        <f t="shared" si="462"/>
        <v>048314</v>
      </c>
      <c r="N1649">
        <v>1</v>
      </c>
      <c r="O1649">
        <v>1</v>
      </c>
      <c r="P1649" t="str">
        <f>"01"</f>
        <v>01</v>
      </c>
      <c r="Q1649" t="s">
        <v>835</v>
      </c>
      <c r="S1649" t="s">
        <v>836</v>
      </c>
      <c r="T1649" t="s">
        <v>836</v>
      </c>
      <c r="U1649" t="str">
        <f t="shared" si="469"/>
        <v>2500-12-31 00:00:00.0</v>
      </c>
      <c r="V1649" t="s">
        <v>837</v>
      </c>
      <c r="W1649" t="str">
        <f t="shared" si="466"/>
        <v>048314-038430-**-**</v>
      </c>
      <c r="X1649" t="s">
        <v>838</v>
      </c>
      <c r="Y1649">
        <v>1206.25</v>
      </c>
      <c r="Z1649">
        <v>1206.25</v>
      </c>
      <c r="AA1649" t="str">
        <f t="shared" si="465"/>
        <v>06/08/2016</v>
      </c>
    </row>
    <row r="1650" spans="1:27" x14ac:dyDescent="0.3">
      <c r="A1650" t="str">
        <f t="shared" si="454"/>
        <v>048314</v>
      </c>
      <c r="B1650" t="str">
        <f t="shared" si="467"/>
        <v>038430</v>
      </c>
      <c r="C1650" t="s">
        <v>1233</v>
      </c>
      <c r="D1650" t="s">
        <v>3839</v>
      </c>
      <c r="E1650" t="s">
        <v>3840</v>
      </c>
      <c r="F1650" t="s">
        <v>3841</v>
      </c>
      <c r="G1650" t="s">
        <v>3842</v>
      </c>
      <c r="H1650" t="str">
        <f t="shared" si="464"/>
        <v>048314</v>
      </c>
      <c r="I1650" t="s">
        <v>833</v>
      </c>
      <c r="J1650" t="str">
        <f>"2015-08-01 00:00:00.0"</f>
        <v>2015-08-01 00:00:00.0</v>
      </c>
      <c r="K1650" t="s">
        <v>834</v>
      </c>
      <c r="L1650" t="s">
        <v>0</v>
      </c>
      <c r="M1650" t="str">
        <f t="shared" si="462"/>
        <v>048314</v>
      </c>
      <c r="N1650">
        <v>1</v>
      </c>
      <c r="O1650">
        <v>1</v>
      </c>
      <c r="P1650" t="s">
        <v>764</v>
      </c>
      <c r="Q1650" t="s">
        <v>835</v>
      </c>
      <c r="S1650" t="s">
        <v>836</v>
      </c>
      <c r="T1650" t="s">
        <v>836</v>
      </c>
      <c r="U1650" t="str">
        <f t="shared" si="469"/>
        <v>2500-12-31 00:00:00.0</v>
      </c>
      <c r="V1650" t="s">
        <v>837</v>
      </c>
      <c r="W1650" t="str">
        <f t="shared" si="466"/>
        <v>048314-038430-**-**</v>
      </c>
      <c r="X1650" t="s">
        <v>838</v>
      </c>
      <c r="Y1650">
        <v>1206.25</v>
      </c>
      <c r="Z1650">
        <v>1206.25</v>
      </c>
      <c r="AA1650" t="str">
        <f t="shared" si="465"/>
        <v>06/08/2016</v>
      </c>
    </row>
    <row r="1651" spans="1:27" x14ac:dyDescent="0.3">
      <c r="A1651" t="str">
        <f t="shared" si="454"/>
        <v>048314</v>
      </c>
      <c r="B1651" t="str">
        <f t="shared" si="467"/>
        <v>038430</v>
      </c>
      <c r="C1651" t="s">
        <v>852</v>
      </c>
      <c r="D1651" t="s">
        <v>3839</v>
      </c>
      <c r="E1651" t="s">
        <v>3840</v>
      </c>
      <c r="F1651" t="s">
        <v>3841</v>
      </c>
      <c r="G1651" t="s">
        <v>3842</v>
      </c>
      <c r="H1651" t="str">
        <f>"048363"</f>
        <v>048363</v>
      </c>
      <c r="I1651" t="s">
        <v>833</v>
      </c>
      <c r="J1651" t="str">
        <f>"2015-07-01 00:00:00.0"</f>
        <v>2015-07-01 00:00:00.0</v>
      </c>
      <c r="K1651" t="s">
        <v>834</v>
      </c>
      <c r="L1651" t="s">
        <v>1</v>
      </c>
      <c r="M1651" t="str">
        <f t="shared" si="462"/>
        <v>048314</v>
      </c>
      <c r="N1651">
        <v>1</v>
      </c>
      <c r="O1651">
        <v>1</v>
      </c>
      <c r="P1651" t="str">
        <f>"01"</f>
        <v>01</v>
      </c>
      <c r="Q1651" t="s">
        <v>835</v>
      </c>
      <c r="S1651" t="s">
        <v>836</v>
      </c>
      <c r="T1651" t="s">
        <v>836</v>
      </c>
      <c r="U1651" t="str">
        <f t="shared" si="469"/>
        <v>2500-12-31 00:00:00.0</v>
      </c>
      <c r="V1651" t="s">
        <v>837</v>
      </c>
      <c r="W1651" t="str">
        <f>"048363-026211-**-**"</f>
        <v>048363-026211-**-**</v>
      </c>
      <c r="X1651" t="s">
        <v>838</v>
      </c>
      <c r="Y1651">
        <v>1127</v>
      </c>
      <c r="Z1651">
        <v>1127</v>
      </c>
      <c r="AA1651" t="str">
        <f>"06/15/2016"</f>
        <v>06/15/2016</v>
      </c>
    </row>
    <row r="1652" spans="1:27" x14ac:dyDescent="0.3">
      <c r="A1652" t="str">
        <f t="shared" si="454"/>
        <v>048314</v>
      </c>
      <c r="B1652" t="str">
        <f t="shared" si="467"/>
        <v>038430</v>
      </c>
      <c r="C1652" t="s">
        <v>3705</v>
      </c>
      <c r="D1652" t="s">
        <v>3839</v>
      </c>
      <c r="E1652" t="s">
        <v>3840</v>
      </c>
      <c r="F1652" t="s">
        <v>3841</v>
      </c>
      <c r="G1652" t="s">
        <v>3842</v>
      </c>
      <c r="H1652" t="str">
        <f>"048314"</f>
        <v>048314</v>
      </c>
      <c r="I1652" t="s">
        <v>833</v>
      </c>
      <c r="J1652" t="str">
        <f>"2015-07-01 00:00:00.0"</f>
        <v>2015-07-01 00:00:00.0</v>
      </c>
      <c r="K1652" t="s">
        <v>834</v>
      </c>
      <c r="L1652" t="s">
        <v>0</v>
      </c>
      <c r="M1652" t="str">
        <f t="shared" si="462"/>
        <v>048314</v>
      </c>
      <c r="N1652">
        <v>1</v>
      </c>
      <c r="O1652">
        <v>1</v>
      </c>
      <c r="P1652" t="str">
        <f>"01"</f>
        <v>01</v>
      </c>
      <c r="Q1652" t="s">
        <v>835</v>
      </c>
      <c r="S1652" t="s">
        <v>836</v>
      </c>
      <c r="T1652" t="s">
        <v>836</v>
      </c>
      <c r="U1652" t="str">
        <f t="shared" si="469"/>
        <v>2500-12-31 00:00:00.0</v>
      </c>
      <c r="V1652" t="s">
        <v>837</v>
      </c>
      <c r="W1652" t="str">
        <f>"048314-038430-**-**"</f>
        <v>048314-038430-**-**</v>
      </c>
      <c r="X1652" t="s">
        <v>838</v>
      </c>
      <c r="Y1652">
        <v>1206.25</v>
      </c>
      <c r="Z1652">
        <v>1206.25</v>
      </c>
      <c r="AA1652" t="str">
        <f>"06/08/2016"</f>
        <v>06/08/2016</v>
      </c>
    </row>
    <row r="1653" spans="1:27" x14ac:dyDescent="0.3">
      <c r="A1653" t="str">
        <f t="shared" si="454"/>
        <v>048314</v>
      </c>
      <c r="B1653" t="str">
        <f t="shared" si="467"/>
        <v>038430</v>
      </c>
      <c r="C1653" t="s">
        <v>3348</v>
      </c>
      <c r="D1653" t="s">
        <v>3839</v>
      </c>
      <c r="E1653" t="s">
        <v>3840</v>
      </c>
      <c r="F1653" t="s">
        <v>3841</v>
      </c>
      <c r="G1653" t="s">
        <v>3842</v>
      </c>
      <c r="H1653" t="str">
        <f>"048314"</f>
        <v>048314</v>
      </c>
      <c r="I1653" t="s">
        <v>833</v>
      </c>
      <c r="J1653" t="str">
        <f>"2015-07-01 00:00:00.0"</f>
        <v>2015-07-01 00:00:00.0</v>
      </c>
      <c r="K1653" t="s">
        <v>834</v>
      </c>
      <c r="L1653" t="s">
        <v>0</v>
      </c>
      <c r="M1653" t="str">
        <f t="shared" si="462"/>
        <v>048314</v>
      </c>
      <c r="N1653">
        <v>1</v>
      </c>
      <c r="O1653">
        <v>1</v>
      </c>
      <c r="P1653" t="str">
        <f>"04"</f>
        <v>04</v>
      </c>
      <c r="Q1653" t="s">
        <v>835</v>
      </c>
      <c r="S1653" t="s">
        <v>836</v>
      </c>
      <c r="T1653" t="s">
        <v>836</v>
      </c>
      <c r="U1653" t="str">
        <f t="shared" si="469"/>
        <v>2500-12-31 00:00:00.0</v>
      </c>
      <c r="V1653" t="s">
        <v>837</v>
      </c>
      <c r="W1653" t="str">
        <f>"048314-038430-**-**"</f>
        <v>048314-038430-**-**</v>
      </c>
      <c r="X1653" t="s">
        <v>838</v>
      </c>
      <c r="Y1653">
        <v>1206.25</v>
      </c>
      <c r="Z1653">
        <v>1206.25</v>
      </c>
      <c r="AA1653" t="str">
        <f>"06/08/2016"</f>
        <v>06/08/2016</v>
      </c>
    </row>
    <row r="1654" spans="1:27" x14ac:dyDescent="0.3">
      <c r="A1654" t="str">
        <f t="shared" si="454"/>
        <v>048314</v>
      </c>
      <c r="B1654" t="str">
        <f t="shared" si="467"/>
        <v>038430</v>
      </c>
      <c r="C1654" t="s">
        <v>1060</v>
      </c>
      <c r="D1654" t="s">
        <v>3839</v>
      </c>
      <c r="E1654" t="s">
        <v>3840</v>
      </c>
      <c r="F1654" t="s">
        <v>3841</v>
      </c>
      <c r="G1654" t="s">
        <v>3842</v>
      </c>
      <c r="H1654" t="str">
        <f>"048363"</f>
        <v>048363</v>
      </c>
      <c r="I1654" t="s">
        <v>833</v>
      </c>
      <c r="J1654" t="str">
        <f>"2015-07-01 00:00:00.0"</f>
        <v>2015-07-01 00:00:00.0</v>
      </c>
      <c r="K1654" t="s">
        <v>834</v>
      </c>
      <c r="L1654" t="s">
        <v>1</v>
      </c>
      <c r="M1654" t="str">
        <f t="shared" si="462"/>
        <v>048314</v>
      </c>
      <c r="N1654">
        <v>1</v>
      </c>
      <c r="O1654">
        <v>1</v>
      </c>
      <c r="P1654" t="str">
        <f>"01"</f>
        <v>01</v>
      </c>
      <c r="Q1654" t="s">
        <v>835</v>
      </c>
      <c r="S1654" t="s">
        <v>836</v>
      </c>
      <c r="T1654" t="s">
        <v>836</v>
      </c>
      <c r="U1654" t="str">
        <f t="shared" si="469"/>
        <v>2500-12-31 00:00:00.0</v>
      </c>
      <c r="V1654" t="s">
        <v>837</v>
      </c>
      <c r="W1654" t="str">
        <f>"048363-026211-**-**"</f>
        <v>048363-026211-**-**</v>
      </c>
      <c r="X1654" t="s">
        <v>838</v>
      </c>
      <c r="Y1654">
        <v>1127</v>
      </c>
      <c r="Z1654">
        <v>1127</v>
      </c>
      <c r="AA1654" t="str">
        <f>"06/15/2016"</f>
        <v>06/15/2016</v>
      </c>
    </row>
    <row r="1655" spans="1:27" x14ac:dyDescent="0.3">
      <c r="A1655" t="str">
        <f t="shared" si="454"/>
        <v>048314</v>
      </c>
      <c r="B1655" t="str">
        <f t="shared" si="467"/>
        <v>038430</v>
      </c>
      <c r="C1655" t="s">
        <v>953</v>
      </c>
      <c r="D1655" t="s">
        <v>3839</v>
      </c>
      <c r="E1655" t="s">
        <v>3840</v>
      </c>
      <c r="F1655" t="s">
        <v>3841</v>
      </c>
      <c r="G1655" t="s">
        <v>3842</v>
      </c>
      <c r="H1655" t="str">
        <f>"048298"</f>
        <v>048298</v>
      </c>
      <c r="I1655" t="s">
        <v>833</v>
      </c>
      <c r="J1655" t="str">
        <f>"2015-08-24 00:00:00.0"</f>
        <v>2015-08-24 00:00:00.0</v>
      </c>
      <c r="K1655" t="s">
        <v>834</v>
      </c>
      <c r="L1655" t="s">
        <v>1</v>
      </c>
      <c r="M1655" t="str">
        <f t="shared" si="462"/>
        <v>048314</v>
      </c>
      <c r="N1655">
        <v>1</v>
      </c>
      <c r="O1655">
        <v>1</v>
      </c>
      <c r="P1655" t="s">
        <v>764</v>
      </c>
      <c r="Q1655" t="s">
        <v>835</v>
      </c>
      <c r="S1655" t="s">
        <v>860</v>
      </c>
      <c r="T1655" t="s">
        <v>836</v>
      </c>
      <c r="U1655" t="str">
        <f t="shared" si="469"/>
        <v>2500-12-31 00:00:00.0</v>
      </c>
      <c r="V1655" t="s">
        <v>837</v>
      </c>
      <c r="W1655" t="str">
        <f>"048298-039867-KG-KH"</f>
        <v>048298-039867-KG-KH</v>
      </c>
      <c r="X1655" t="s">
        <v>838</v>
      </c>
      <c r="Y1655">
        <v>1137.5</v>
      </c>
      <c r="Z1655">
        <v>1137.5</v>
      </c>
      <c r="AA1655" t="str">
        <f>"06/15/2016"</f>
        <v>06/15/2016</v>
      </c>
    </row>
    <row r="1656" spans="1:27" x14ac:dyDescent="0.3">
      <c r="A1656" t="str">
        <f t="shared" si="454"/>
        <v>048314</v>
      </c>
      <c r="B1656" t="str">
        <f t="shared" si="467"/>
        <v>038430</v>
      </c>
      <c r="C1656" t="s">
        <v>1046</v>
      </c>
      <c r="D1656" t="s">
        <v>3839</v>
      </c>
      <c r="E1656" t="s">
        <v>3840</v>
      </c>
      <c r="F1656" t="s">
        <v>3841</v>
      </c>
      <c r="G1656" t="s">
        <v>3842</v>
      </c>
      <c r="H1656" t="str">
        <f t="shared" ref="H1656:H1682" si="470">"048314"</f>
        <v>048314</v>
      </c>
      <c r="I1656" t="s">
        <v>833</v>
      </c>
      <c r="J1656" t="str">
        <f>"2015-07-01 00:00:00.0"</f>
        <v>2015-07-01 00:00:00.0</v>
      </c>
      <c r="K1656" t="s">
        <v>834</v>
      </c>
      <c r="L1656" t="s">
        <v>0</v>
      </c>
      <c r="M1656" t="str">
        <f t="shared" si="462"/>
        <v>048314</v>
      </c>
      <c r="N1656">
        <v>1</v>
      </c>
      <c r="O1656">
        <v>1</v>
      </c>
      <c r="P1656" t="s">
        <v>764</v>
      </c>
      <c r="Q1656" t="str">
        <f>"05"</f>
        <v>05</v>
      </c>
      <c r="R1656" t="str">
        <f>"1"</f>
        <v>1</v>
      </c>
      <c r="S1656" t="s">
        <v>860</v>
      </c>
      <c r="T1656" t="s">
        <v>836</v>
      </c>
      <c r="U1656" t="str">
        <f t="shared" si="469"/>
        <v>2500-12-31 00:00:00.0</v>
      </c>
      <c r="V1656" t="s">
        <v>837</v>
      </c>
      <c r="W1656" t="str">
        <f>"048314-038430-**-**"</f>
        <v>048314-038430-**-**</v>
      </c>
      <c r="X1656" t="s">
        <v>838</v>
      </c>
      <c r="Y1656">
        <v>1206.25</v>
      </c>
      <c r="Z1656">
        <v>1206.25</v>
      </c>
      <c r="AA1656" t="str">
        <f t="shared" ref="AA1656:AA1682" si="471">"06/08/2016"</f>
        <v>06/08/2016</v>
      </c>
    </row>
    <row r="1657" spans="1:27" x14ac:dyDescent="0.3">
      <c r="A1657" t="str">
        <f t="shared" si="454"/>
        <v>048314</v>
      </c>
      <c r="B1657" t="str">
        <f t="shared" si="467"/>
        <v>038430</v>
      </c>
      <c r="C1657" t="s">
        <v>3005</v>
      </c>
      <c r="D1657" t="s">
        <v>3839</v>
      </c>
      <c r="E1657" t="s">
        <v>3840</v>
      </c>
      <c r="F1657" t="s">
        <v>3841</v>
      </c>
      <c r="G1657" t="s">
        <v>3842</v>
      </c>
      <c r="H1657" t="str">
        <f t="shared" si="470"/>
        <v>048314</v>
      </c>
      <c r="I1657" t="s">
        <v>833</v>
      </c>
      <c r="J1657" t="str">
        <f>"2015-07-01 00:00:00.0"</f>
        <v>2015-07-01 00:00:00.0</v>
      </c>
      <c r="K1657" t="s">
        <v>834</v>
      </c>
      <c r="L1657" t="s">
        <v>0</v>
      </c>
      <c r="M1657" t="str">
        <f t="shared" si="462"/>
        <v>048314</v>
      </c>
      <c r="N1657">
        <v>1</v>
      </c>
      <c r="O1657">
        <v>1</v>
      </c>
      <c r="P1657" t="str">
        <f>"02"</f>
        <v>02</v>
      </c>
      <c r="Q1657" t="s">
        <v>835</v>
      </c>
      <c r="S1657" t="s">
        <v>836</v>
      </c>
      <c r="T1657" t="s">
        <v>836</v>
      </c>
      <c r="U1657" t="str">
        <f t="shared" si="469"/>
        <v>2500-12-31 00:00:00.0</v>
      </c>
      <c r="V1657" t="s">
        <v>837</v>
      </c>
      <c r="W1657" t="str">
        <f>"048314-004697-**-**"</f>
        <v>048314-004697-**-**</v>
      </c>
      <c r="X1657" t="s">
        <v>838</v>
      </c>
      <c r="Y1657">
        <v>1206.25</v>
      </c>
      <c r="Z1657">
        <v>1206.25</v>
      </c>
      <c r="AA1657" t="str">
        <f t="shared" si="471"/>
        <v>06/08/2016</v>
      </c>
    </row>
    <row r="1658" spans="1:27" x14ac:dyDescent="0.3">
      <c r="A1658" t="str">
        <f t="shared" si="454"/>
        <v>048314</v>
      </c>
      <c r="B1658" t="str">
        <f t="shared" si="467"/>
        <v>038430</v>
      </c>
      <c r="C1658" t="s">
        <v>3680</v>
      </c>
      <c r="D1658" t="s">
        <v>3839</v>
      </c>
      <c r="E1658" t="s">
        <v>3840</v>
      </c>
      <c r="F1658" t="s">
        <v>3841</v>
      </c>
      <c r="G1658" t="s">
        <v>3842</v>
      </c>
      <c r="H1658" t="str">
        <f t="shared" si="470"/>
        <v>048314</v>
      </c>
      <c r="I1658" t="s">
        <v>833</v>
      </c>
      <c r="J1658" t="str">
        <f>"2015-08-01 00:00:00.0"</f>
        <v>2015-08-01 00:00:00.0</v>
      </c>
      <c r="K1658" t="s">
        <v>834</v>
      </c>
      <c r="L1658" t="s">
        <v>0</v>
      </c>
      <c r="M1658" t="str">
        <f t="shared" si="462"/>
        <v>048314</v>
      </c>
      <c r="N1658">
        <v>1</v>
      </c>
      <c r="O1658">
        <v>1</v>
      </c>
      <c r="P1658" t="s">
        <v>764</v>
      </c>
      <c r="Q1658" t="s">
        <v>835</v>
      </c>
      <c r="S1658" t="s">
        <v>836</v>
      </c>
      <c r="T1658" t="s">
        <v>836</v>
      </c>
      <c r="U1658" t="str">
        <f t="shared" si="469"/>
        <v>2500-12-31 00:00:00.0</v>
      </c>
      <c r="V1658" t="s">
        <v>837</v>
      </c>
      <c r="W1658" t="str">
        <f t="shared" ref="W1658:W1672" si="472">"048314-038430-**-**"</f>
        <v>048314-038430-**-**</v>
      </c>
      <c r="X1658" t="s">
        <v>838</v>
      </c>
      <c r="Y1658">
        <v>1206.25</v>
      </c>
      <c r="Z1658">
        <v>1206.25</v>
      </c>
      <c r="AA1658" t="str">
        <f t="shared" si="471"/>
        <v>06/08/2016</v>
      </c>
    </row>
    <row r="1659" spans="1:27" x14ac:dyDescent="0.3">
      <c r="A1659" t="str">
        <f t="shared" si="454"/>
        <v>048314</v>
      </c>
      <c r="B1659" t="str">
        <f t="shared" si="467"/>
        <v>038430</v>
      </c>
      <c r="C1659" t="s">
        <v>2985</v>
      </c>
      <c r="D1659" t="s">
        <v>3839</v>
      </c>
      <c r="E1659" t="s">
        <v>3840</v>
      </c>
      <c r="F1659" t="s">
        <v>3841</v>
      </c>
      <c r="G1659" t="s">
        <v>3842</v>
      </c>
      <c r="H1659" t="str">
        <f t="shared" si="470"/>
        <v>048314</v>
      </c>
      <c r="I1659" t="s">
        <v>833</v>
      </c>
      <c r="J1659" t="str">
        <f>"2015-07-01 00:00:00.0"</f>
        <v>2015-07-01 00:00:00.0</v>
      </c>
      <c r="K1659" t="s">
        <v>834</v>
      </c>
      <c r="L1659" t="s">
        <v>0</v>
      </c>
      <c r="M1659" t="str">
        <f t="shared" si="462"/>
        <v>048314</v>
      </c>
      <c r="N1659">
        <v>1</v>
      </c>
      <c r="O1659">
        <v>1</v>
      </c>
      <c r="P1659" t="str">
        <f>"02"</f>
        <v>02</v>
      </c>
      <c r="Q1659" t="s">
        <v>835</v>
      </c>
      <c r="S1659" t="s">
        <v>836</v>
      </c>
      <c r="T1659" t="s">
        <v>836</v>
      </c>
      <c r="U1659" t="str">
        <f t="shared" si="469"/>
        <v>2500-12-31 00:00:00.0</v>
      </c>
      <c r="V1659" t="s">
        <v>837</v>
      </c>
      <c r="W1659" t="str">
        <f t="shared" si="472"/>
        <v>048314-038430-**-**</v>
      </c>
      <c r="X1659" t="s">
        <v>838</v>
      </c>
      <c r="Y1659">
        <v>1206.25</v>
      </c>
      <c r="Z1659">
        <v>1206.25</v>
      </c>
      <c r="AA1659" t="str">
        <f t="shared" si="471"/>
        <v>06/08/2016</v>
      </c>
    </row>
    <row r="1660" spans="1:27" x14ac:dyDescent="0.3">
      <c r="A1660" t="str">
        <f t="shared" si="454"/>
        <v>048314</v>
      </c>
      <c r="B1660" t="str">
        <f t="shared" si="467"/>
        <v>038430</v>
      </c>
      <c r="C1660" t="s">
        <v>2237</v>
      </c>
      <c r="D1660" t="s">
        <v>3839</v>
      </c>
      <c r="E1660" t="s">
        <v>3840</v>
      </c>
      <c r="F1660" t="s">
        <v>3841</v>
      </c>
      <c r="G1660" t="s">
        <v>3842</v>
      </c>
      <c r="H1660" t="str">
        <f t="shared" si="470"/>
        <v>048314</v>
      </c>
      <c r="I1660" t="s">
        <v>833</v>
      </c>
      <c r="J1660" t="str">
        <f>"2015-07-01 00:00:00.0"</f>
        <v>2015-07-01 00:00:00.0</v>
      </c>
      <c r="K1660" t="s">
        <v>834</v>
      </c>
      <c r="L1660" t="s">
        <v>0</v>
      </c>
      <c r="M1660" t="str">
        <f t="shared" si="462"/>
        <v>048314</v>
      </c>
      <c r="N1660">
        <v>1</v>
      </c>
      <c r="O1660">
        <v>1</v>
      </c>
      <c r="P1660" t="str">
        <f>"01"</f>
        <v>01</v>
      </c>
      <c r="Q1660" t="s">
        <v>835</v>
      </c>
      <c r="S1660" t="s">
        <v>836</v>
      </c>
      <c r="T1660" t="s">
        <v>836</v>
      </c>
      <c r="U1660" t="str">
        <f t="shared" si="469"/>
        <v>2500-12-31 00:00:00.0</v>
      </c>
      <c r="V1660" t="s">
        <v>837</v>
      </c>
      <c r="W1660" t="str">
        <f t="shared" si="472"/>
        <v>048314-038430-**-**</v>
      </c>
      <c r="X1660" t="s">
        <v>838</v>
      </c>
      <c r="Y1660">
        <v>1206.25</v>
      </c>
      <c r="Z1660">
        <v>1206.25</v>
      </c>
      <c r="AA1660" t="str">
        <f t="shared" si="471"/>
        <v>06/08/2016</v>
      </c>
    </row>
    <row r="1661" spans="1:27" x14ac:dyDescent="0.3">
      <c r="A1661" t="str">
        <f t="shared" si="454"/>
        <v>048314</v>
      </c>
      <c r="B1661" t="str">
        <f t="shared" si="467"/>
        <v>038430</v>
      </c>
      <c r="C1661" t="s">
        <v>3525</v>
      </c>
      <c r="D1661" t="s">
        <v>3839</v>
      </c>
      <c r="E1661" t="s">
        <v>3840</v>
      </c>
      <c r="F1661" t="s">
        <v>3841</v>
      </c>
      <c r="G1661" t="s">
        <v>3842</v>
      </c>
      <c r="H1661" t="str">
        <f t="shared" si="470"/>
        <v>048314</v>
      </c>
      <c r="I1661" t="s">
        <v>833</v>
      </c>
      <c r="J1661" t="str">
        <f>"2015-07-01 00:00:00.0"</f>
        <v>2015-07-01 00:00:00.0</v>
      </c>
      <c r="K1661" t="s">
        <v>834</v>
      </c>
      <c r="L1661" t="s">
        <v>0</v>
      </c>
      <c r="M1661" t="str">
        <f t="shared" si="462"/>
        <v>048314</v>
      </c>
      <c r="N1661">
        <v>1</v>
      </c>
      <c r="O1661">
        <v>1</v>
      </c>
      <c r="P1661" t="str">
        <f>"03"</f>
        <v>03</v>
      </c>
      <c r="Q1661" t="s">
        <v>835</v>
      </c>
      <c r="S1661" t="s">
        <v>836</v>
      </c>
      <c r="T1661" t="s">
        <v>836</v>
      </c>
      <c r="U1661" t="str">
        <f t="shared" si="469"/>
        <v>2500-12-31 00:00:00.0</v>
      </c>
      <c r="V1661" t="s">
        <v>837</v>
      </c>
      <c r="W1661" t="str">
        <f t="shared" si="472"/>
        <v>048314-038430-**-**</v>
      </c>
      <c r="X1661" t="s">
        <v>838</v>
      </c>
      <c r="Y1661">
        <v>1206.25</v>
      </c>
      <c r="Z1661">
        <v>1206.25</v>
      </c>
      <c r="AA1661" t="str">
        <f t="shared" si="471"/>
        <v>06/08/2016</v>
      </c>
    </row>
    <row r="1662" spans="1:27" x14ac:dyDescent="0.3">
      <c r="A1662" t="str">
        <f t="shared" si="454"/>
        <v>048314</v>
      </c>
      <c r="B1662" t="str">
        <f t="shared" si="467"/>
        <v>038430</v>
      </c>
      <c r="C1662" t="s">
        <v>3021</v>
      </c>
      <c r="D1662" t="s">
        <v>3839</v>
      </c>
      <c r="E1662" t="s">
        <v>3840</v>
      </c>
      <c r="F1662" t="s">
        <v>3841</v>
      </c>
      <c r="G1662" t="s">
        <v>3842</v>
      </c>
      <c r="H1662" t="str">
        <f t="shared" si="470"/>
        <v>048314</v>
      </c>
      <c r="I1662" t="s">
        <v>833</v>
      </c>
      <c r="J1662" t="str">
        <f>"2016-01-29 00:00:00.0"</f>
        <v>2016-01-29 00:00:00.0</v>
      </c>
      <c r="K1662" t="s">
        <v>834</v>
      </c>
      <c r="L1662" t="s">
        <v>0</v>
      </c>
      <c r="M1662" t="str">
        <f t="shared" si="462"/>
        <v>048314</v>
      </c>
      <c r="N1662">
        <v>0.46632099999999999</v>
      </c>
      <c r="O1662">
        <v>0.46632099999999999</v>
      </c>
      <c r="P1662" t="str">
        <f>"01"</f>
        <v>01</v>
      </c>
      <c r="Q1662" t="str">
        <f>"10"</f>
        <v>10</v>
      </c>
      <c r="R1662" t="str">
        <f>"2"</f>
        <v>2</v>
      </c>
      <c r="S1662" t="s">
        <v>836</v>
      </c>
      <c r="T1662" t="s">
        <v>836</v>
      </c>
      <c r="U1662" t="str">
        <f t="shared" si="469"/>
        <v>2500-12-31 00:00:00.0</v>
      </c>
      <c r="V1662" t="s">
        <v>837</v>
      </c>
      <c r="W1662" t="str">
        <f t="shared" si="472"/>
        <v>048314-038430-**-**</v>
      </c>
      <c r="X1662" t="s">
        <v>838</v>
      </c>
      <c r="Y1662">
        <v>562.5</v>
      </c>
      <c r="Z1662">
        <v>1206.25</v>
      </c>
      <c r="AA1662" t="str">
        <f t="shared" si="471"/>
        <v>06/08/2016</v>
      </c>
    </row>
    <row r="1663" spans="1:27" x14ac:dyDescent="0.3">
      <c r="A1663" t="str">
        <f t="shared" si="454"/>
        <v>048314</v>
      </c>
      <c r="B1663" t="str">
        <f t="shared" si="467"/>
        <v>038430</v>
      </c>
      <c r="C1663" t="s">
        <v>3021</v>
      </c>
      <c r="D1663" t="s">
        <v>3839</v>
      </c>
      <c r="E1663" t="s">
        <v>3840</v>
      </c>
      <c r="F1663" t="s">
        <v>3841</v>
      </c>
      <c r="G1663" t="s">
        <v>3842</v>
      </c>
      <c r="H1663" t="str">
        <f t="shared" si="470"/>
        <v>048314</v>
      </c>
      <c r="I1663" t="s">
        <v>833</v>
      </c>
      <c r="J1663" t="str">
        <f>"2015-08-31 00:00:00.0"</f>
        <v>2015-08-31 00:00:00.0</v>
      </c>
      <c r="K1663" t="s">
        <v>834</v>
      </c>
      <c r="L1663" t="s">
        <v>0</v>
      </c>
      <c r="M1663" t="str">
        <f t="shared" si="462"/>
        <v>048314</v>
      </c>
      <c r="N1663">
        <v>0.53367900000000001</v>
      </c>
      <c r="O1663">
        <v>0.53367900000000001</v>
      </c>
      <c r="P1663" t="str">
        <f>"01"</f>
        <v>01</v>
      </c>
      <c r="Q1663" t="str">
        <f>"05"</f>
        <v>05</v>
      </c>
      <c r="R1663" t="str">
        <f>"1"</f>
        <v>1</v>
      </c>
      <c r="S1663" t="s">
        <v>836</v>
      </c>
      <c r="T1663" t="s">
        <v>836</v>
      </c>
      <c r="U1663" t="str">
        <f>"2016-01-28 00:00:00.0"</f>
        <v>2016-01-28 00:00:00.0</v>
      </c>
      <c r="V1663" t="s">
        <v>837</v>
      </c>
      <c r="W1663" t="str">
        <f t="shared" si="472"/>
        <v>048314-038430-**-**</v>
      </c>
      <c r="X1663" t="s">
        <v>838</v>
      </c>
      <c r="Y1663">
        <v>643.75</v>
      </c>
      <c r="Z1663">
        <v>1206.25</v>
      </c>
      <c r="AA1663" t="str">
        <f t="shared" si="471"/>
        <v>06/08/2016</v>
      </c>
    </row>
    <row r="1664" spans="1:27" x14ac:dyDescent="0.3">
      <c r="A1664" t="str">
        <f t="shared" si="454"/>
        <v>048314</v>
      </c>
      <c r="B1664" t="str">
        <f t="shared" si="467"/>
        <v>038430</v>
      </c>
      <c r="C1664" t="s">
        <v>3210</v>
      </c>
      <c r="D1664" t="s">
        <v>3839</v>
      </c>
      <c r="E1664" t="s">
        <v>3840</v>
      </c>
      <c r="F1664" t="s">
        <v>3841</v>
      </c>
      <c r="G1664" t="s">
        <v>3842</v>
      </c>
      <c r="H1664" t="str">
        <f t="shared" si="470"/>
        <v>048314</v>
      </c>
      <c r="I1664" t="s">
        <v>833</v>
      </c>
      <c r="J1664" t="str">
        <f t="shared" ref="J1664:J1671" si="473">"2015-07-01 00:00:00.0"</f>
        <v>2015-07-01 00:00:00.0</v>
      </c>
      <c r="K1664" t="s">
        <v>834</v>
      </c>
      <c r="L1664" t="s">
        <v>0</v>
      </c>
      <c r="M1664" t="str">
        <f t="shared" si="462"/>
        <v>048314</v>
      </c>
      <c r="N1664">
        <v>1</v>
      </c>
      <c r="O1664">
        <v>1</v>
      </c>
      <c r="P1664" t="str">
        <f>"03"</f>
        <v>03</v>
      </c>
      <c r="Q1664" t="s">
        <v>835</v>
      </c>
      <c r="S1664" t="s">
        <v>836</v>
      </c>
      <c r="T1664" t="s">
        <v>836</v>
      </c>
      <c r="U1664" t="str">
        <f t="shared" ref="U1664:U1672" si="474">"2500-12-31 00:00:00.0"</f>
        <v>2500-12-31 00:00:00.0</v>
      </c>
      <c r="V1664" t="s">
        <v>837</v>
      </c>
      <c r="W1664" t="str">
        <f t="shared" si="472"/>
        <v>048314-038430-**-**</v>
      </c>
      <c r="X1664" t="s">
        <v>838</v>
      </c>
      <c r="Y1664">
        <v>1206.25</v>
      </c>
      <c r="Z1664">
        <v>1206.25</v>
      </c>
      <c r="AA1664" t="str">
        <f t="shared" si="471"/>
        <v>06/08/2016</v>
      </c>
    </row>
    <row r="1665" spans="1:27" x14ac:dyDescent="0.3">
      <c r="A1665" t="str">
        <f t="shared" si="454"/>
        <v>048314</v>
      </c>
      <c r="B1665" t="str">
        <f t="shared" si="467"/>
        <v>038430</v>
      </c>
      <c r="C1665" t="s">
        <v>1091</v>
      </c>
      <c r="D1665" t="s">
        <v>3839</v>
      </c>
      <c r="E1665" t="s">
        <v>3840</v>
      </c>
      <c r="F1665" t="s">
        <v>3841</v>
      </c>
      <c r="G1665" t="s">
        <v>3842</v>
      </c>
      <c r="H1665" t="str">
        <f t="shared" si="470"/>
        <v>048314</v>
      </c>
      <c r="I1665" t="s">
        <v>833</v>
      </c>
      <c r="J1665" t="str">
        <f t="shared" si="473"/>
        <v>2015-07-01 00:00:00.0</v>
      </c>
      <c r="K1665" t="s">
        <v>834</v>
      </c>
      <c r="L1665" t="s">
        <v>0</v>
      </c>
      <c r="M1665" t="str">
        <f t="shared" si="462"/>
        <v>048314</v>
      </c>
      <c r="N1665">
        <v>1</v>
      </c>
      <c r="O1665">
        <v>1</v>
      </c>
      <c r="P1665" t="str">
        <f>"02"</f>
        <v>02</v>
      </c>
      <c r="Q1665" t="s">
        <v>835</v>
      </c>
      <c r="S1665" t="s">
        <v>836</v>
      </c>
      <c r="T1665" t="s">
        <v>836</v>
      </c>
      <c r="U1665" t="str">
        <f t="shared" si="474"/>
        <v>2500-12-31 00:00:00.0</v>
      </c>
      <c r="V1665" t="s">
        <v>837</v>
      </c>
      <c r="W1665" t="str">
        <f t="shared" si="472"/>
        <v>048314-038430-**-**</v>
      </c>
      <c r="X1665" t="s">
        <v>838</v>
      </c>
      <c r="Y1665">
        <v>1206.25</v>
      </c>
      <c r="Z1665">
        <v>1206.25</v>
      </c>
      <c r="AA1665" t="str">
        <f t="shared" si="471"/>
        <v>06/08/2016</v>
      </c>
    </row>
    <row r="1666" spans="1:27" x14ac:dyDescent="0.3">
      <c r="A1666" t="str">
        <f t="shared" ref="A1666:A1729" si="475">"048314"</f>
        <v>048314</v>
      </c>
      <c r="B1666" t="str">
        <f t="shared" si="467"/>
        <v>038430</v>
      </c>
      <c r="C1666" t="s">
        <v>3517</v>
      </c>
      <c r="D1666" t="s">
        <v>3839</v>
      </c>
      <c r="E1666" t="s">
        <v>3840</v>
      </c>
      <c r="F1666" t="s">
        <v>3841</v>
      </c>
      <c r="G1666" t="s">
        <v>3842</v>
      </c>
      <c r="H1666" t="str">
        <f t="shared" si="470"/>
        <v>048314</v>
      </c>
      <c r="I1666" t="s">
        <v>833</v>
      </c>
      <c r="J1666" t="str">
        <f t="shared" si="473"/>
        <v>2015-07-01 00:00:00.0</v>
      </c>
      <c r="K1666" t="s">
        <v>834</v>
      </c>
      <c r="L1666" t="s">
        <v>0</v>
      </c>
      <c r="M1666" t="str">
        <f t="shared" si="462"/>
        <v>048314</v>
      </c>
      <c r="N1666">
        <v>1</v>
      </c>
      <c r="O1666">
        <v>1</v>
      </c>
      <c r="P1666" t="str">
        <f>"03"</f>
        <v>03</v>
      </c>
      <c r="Q1666" t="s">
        <v>835</v>
      </c>
      <c r="S1666" t="s">
        <v>836</v>
      </c>
      <c r="T1666" t="s">
        <v>836</v>
      </c>
      <c r="U1666" t="str">
        <f t="shared" si="474"/>
        <v>2500-12-31 00:00:00.0</v>
      </c>
      <c r="V1666" t="s">
        <v>837</v>
      </c>
      <c r="W1666" t="str">
        <f t="shared" si="472"/>
        <v>048314-038430-**-**</v>
      </c>
      <c r="X1666" t="s">
        <v>838</v>
      </c>
      <c r="Y1666">
        <v>1206.25</v>
      </c>
      <c r="Z1666">
        <v>1206.25</v>
      </c>
      <c r="AA1666" t="str">
        <f t="shared" si="471"/>
        <v>06/08/2016</v>
      </c>
    </row>
    <row r="1667" spans="1:27" x14ac:dyDescent="0.3">
      <c r="A1667" t="str">
        <f t="shared" si="475"/>
        <v>048314</v>
      </c>
      <c r="B1667" t="str">
        <f t="shared" si="467"/>
        <v>038430</v>
      </c>
      <c r="C1667" t="s">
        <v>1015</v>
      </c>
      <c r="D1667" t="s">
        <v>3839</v>
      </c>
      <c r="E1667" t="s">
        <v>3840</v>
      </c>
      <c r="F1667" t="s">
        <v>3841</v>
      </c>
      <c r="G1667" t="s">
        <v>3842</v>
      </c>
      <c r="H1667" t="str">
        <f t="shared" si="470"/>
        <v>048314</v>
      </c>
      <c r="I1667" t="s">
        <v>833</v>
      </c>
      <c r="J1667" t="str">
        <f t="shared" si="473"/>
        <v>2015-07-01 00:00:00.0</v>
      </c>
      <c r="K1667" t="s">
        <v>834</v>
      </c>
      <c r="L1667" t="s">
        <v>0</v>
      </c>
      <c r="M1667" t="str">
        <f t="shared" si="462"/>
        <v>048314</v>
      </c>
      <c r="N1667">
        <v>1</v>
      </c>
      <c r="O1667">
        <v>1</v>
      </c>
      <c r="P1667" t="str">
        <f>"01"</f>
        <v>01</v>
      </c>
      <c r="Q1667" t="s">
        <v>835</v>
      </c>
      <c r="S1667" t="s">
        <v>836</v>
      </c>
      <c r="T1667" t="s">
        <v>836</v>
      </c>
      <c r="U1667" t="str">
        <f t="shared" si="474"/>
        <v>2500-12-31 00:00:00.0</v>
      </c>
      <c r="V1667" t="s">
        <v>837</v>
      </c>
      <c r="W1667" t="str">
        <f t="shared" si="472"/>
        <v>048314-038430-**-**</v>
      </c>
      <c r="X1667" t="s">
        <v>838</v>
      </c>
      <c r="Y1667">
        <v>1206.25</v>
      </c>
      <c r="Z1667">
        <v>1206.25</v>
      </c>
      <c r="AA1667" t="str">
        <f t="shared" si="471"/>
        <v>06/08/2016</v>
      </c>
    </row>
    <row r="1668" spans="1:27" x14ac:dyDescent="0.3">
      <c r="A1668" t="str">
        <f t="shared" si="475"/>
        <v>048314</v>
      </c>
      <c r="B1668" t="str">
        <f t="shared" si="467"/>
        <v>038430</v>
      </c>
      <c r="C1668" t="s">
        <v>3346</v>
      </c>
      <c r="D1668" t="s">
        <v>3839</v>
      </c>
      <c r="E1668" t="s">
        <v>3840</v>
      </c>
      <c r="F1668" t="s">
        <v>3841</v>
      </c>
      <c r="G1668" t="s">
        <v>3842</v>
      </c>
      <c r="H1668" t="str">
        <f t="shared" si="470"/>
        <v>048314</v>
      </c>
      <c r="I1668" t="s">
        <v>833</v>
      </c>
      <c r="J1668" t="str">
        <f t="shared" si="473"/>
        <v>2015-07-01 00:00:00.0</v>
      </c>
      <c r="K1668" t="s">
        <v>834</v>
      </c>
      <c r="L1668" t="s">
        <v>0</v>
      </c>
      <c r="M1668" t="str">
        <f t="shared" si="462"/>
        <v>048314</v>
      </c>
      <c r="N1668">
        <v>1</v>
      </c>
      <c r="O1668">
        <v>1</v>
      </c>
      <c r="P1668" t="str">
        <f>"04"</f>
        <v>04</v>
      </c>
      <c r="Q1668" t="s">
        <v>835</v>
      </c>
      <c r="S1668" t="s">
        <v>836</v>
      </c>
      <c r="T1668" t="s">
        <v>836</v>
      </c>
      <c r="U1668" t="str">
        <f t="shared" si="474"/>
        <v>2500-12-31 00:00:00.0</v>
      </c>
      <c r="V1668" t="s">
        <v>837</v>
      </c>
      <c r="W1668" t="str">
        <f t="shared" si="472"/>
        <v>048314-038430-**-**</v>
      </c>
      <c r="X1668" t="s">
        <v>838</v>
      </c>
      <c r="Y1668">
        <v>1206.25</v>
      </c>
      <c r="Z1668">
        <v>1206.25</v>
      </c>
      <c r="AA1668" t="str">
        <f t="shared" si="471"/>
        <v>06/08/2016</v>
      </c>
    </row>
    <row r="1669" spans="1:27" x14ac:dyDescent="0.3">
      <c r="A1669" t="str">
        <f t="shared" si="475"/>
        <v>048314</v>
      </c>
      <c r="B1669" t="str">
        <f t="shared" si="467"/>
        <v>038430</v>
      </c>
      <c r="C1669" t="s">
        <v>859</v>
      </c>
      <c r="D1669" t="s">
        <v>3839</v>
      </c>
      <c r="E1669" t="s">
        <v>3840</v>
      </c>
      <c r="F1669" t="s">
        <v>3841</v>
      </c>
      <c r="G1669" t="s">
        <v>3842</v>
      </c>
      <c r="H1669" t="str">
        <f t="shared" si="470"/>
        <v>048314</v>
      </c>
      <c r="I1669" t="s">
        <v>833</v>
      </c>
      <c r="J1669" t="str">
        <f t="shared" si="473"/>
        <v>2015-07-01 00:00:00.0</v>
      </c>
      <c r="K1669" t="s">
        <v>834</v>
      </c>
      <c r="L1669" t="s">
        <v>0</v>
      </c>
      <c r="M1669" t="str">
        <f t="shared" si="462"/>
        <v>048314</v>
      </c>
      <c r="N1669">
        <v>1</v>
      </c>
      <c r="O1669">
        <v>1</v>
      </c>
      <c r="P1669" t="str">
        <f>"04"</f>
        <v>04</v>
      </c>
      <c r="Q1669" t="s">
        <v>835</v>
      </c>
      <c r="S1669" t="s">
        <v>860</v>
      </c>
      <c r="T1669" t="s">
        <v>836</v>
      </c>
      <c r="U1669" t="str">
        <f t="shared" si="474"/>
        <v>2500-12-31 00:00:00.0</v>
      </c>
      <c r="V1669" t="s">
        <v>837</v>
      </c>
      <c r="W1669" t="str">
        <f t="shared" si="472"/>
        <v>048314-038430-**-**</v>
      </c>
      <c r="X1669" t="s">
        <v>838</v>
      </c>
      <c r="Y1669">
        <v>1206.25</v>
      </c>
      <c r="Z1669">
        <v>1206.25</v>
      </c>
      <c r="AA1669" t="str">
        <f t="shared" si="471"/>
        <v>06/08/2016</v>
      </c>
    </row>
    <row r="1670" spans="1:27" x14ac:dyDescent="0.3">
      <c r="A1670" t="str">
        <f t="shared" si="475"/>
        <v>048314</v>
      </c>
      <c r="B1670" t="str">
        <f t="shared" si="467"/>
        <v>038430</v>
      </c>
      <c r="C1670" t="s">
        <v>2772</v>
      </c>
      <c r="D1670" t="s">
        <v>3839</v>
      </c>
      <c r="E1670" t="s">
        <v>3840</v>
      </c>
      <c r="F1670" t="s">
        <v>3841</v>
      </c>
      <c r="G1670" t="s">
        <v>3842</v>
      </c>
      <c r="H1670" t="str">
        <f t="shared" si="470"/>
        <v>048314</v>
      </c>
      <c r="I1670" t="s">
        <v>833</v>
      </c>
      <c r="J1670" t="str">
        <f t="shared" si="473"/>
        <v>2015-07-01 00:00:00.0</v>
      </c>
      <c r="K1670" t="s">
        <v>834</v>
      </c>
      <c r="L1670" t="s">
        <v>0</v>
      </c>
      <c r="M1670" t="str">
        <f t="shared" si="462"/>
        <v>048314</v>
      </c>
      <c r="N1670">
        <v>1</v>
      </c>
      <c r="O1670">
        <v>1</v>
      </c>
      <c r="P1670" t="str">
        <f>"01"</f>
        <v>01</v>
      </c>
      <c r="Q1670" t="s">
        <v>835</v>
      </c>
      <c r="S1670" t="s">
        <v>860</v>
      </c>
      <c r="T1670" t="s">
        <v>836</v>
      </c>
      <c r="U1670" t="str">
        <f t="shared" si="474"/>
        <v>2500-12-31 00:00:00.0</v>
      </c>
      <c r="V1670" t="s">
        <v>837</v>
      </c>
      <c r="W1670" t="str">
        <f t="shared" si="472"/>
        <v>048314-038430-**-**</v>
      </c>
      <c r="X1670" t="s">
        <v>838</v>
      </c>
      <c r="Y1670">
        <v>1206.25</v>
      </c>
      <c r="Z1670">
        <v>1206.25</v>
      </c>
      <c r="AA1670" t="str">
        <f t="shared" si="471"/>
        <v>06/08/2016</v>
      </c>
    </row>
    <row r="1671" spans="1:27" x14ac:dyDescent="0.3">
      <c r="A1671" t="str">
        <f t="shared" si="475"/>
        <v>048314</v>
      </c>
      <c r="B1671" t="str">
        <f t="shared" si="467"/>
        <v>038430</v>
      </c>
      <c r="C1671" t="s">
        <v>3495</v>
      </c>
      <c r="D1671" t="s">
        <v>3839</v>
      </c>
      <c r="E1671" t="s">
        <v>3840</v>
      </c>
      <c r="F1671" t="s">
        <v>3841</v>
      </c>
      <c r="G1671" t="s">
        <v>3842</v>
      </c>
      <c r="H1671" t="str">
        <f t="shared" si="470"/>
        <v>048314</v>
      </c>
      <c r="I1671" t="s">
        <v>833</v>
      </c>
      <c r="J1671" t="str">
        <f t="shared" si="473"/>
        <v>2015-07-01 00:00:00.0</v>
      </c>
      <c r="K1671" t="s">
        <v>834</v>
      </c>
      <c r="L1671" t="s">
        <v>0</v>
      </c>
      <c r="M1671" t="str">
        <f t="shared" si="462"/>
        <v>048314</v>
      </c>
      <c r="N1671">
        <v>1</v>
      </c>
      <c r="O1671">
        <v>1</v>
      </c>
      <c r="P1671" t="str">
        <f>"04"</f>
        <v>04</v>
      </c>
      <c r="Q1671" t="s">
        <v>835</v>
      </c>
      <c r="S1671" t="s">
        <v>836</v>
      </c>
      <c r="T1671" t="s">
        <v>836</v>
      </c>
      <c r="U1671" t="str">
        <f t="shared" si="474"/>
        <v>2500-12-31 00:00:00.0</v>
      </c>
      <c r="V1671" t="s">
        <v>837</v>
      </c>
      <c r="W1671" t="str">
        <f t="shared" si="472"/>
        <v>048314-038430-**-**</v>
      </c>
      <c r="X1671" t="s">
        <v>838</v>
      </c>
      <c r="Y1671">
        <v>1206.25</v>
      </c>
      <c r="Z1671">
        <v>1206.25</v>
      </c>
      <c r="AA1671" t="str">
        <f t="shared" si="471"/>
        <v>06/08/2016</v>
      </c>
    </row>
    <row r="1672" spans="1:27" x14ac:dyDescent="0.3">
      <c r="A1672" t="str">
        <f t="shared" si="475"/>
        <v>048314</v>
      </c>
      <c r="B1672" t="str">
        <f t="shared" si="467"/>
        <v>038430</v>
      </c>
      <c r="C1672" t="s">
        <v>942</v>
      </c>
      <c r="D1672" t="s">
        <v>3839</v>
      </c>
      <c r="E1672" t="s">
        <v>3840</v>
      </c>
      <c r="F1672" t="s">
        <v>3841</v>
      </c>
      <c r="G1672" t="s">
        <v>3842</v>
      </c>
      <c r="H1672" t="str">
        <f t="shared" si="470"/>
        <v>048314</v>
      </c>
      <c r="I1672" t="s">
        <v>833</v>
      </c>
      <c r="J1672" t="str">
        <f>"2015-08-01 00:00:00.0"</f>
        <v>2015-08-01 00:00:00.0</v>
      </c>
      <c r="K1672" t="s">
        <v>834</v>
      </c>
      <c r="L1672" t="s">
        <v>0</v>
      </c>
      <c r="M1672" t="str">
        <f t="shared" si="462"/>
        <v>048314</v>
      </c>
      <c r="N1672">
        <v>1</v>
      </c>
      <c r="O1672">
        <v>1</v>
      </c>
      <c r="P1672" t="str">
        <f>"01"</f>
        <v>01</v>
      </c>
      <c r="Q1672" t="s">
        <v>835</v>
      </c>
      <c r="S1672" t="s">
        <v>836</v>
      </c>
      <c r="T1672" t="s">
        <v>836</v>
      </c>
      <c r="U1672" t="str">
        <f t="shared" si="474"/>
        <v>2500-12-31 00:00:00.0</v>
      </c>
      <c r="V1672" t="s">
        <v>837</v>
      </c>
      <c r="W1672" t="str">
        <f t="shared" si="472"/>
        <v>048314-038430-**-**</v>
      </c>
      <c r="X1672" t="s">
        <v>838</v>
      </c>
      <c r="Y1672">
        <v>1206.25</v>
      </c>
      <c r="Z1672">
        <v>1206.25</v>
      </c>
      <c r="AA1672" t="str">
        <f t="shared" si="471"/>
        <v>06/08/2016</v>
      </c>
    </row>
    <row r="1673" spans="1:27" x14ac:dyDescent="0.3">
      <c r="A1673" t="str">
        <f t="shared" si="475"/>
        <v>048314</v>
      </c>
      <c r="B1673" t="str">
        <f t="shared" si="467"/>
        <v>038430</v>
      </c>
      <c r="C1673" t="s">
        <v>2861</v>
      </c>
      <c r="D1673" t="s">
        <v>3839</v>
      </c>
      <c r="E1673" t="s">
        <v>3840</v>
      </c>
      <c r="F1673" t="s">
        <v>3841</v>
      </c>
      <c r="G1673" t="s">
        <v>3842</v>
      </c>
      <c r="H1673" t="str">
        <f t="shared" si="470"/>
        <v>048314</v>
      </c>
      <c r="I1673" t="s">
        <v>833</v>
      </c>
      <c r="J1673" t="str">
        <f>"2015-07-01 00:00:00.0"</f>
        <v>2015-07-01 00:00:00.0</v>
      </c>
      <c r="K1673" t="s">
        <v>834</v>
      </c>
      <c r="L1673" t="s">
        <v>0</v>
      </c>
      <c r="M1673" t="str">
        <f t="shared" si="462"/>
        <v>048314</v>
      </c>
      <c r="N1673">
        <v>0.71666700000000005</v>
      </c>
      <c r="O1673">
        <v>0.71666700000000005</v>
      </c>
      <c r="P1673" t="str">
        <f>"05"</f>
        <v>05</v>
      </c>
      <c r="Q1673" t="s">
        <v>835</v>
      </c>
      <c r="S1673" t="s">
        <v>836</v>
      </c>
      <c r="T1673" t="s">
        <v>836</v>
      </c>
      <c r="U1673" t="str">
        <f>"2016-03-21 00:00:00.0"</f>
        <v>2016-03-21 00:00:00.0</v>
      </c>
      <c r="V1673" t="s">
        <v>837</v>
      </c>
      <c r="W1673" t="str">
        <f>"048314-070417-**-**"</f>
        <v>048314-070417-**-**</v>
      </c>
      <c r="X1673" t="s">
        <v>838</v>
      </c>
      <c r="Y1673">
        <v>806.25</v>
      </c>
      <c r="Z1673">
        <v>1125</v>
      </c>
      <c r="AA1673" t="str">
        <f t="shared" si="471"/>
        <v>06/08/2016</v>
      </c>
    </row>
    <row r="1674" spans="1:27" x14ac:dyDescent="0.3">
      <c r="A1674" t="str">
        <f t="shared" si="475"/>
        <v>048314</v>
      </c>
      <c r="B1674" t="str">
        <f t="shared" si="467"/>
        <v>038430</v>
      </c>
      <c r="C1674" t="s">
        <v>2861</v>
      </c>
      <c r="D1674" t="s">
        <v>3839</v>
      </c>
      <c r="E1674" t="s">
        <v>3840</v>
      </c>
      <c r="F1674" t="s">
        <v>3841</v>
      </c>
      <c r="G1674" t="s">
        <v>3842</v>
      </c>
      <c r="H1674" t="str">
        <f t="shared" si="470"/>
        <v>048314</v>
      </c>
      <c r="I1674" t="s">
        <v>833</v>
      </c>
      <c r="J1674" t="str">
        <f>"2016-03-22 00:00:00.0"</f>
        <v>2016-03-22 00:00:00.0</v>
      </c>
      <c r="K1674" t="s">
        <v>834</v>
      </c>
      <c r="L1674" t="s">
        <v>0</v>
      </c>
      <c r="M1674" t="str">
        <f t="shared" si="462"/>
        <v>048314</v>
      </c>
      <c r="N1674">
        <v>0.283333</v>
      </c>
      <c r="O1674">
        <v>0.283333</v>
      </c>
      <c r="P1674" t="str">
        <f>"05"</f>
        <v>05</v>
      </c>
      <c r="Q1674" t="str">
        <f>"10"</f>
        <v>10</v>
      </c>
      <c r="R1674" t="str">
        <f>"2"</f>
        <v>2</v>
      </c>
      <c r="S1674" t="s">
        <v>836</v>
      </c>
      <c r="T1674" t="s">
        <v>836</v>
      </c>
      <c r="U1674" t="str">
        <f t="shared" ref="U1674:U1680" si="476">"2500-12-31 00:00:00.0"</f>
        <v>2500-12-31 00:00:00.0</v>
      </c>
      <c r="V1674" t="s">
        <v>837</v>
      </c>
      <c r="W1674" t="str">
        <f>"048314-070417-**-**"</f>
        <v>048314-070417-**-**</v>
      </c>
      <c r="X1674" t="s">
        <v>838</v>
      </c>
      <c r="Y1674">
        <v>318.75</v>
      </c>
      <c r="Z1674">
        <v>1125</v>
      </c>
      <c r="AA1674" t="str">
        <f t="shared" si="471"/>
        <v>06/08/2016</v>
      </c>
    </row>
    <row r="1675" spans="1:27" x14ac:dyDescent="0.3">
      <c r="A1675" t="str">
        <f t="shared" si="475"/>
        <v>048314</v>
      </c>
      <c r="B1675" t="str">
        <f t="shared" si="467"/>
        <v>038430</v>
      </c>
      <c r="C1675" t="s">
        <v>3434</v>
      </c>
      <c r="D1675" t="s">
        <v>3839</v>
      </c>
      <c r="E1675" t="s">
        <v>3840</v>
      </c>
      <c r="F1675" t="s">
        <v>3841</v>
      </c>
      <c r="G1675" t="s">
        <v>3842</v>
      </c>
      <c r="H1675" t="str">
        <f t="shared" si="470"/>
        <v>048314</v>
      </c>
      <c r="I1675" t="s">
        <v>833</v>
      </c>
      <c r="J1675" t="str">
        <f t="shared" ref="J1675:J1681" si="477">"2015-07-01 00:00:00.0"</f>
        <v>2015-07-01 00:00:00.0</v>
      </c>
      <c r="K1675" t="s">
        <v>834</v>
      </c>
      <c r="L1675" t="s">
        <v>0</v>
      </c>
      <c r="M1675" t="str">
        <f t="shared" si="462"/>
        <v>048314</v>
      </c>
      <c r="N1675">
        <v>1</v>
      </c>
      <c r="O1675">
        <v>1</v>
      </c>
      <c r="P1675" t="str">
        <f>"01"</f>
        <v>01</v>
      </c>
      <c r="Q1675" t="s">
        <v>835</v>
      </c>
      <c r="S1675" t="s">
        <v>860</v>
      </c>
      <c r="T1675" t="s">
        <v>836</v>
      </c>
      <c r="U1675" t="str">
        <f t="shared" si="476"/>
        <v>2500-12-31 00:00:00.0</v>
      </c>
      <c r="V1675" t="s">
        <v>837</v>
      </c>
      <c r="W1675" t="str">
        <f t="shared" ref="W1675:W1682" si="478">"048314-038430-**-**"</f>
        <v>048314-038430-**-**</v>
      </c>
      <c r="X1675" t="s">
        <v>838</v>
      </c>
      <c r="Y1675">
        <v>1206.25</v>
      </c>
      <c r="Z1675">
        <v>1206.25</v>
      </c>
      <c r="AA1675" t="str">
        <f t="shared" si="471"/>
        <v>06/08/2016</v>
      </c>
    </row>
    <row r="1676" spans="1:27" x14ac:dyDescent="0.3">
      <c r="A1676" t="str">
        <f t="shared" si="475"/>
        <v>048314</v>
      </c>
      <c r="B1676" t="str">
        <f t="shared" si="467"/>
        <v>038430</v>
      </c>
      <c r="C1676" t="s">
        <v>3345</v>
      </c>
      <c r="D1676" t="s">
        <v>3839</v>
      </c>
      <c r="E1676" t="s">
        <v>3840</v>
      </c>
      <c r="F1676" t="s">
        <v>3841</v>
      </c>
      <c r="G1676" t="s">
        <v>3842</v>
      </c>
      <c r="H1676" t="str">
        <f t="shared" si="470"/>
        <v>048314</v>
      </c>
      <c r="I1676" t="s">
        <v>833</v>
      </c>
      <c r="J1676" t="str">
        <f t="shared" si="477"/>
        <v>2015-07-01 00:00:00.0</v>
      </c>
      <c r="K1676" t="s">
        <v>834</v>
      </c>
      <c r="L1676" t="s">
        <v>0</v>
      </c>
      <c r="M1676" t="str">
        <f t="shared" si="462"/>
        <v>048314</v>
      </c>
      <c r="N1676">
        <v>1</v>
      </c>
      <c r="O1676">
        <v>1</v>
      </c>
      <c r="P1676" t="str">
        <f>"04"</f>
        <v>04</v>
      </c>
      <c r="Q1676" t="s">
        <v>835</v>
      </c>
      <c r="S1676" t="s">
        <v>836</v>
      </c>
      <c r="T1676" t="s">
        <v>836</v>
      </c>
      <c r="U1676" t="str">
        <f t="shared" si="476"/>
        <v>2500-12-31 00:00:00.0</v>
      </c>
      <c r="V1676" t="s">
        <v>837</v>
      </c>
      <c r="W1676" t="str">
        <f t="shared" si="478"/>
        <v>048314-038430-**-**</v>
      </c>
      <c r="X1676" t="s">
        <v>838</v>
      </c>
      <c r="Y1676">
        <v>1206.25</v>
      </c>
      <c r="Z1676">
        <v>1206.25</v>
      </c>
      <c r="AA1676" t="str">
        <f t="shared" si="471"/>
        <v>06/08/2016</v>
      </c>
    </row>
    <row r="1677" spans="1:27" x14ac:dyDescent="0.3">
      <c r="A1677" t="str">
        <f t="shared" si="475"/>
        <v>048314</v>
      </c>
      <c r="B1677" t="str">
        <f t="shared" si="467"/>
        <v>038430</v>
      </c>
      <c r="C1677" t="s">
        <v>1043</v>
      </c>
      <c r="D1677" t="s">
        <v>3839</v>
      </c>
      <c r="E1677" t="s">
        <v>3840</v>
      </c>
      <c r="F1677" t="s">
        <v>3841</v>
      </c>
      <c r="G1677" t="s">
        <v>3842</v>
      </c>
      <c r="H1677" t="str">
        <f t="shared" si="470"/>
        <v>048314</v>
      </c>
      <c r="I1677" t="s">
        <v>833</v>
      </c>
      <c r="J1677" t="str">
        <f t="shared" si="477"/>
        <v>2015-07-01 00:00:00.0</v>
      </c>
      <c r="K1677" t="s">
        <v>834</v>
      </c>
      <c r="L1677" t="s">
        <v>0</v>
      </c>
      <c r="M1677" t="str">
        <f t="shared" si="462"/>
        <v>048314</v>
      </c>
      <c r="N1677">
        <v>1</v>
      </c>
      <c r="O1677">
        <v>1</v>
      </c>
      <c r="P1677" t="str">
        <f>"01"</f>
        <v>01</v>
      </c>
      <c r="Q1677" t="s">
        <v>835</v>
      </c>
      <c r="S1677" t="s">
        <v>836</v>
      </c>
      <c r="T1677" t="s">
        <v>836</v>
      </c>
      <c r="U1677" t="str">
        <f t="shared" si="476"/>
        <v>2500-12-31 00:00:00.0</v>
      </c>
      <c r="V1677" t="s">
        <v>837</v>
      </c>
      <c r="W1677" t="str">
        <f t="shared" si="478"/>
        <v>048314-038430-**-**</v>
      </c>
      <c r="X1677" t="s">
        <v>838</v>
      </c>
      <c r="Y1677">
        <v>1206.25</v>
      </c>
      <c r="Z1677">
        <v>1206.25</v>
      </c>
      <c r="AA1677" t="str">
        <f t="shared" si="471"/>
        <v>06/08/2016</v>
      </c>
    </row>
    <row r="1678" spans="1:27" x14ac:dyDescent="0.3">
      <c r="A1678" t="str">
        <f t="shared" si="475"/>
        <v>048314</v>
      </c>
      <c r="B1678" t="str">
        <f t="shared" si="467"/>
        <v>038430</v>
      </c>
      <c r="C1678" t="s">
        <v>3344</v>
      </c>
      <c r="D1678" t="s">
        <v>3839</v>
      </c>
      <c r="E1678" t="s">
        <v>3840</v>
      </c>
      <c r="F1678" t="s">
        <v>3841</v>
      </c>
      <c r="G1678" t="s">
        <v>3842</v>
      </c>
      <c r="H1678" t="str">
        <f t="shared" si="470"/>
        <v>048314</v>
      </c>
      <c r="I1678" t="s">
        <v>833</v>
      </c>
      <c r="J1678" t="str">
        <f t="shared" si="477"/>
        <v>2015-07-01 00:00:00.0</v>
      </c>
      <c r="K1678" t="s">
        <v>834</v>
      </c>
      <c r="L1678" t="s">
        <v>0</v>
      </c>
      <c r="M1678" t="str">
        <f t="shared" si="462"/>
        <v>048314</v>
      </c>
      <c r="N1678">
        <v>1</v>
      </c>
      <c r="O1678">
        <v>1</v>
      </c>
      <c r="P1678" t="str">
        <f>"04"</f>
        <v>04</v>
      </c>
      <c r="Q1678" t="s">
        <v>835</v>
      </c>
      <c r="S1678" t="s">
        <v>836</v>
      </c>
      <c r="T1678" t="s">
        <v>836</v>
      </c>
      <c r="U1678" t="str">
        <f t="shared" si="476"/>
        <v>2500-12-31 00:00:00.0</v>
      </c>
      <c r="V1678" t="s">
        <v>837</v>
      </c>
      <c r="W1678" t="str">
        <f t="shared" si="478"/>
        <v>048314-038430-**-**</v>
      </c>
      <c r="X1678" t="s">
        <v>838</v>
      </c>
      <c r="Y1678">
        <v>1206.25</v>
      </c>
      <c r="Z1678">
        <v>1206.25</v>
      </c>
      <c r="AA1678" t="str">
        <f t="shared" si="471"/>
        <v>06/08/2016</v>
      </c>
    </row>
    <row r="1679" spans="1:27" x14ac:dyDescent="0.3">
      <c r="A1679" t="str">
        <f t="shared" si="475"/>
        <v>048314</v>
      </c>
      <c r="B1679" t="str">
        <f t="shared" si="467"/>
        <v>038430</v>
      </c>
      <c r="C1679" t="s">
        <v>3506</v>
      </c>
      <c r="D1679" t="s">
        <v>3839</v>
      </c>
      <c r="E1679" t="s">
        <v>3840</v>
      </c>
      <c r="F1679" t="s">
        <v>3841</v>
      </c>
      <c r="G1679" t="s">
        <v>3842</v>
      </c>
      <c r="H1679" t="str">
        <f t="shared" si="470"/>
        <v>048314</v>
      </c>
      <c r="I1679" t="s">
        <v>833</v>
      </c>
      <c r="J1679" t="str">
        <f t="shared" si="477"/>
        <v>2015-07-01 00:00:00.0</v>
      </c>
      <c r="K1679" t="s">
        <v>834</v>
      </c>
      <c r="L1679" t="s">
        <v>0</v>
      </c>
      <c r="M1679" t="str">
        <f t="shared" si="462"/>
        <v>048314</v>
      </c>
      <c r="N1679">
        <v>1</v>
      </c>
      <c r="O1679">
        <v>1</v>
      </c>
      <c r="P1679" t="str">
        <f>"04"</f>
        <v>04</v>
      </c>
      <c r="Q1679" t="s">
        <v>835</v>
      </c>
      <c r="S1679" t="s">
        <v>836</v>
      </c>
      <c r="T1679" t="s">
        <v>836</v>
      </c>
      <c r="U1679" t="str">
        <f t="shared" si="476"/>
        <v>2500-12-31 00:00:00.0</v>
      </c>
      <c r="V1679" t="s">
        <v>837</v>
      </c>
      <c r="W1679" t="str">
        <f t="shared" si="478"/>
        <v>048314-038430-**-**</v>
      </c>
      <c r="X1679" t="s">
        <v>838</v>
      </c>
      <c r="Y1679">
        <v>1206.25</v>
      </c>
      <c r="Z1679">
        <v>1206.25</v>
      </c>
      <c r="AA1679" t="str">
        <f t="shared" si="471"/>
        <v>06/08/2016</v>
      </c>
    </row>
    <row r="1680" spans="1:27" x14ac:dyDescent="0.3">
      <c r="A1680" t="str">
        <f t="shared" si="475"/>
        <v>048314</v>
      </c>
      <c r="B1680" t="str">
        <f t="shared" si="467"/>
        <v>038430</v>
      </c>
      <c r="C1680" t="s">
        <v>3524</v>
      </c>
      <c r="D1680" t="s">
        <v>3839</v>
      </c>
      <c r="E1680" t="s">
        <v>3840</v>
      </c>
      <c r="F1680" t="s">
        <v>3841</v>
      </c>
      <c r="G1680" t="s">
        <v>3842</v>
      </c>
      <c r="H1680" t="str">
        <f t="shared" si="470"/>
        <v>048314</v>
      </c>
      <c r="I1680" t="s">
        <v>833</v>
      </c>
      <c r="J1680" t="str">
        <f t="shared" si="477"/>
        <v>2015-07-01 00:00:00.0</v>
      </c>
      <c r="K1680" t="s">
        <v>834</v>
      </c>
      <c r="L1680" t="s">
        <v>0</v>
      </c>
      <c r="M1680" t="str">
        <f t="shared" si="462"/>
        <v>048314</v>
      </c>
      <c r="N1680">
        <v>1</v>
      </c>
      <c r="O1680">
        <v>1</v>
      </c>
      <c r="P1680" t="str">
        <f>"03"</f>
        <v>03</v>
      </c>
      <c r="Q1680" t="s">
        <v>835</v>
      </c>
      <c r="S1680" t="s">
        <v>836</v>
      </c>
      <c r="T1680" t="s">
        <v>836</v>
      </c>
      <c r="U1680" t="str">
        <f t="shared" si="476"/>
        <v>2500-12-31 00:00:00.0</v>
      </c>
      <c r="V1680" t="s">
        <v>837</v>
      </c>
      <c r="W1680" t="str">
        <f t="shared" si="478"/>
        <v>048314-038430-**-**</v>
      </c>
      <c r="X1680" t="s">
        <v>838</v>
      </c>
      <c r="Y1680">
        <v>1206.25</v>
      </c>
      <c r="Z1680">
        <v>1206.25</v>
      </c>
      <c r="AA1680" t="str">
        <f t="shared" si="471"/>
        <v>06/08/2016</v>
      </c>
    </row>
    <row r="1681" spans="1:27" x14ac:dyDescent="0.3">
      <c r="A1681" t="str">
        <f t="shared" si="475"/>
        <v>048314</v>
      </c>
      <c r="B1681" t="str">
        <f t="shared" si="467"/>
        <v>038430</v>
      </c>
      <c r="C1681" t="s">
        <v>3729</v>
      </c>
      <c r="D1681" t="s">
        <v>3839</v>
      </c>
      <c r="E1681" t="s">
        <v>3840</v>
      </c>
      <c r="F1681" t="s">
        <v>3841</v>
      </c>
      <c r="G1681" t="s">
        <v>3842</v>
      </c>
      <c r="H1681" t="str">
        <f t="shared" si="470"/>
        <v>048314</v>
      </c>
      <c r="I1681" t="s">
        <v>833</v>
      </c>
      <c r="J1681" t="str">
        <f t="shared" si="477"/>
        <v>2015-07-01 00:00:00.0</v>
      </c>
      <c r="K1681" t="s">
        <v>834</v>
      </c>
      <c r="L1681" t="s">
        <v>0</v>
      </c>
      <c r="M1681" t="str">
        <f t="shared" si="462"/>
        <v>048314</v>
      </c>
      <c r="N1681">
        <v>0.28497400000000001</v>
      </c>
      <c r="O1681">
        <v>0.28497400000000001</v>
      </c>
      <c r="P1681" t="str">
        <f>"01"</f>
        <v>01</v>
      </c>
      <c r="Q1681" t="s">
        <v>835</v>
      </c>
      <c r="S1681" t="s">
        <v>836</v>
      </c>
      <c r="T1681" t="s">
        <v>836</v>
      </c>
      <c r="U1681" t="str">
        <f>"2015-11-16 00:00:00.0"</f>
        <v>2015-11-16 00:00:00.0</v>
      </c>
      <c r="V1681" t="s">
        <v>837</v>
      </c>
      <c r="W1681" t="str">
        <f t="shared" si="478"/>
        <v>048314-038430-**-**</v>
      </c>
      <c r="X1681" t="s">
        <v>838</v>
      </c>
      <c r="Y1681">
        <v>343.75</v>
      </c>
      <c r="Z1681">
        <v>1206.25</v>
      </c>
      <c r="AA1681" t="str">
        <f t="shared" si="471"/>
        <v>06/08/2016</v>
      </c>
    </row>
    <row r="1682" spans="1:27" x14ac:dyDescent="0.3">
      <c r="A1682" t="str">
        <f t="shared" si="475"/>
        <v>048314</v>
      </c>
      <c r="B1682" t="str">
        <f t="shared" si="467"/>
        <v>038430</v>
      </c>
      <c r="C1682" t="s">
        <v>3729</v>
      </c>
      <c r="D1682" t="s">
        <v>3839</v>
      </c>
      <c r="E1682" t="s">
        <v>3840</v>
      </c>
      <c r="F1682" t="s">
        <v>3841</v>
      </c>
      <c r="G1682" t="s">
        <v>3842</v>
      </c>
      <c r="H1682" t="str">
        <f t="shared" si="470"/>
        <v>048314</v>
      </c>
      <c r="I1682" t="s">
        <v>833</v>
      </c>
      <c r="J1682" t="str">
        <f>"2015-11-17 00:00:00.0"</f>
        <v>2015-11-17 00:00:00.0</v>
      </c>
      <c r="K1682" t="s">
        <v>834</v>
      </c>
      <c r="L1682" t="s">
        <v>0</v>
      </c>
      <c r="M1682" t="str">
        <f t="shared" si="462"/>
        <v>048314</v>
      </c>
      <c r="N1682">
        <v>6.7358000000000001E-2</v>
      </c>
      <c r="O1682">
        <v>6.7358000000000001E-2</v>
      </c>
      <c r="P1682" t="str">
        <f>"01"</f>
        <v>01</v>
      </c>
      <c r="Q1682" t="s">
        <v>835</v>
      </c>
      <c r="S1682" t="s">
        <v>860</v>
      </c>
      <c r="T1682" t="s">
        <v>836</v>
      </c>
      <c r="U1682" t="str">
        <f>"2015-12-07 00:00:00.0"</f>
        <v>2015-12-07 00:00:00.0</v>
      </c>
      <c r="V1682" t="s">
        <v>837</v>
      </c>
      <c r="W1682" t="str">
        <f t="shared" si="478"/>
        <v>048314-038430-**-**</v>
      </c>
      <c r="X1682" t="s">
        <v>838</v>
      </c>
      <c r="Y1682">
        <v>81.25</v>
      </c>
      <c r="Z1682">
        <v>1206.25</v>
      </c>
      <c r="AA1682" t="str">
        <f t="shared" si="471"/>
        <v>06/08/2016</v>
      </c>
    </row>
    <row r="1683" spans="1:27" x14ac:dyDescent="0.3">
      <c r="A1683" t="str">
        <f t="shared" si="475"/>
        <v>048314</v>
      </c>
      <c r="B1683" t="str">
        <f t="shared" si="467"/>
        <v>038430</v>
      </c>
      <c r="C1683" t="s">
        <v>2268</v>
      </c>
      <c r="D1683" t="s">
        <v>3839</v>
      </c>
      <c r="E1683" t="s">
        <v>3840</v>
      </c>
      <c r="F1683" t="s">
        <v>3841</v>
      </c>
      <c r="G1683" t="s">
        <v>3842</v>
      </c>
      <c r="H1683" t="str">
        <f>"048280"</f>
        <v>048280</v>
      </c>
      <c r="I1683" t="s">
        <v>833</v>
      </c>
      <c r="J1683" t="str">
        <f>"2015-08-31 00:00:00.0"</f>
        <v>2015-08-31 00:00:00.0</v>
      </c>
      <c r="K1683" t="s">
        <v>834</v>
      </c>
      <c r="L1683" t="s">
        <v>142</v>
      </c>
      <c r="M1683" t="str">
        <f t="shared" si="462"/>
        <v>048314</v>
      </c>
      <c r="N1683">
        <v>1</v>
      </c>
      <c r="O1683">
        <v>1</v>
      </c>
      <c r="P1683" t="s">
        <v>841</v>
      </c>
      <c r="Q1683" t="str">
        <f>"05"</f>
        <v>05</v>
      </c>
      <c r="R1683" t="str">
        <f>"1"</f>
        <v>1</v>
      </c>
      <c r="S1683" t="s">
        <v>836</v>
      </c>
      <c r="T1683" t="s">
        <v>836</v>
      </c>
      <c r="U1683" t="str">
        <f t="shared" ref="U1683:U1697" si="479">"2500-12-31 00:00:00.0"</f>
        <v>2500-12-31 00:00:00.0</v>
      </c>
      <c r="V1683" t="s">
        <v>837</v>
      </c>
      <c r="W1683" t="str">
        <f>"048280-048280-PS-FA"</f>
        <v>048280-048280-PS-FA</v>
      </c>
      <c r="X1683" t="s">
        <v>838</v>
      </c>
      <c r="Y1683">
        <v>151</v>
      </c>
      <c r="Z1683">
        <v>151</v>
      </c>
      <c r="AA1683" t="str">
        <f>"06/15/2016"</f>
        <v>06/15/2016</v>
      </c>
    </row>
    <row r="1684" spans="1:27" x14ac:dyDescent="0.3">
      <c r="A1684" t="str">
        <f t="shared" si="475"/>
        <v>048314</v>
      </c>
      <c r="B1684" t="str">
        <f t="shared" si="467"/>
        <v>038430</v>
      </c>
      <c r="C1684" t="s">
        <v>3102</v>
      </c>
      <c r="D1684" t="s">
        <v>3839</v>
      </c>
      <c r="E1684" t="s">
        <v>3840</v>
      </c>
      <c r="F1684" t="s">
        <v>3841</v>
      </c>
      <c r="G1684" t="s">
        <v>3842</v>
      </c>
      <c r="H1684" t="str">
        <f t="shared" ref="H1684:H1693" si="480">"048314"</f>
        <v>048314</v>
      </c>
      <c r="I1684" t="s">
        <v>833</v>
      </c>
      <c r="J1684" t="str">
        <f t="shared" ref="J1684:J1689" si="481">"2015-07-01 00:00:00.0"</f>
        <v>2015-07-01 00:00:00.0</v>
      </c>
      <c r="K1684" t="s">
        <v>834</v>
      </c>
      <c r="L1684" t="s">
        <v>0</v>
      </c>
      <c r="M1684" t="str">
        <f t="shared" si="462"/>
        <v>048314</v>
      </c>
      <c r="N1684">
        <v>1</v>
      </c>
      <c r="O1684">
        <v>1</v>
      </c>
      <c r="P1684" t="str">
        <f>"05"</f>
        <v>05</v>
      </c>
      <c r="Q1684" t="str">
        <f>"10"</f>
        <v>10</v>
      </c>
      <c r="R1684" t="str">
        <f>"2"</f>
        <v>2</v>
      </c>
      <c r="S1684" t="s">
        <v>836</v>
      </c>
      <c r="T1684" t="s">
        <v>836</v>
      </c>
      <c r="U1684" t="str">
        <f t="shared" si="479"/>
        <v>2500-12-31 00:00:00.0</v>
      </c>
      <c r="V1684" t="s">
        <v>837</v>
      </c>
      <c r="W1684" t="str">
        <f>"048314-070417-**-**"</f>
        <v>048314-070417-**-**</v>
      </c>
      <c r="X1684" t="s">
        <v>838</v>
      </c>
      <c r="Y1684">
        <v>1125</v>
      </c>
      <c r="Z1684">
        <v>1125</v>
      </c>
      <c r="AA1684" t="str">
        <f t="shared" ref="AA1684:AA1693" si="482">"06/08/2016"</f>
        <v>06/08/2016</v>
      </c>
    </row>
    <row r="1685" spans="1:27" x14ac:dyDescent="0.3">
      <c r="A1685" t="str">
        <f t="shared" si="475"/>
        <v>048314</v>
      </c>
      <c r="B1685" t="str">
        <f t="shared" si="467"/>
        <v>038430</v>
      </c>
      <c r="C1685" t="s">
        <v>1543</v>
      </c>
      <c r="D1685" t="s">
        <v>3839</v>
      </c>
      <c r="E1685" t="s">
        <v>3840</v>
      </c>
      <c r="F1685" t="s">
        <v>3841</v>
      </c>
      <c r="G1685" t="s">
        <v>3842</v>
      </c>
      <c r="H1685" t="str">
        <f t="shared" si="480"/>
        <v>048314</v>
      </c>
      <c r="I1685" t="s">
        <v>833</v>
      </c>
      <c r="J1685" t="str">
        <f t="shared" si="481"/>
        <v>2015-07-01 00:00:00.0</v>
      </c>
      <c r="K1685" t="s">
        <v>834</v>
      </c>
      <c r="L1685" t="s">
        <v>0</v>
      </c>
      <c r="M1685" t="str">
        <f t="shared" si="462"/>
        <v>048314</v>
      </c>
      <c r="N1685">
        <v>1</v>
      </c>
      <c r="O1685">
        <v>1</v>
      </c>
      <c r="P1685" t="str">
        <f>"02"</f>
        <v>02</v>
      </c>
      <c r="Q1685" t="s">
        <v>835</v>
      </c>
      <c r="S1685" t="s">
        <v>836</v>
      </c>
      <c r="T1685" t="s">
        <v>836</v>
      </c>
      <c r="U1685" t="str">
        <f t="shared" si="479"/>
        <v>2500-12-31 00:00:00.0</v>
      </c>
      <c r="V1685" t="s">
        <v>837</v>
      </c>
      <c r="W1685" t="str">
        <f>"048314-038430-**-**"</f>
        <v>048314-038430-**-**</v>
      </c>
      <c r="X1685" t="s">
        <v>838</v>
      </c>
      <c r="Y1685">
        <v>1206.25</v>
      </c>
      <c r="Z1685">
        <v>1206.25</v>
      </c>
      <c r="AA1685" t="str">
        <f t="shared" si="482"/>
        <v>06/08/2016</v>
      </c>
    </row>
    <row r="1686" spans="1:27" x14ac:dyDescent="0.3">
      <c r="A1686" t="str">
        <f t="shared" si="475"/>
        <v>048314</v>
      </c>
      <c r="B1686" t="str">
        <f t="shared" si="467"/>
        <v>038430</v>
      </c>
      <c r="C1686" t="s">
        <v>3343</v>
      </c>
      <c r="D1686" t="s">
        <v>3839</v>
      </c>
      <c r="E1686" t="s">
        <v>3840</v>
      </c>
      <c r="F1686" t="s">
        <v>3841</v>
      </c>
      <c r="G1686" t="s">
        <v>3842</v>
      </c>
      <c r="H1686" t="str">
        <f t="shared" si="480"/>
        <v>048314</v>
      </c>
      <c r="I1686" t="s">
        <v>833</v>
      </c>
      <c r="J1686" t="str">
        <f t="shared" si="481"/>
        <v>2015-07-01 00:00:00.0</v>
      </c>
      <c r="K1686" t="s">
        <v>834</v>
      </c>
      <c r="L1686" t="s">
        <v>0</v>
      </c>
      <c r="M1686" t="str">
        <f t="shared" ref="M1686:M1716" si="483">"048314"</f>
        <v>048314</v>
      </c>
      <c r="N1686">
        <v>1</v>
      </c>
      <c r="O1686">
        <v>1</v>
      </c>
      <c r="P1686" t="str">
        <f>"04"</f>
        <v>04</v>
      </c>
      <c r="Q1686" t="s">
        <v>835</v>
      </c>
      <c r="S1686" t="s">
        <v>836</v>
      </c>
      <c r="T1686" t="s">
        <v>836</v>
      </c>
      <c r="U1686" t="str">
        <f t="shared" si="479"/>
        <v>2500-12-31 00:00:00.0</v>
      </c>
      <c r="V1686" t="s">
        <v>837</v>
      </c>
      <c r="W1686" t="str">
        <f>"048314-038430-**-**"</f>
        <v>048314-038430-**-**</v>
      </c>
      <c r="X1686" t="s">
        <v>838</v>
      </c>
      <c r="Y1686">
        <v>1206.25</v>
      </c>
      <c r="Z1686">
        <v>1206.25</v>
      </c>
      <c r="AA1686" t="str">
        <f t="shared" si="482"/>
        <v>06/08/2016</v>
      </c>
    </row>
    <row r="1687" spans="1:27" x14ac:dyDescent="0.3">
      <c r="A1687" t="str">
        <f t="shared" si="475"/>
        <v>048314</v>
      </c>
      <c r="B1687" t="str">
        <f t="shared" si="467"/>
        <v>038430</v>
      </c>
      <c r="C1687" t="s">
        <v>3637</v>
      </c>
      <c r="D1687" t="s">
        <v>3839</v>
      </c>
      <c r="E1687" t="s">
        <v>3840</v>
      </c>
      <c r="F1687" t="s">
        <v>3841</v>
      </c>
      <c r="G1687" t="s">
        <v>3842</v>
      </c>
      <c r="H1687" t="str">
        <f t="shared" si="480"/>
        <v>048314</v>
      </c>
      <c r="I1687" t="s">
        <v>833</v>
      </c>
      <c r="J1687" t="str">
        <f t="shared" si="481"/>
        <v>2015-07-01 00:00:00.0</v>
      </c>
      <c r="K1687" t="s">
        <v>834</v>
      </c>
      <c r="L1687" t="s">
        <v>0</v>
      </c>
      <c r="M1687" t="str">
        <f t="shared" si="483"/>
        <v>048314</v>
      </c>
      <c r="N1687">
        <v>1</v>
      </c>
      <c r="O1687">
        <v>1</v>
      </c>
      <c r="P1687" t="str">
        <f>"04"</f>
        <v>04</v>
      </c>
      <c r="Q1687" t="s">
        <v>835</v>
      </c>
      <c r="S1687" t="s">
        <v>836</v>
      </c>
      <c r="T1687" t="s">
        <v>836</v>
      </c>
      <c r="U1687" t="str">
        <f t="shared" si="479"/>
        <v>2500-12-31 00:00:00.0</v>
      </c>
      <c r="V1687" t="s">
        <v>837</v>
      </c>
      <c r="W1687" t="str">
        <f>"048314-038430-**-**"</f>
        <v>048314-038430-**-**</v>
      </c>
      <c r="X1687" t="s">
        <v>838</v>
      </c>
      <c r="Y1687">
        <v>1206.25</v>
      </c>
      <c r="Z1687">
        <v>1206.25</v>
      </c>
      <c r="AA1687" t="str">
        <f t="shared" si="482"/>
        <v>06/08/2016</v>
      </c>
    </row>
    <row r="1688" spans="1:27" x14ac:dyDescent="0.3">
      <c r="A1688" t="str">
        <f t="shared" si="475"/>
        <v>048314</v>
      </c>
      <c r="B1688" t="str">
        <f t="shared" si="467"/>
        <v>038430</v>
      </c>
      <c r="C1688" t="s">
        <v>3443</v>
      </c>
      <c r="D1688" t="s">
        <v>3839</v>
      </c>
      <c r="E1688" t="s">
        <v>3840</v>
      </c>
      <c r="F1688" t="s">
        <v>3841</v>
      </c>
      <c r="G1688" t="s">
        <v>3842</v>
      </c>
      <c r="H1688" t="str">
        <f t="shared" si="480"/>
        <v>048314</v>
      </c>
      <c r="I1688" t="s">
        <v>833</v>
      </c>
      <c r="J1688" t="str">
        <f t="shared" si="481"/>
        <v>2015-07-01 00:00:00.0</v>
      </c>
      <c r="K1688" t="s">
        <v>834</v>
      </c>
      <c r="L1688" t="s">
        <v>0</v>
      </c>
      <c r="M1688" t="str">
        <f t="shared" si="483"/>
        <v>048314</v>
      </c>
      <c r="N1688">
        <v>1</v>
      </c>
      <c r="O1688">
        <v>1</v>
      </c>
      <c r="P1688" t="str">
        <f>"05"</f>
        <v>05</v>
      </c>
      <c r="Q1688" t="s">
        <v>835</v>
      </c>
      <c r="S1688" t="s">
        <v>836</v>
      </c>
      <c r="T1688" t="s">
        <v>836</v>
      </c>
      <c r="U1688" t="str">
        <f t="shared" si="479"/>
        <v>2500-12-31 00:00:00.0</v>
      </c>
      <c r="V1688" t="s">
        <v>837</v>
      </c>
      <c r="W1688" t="str">
        <f>"048314-070417-**-**"</f>
        <v>048314-070417-**-**</v>
      </c>
      <c r="X1688" t="s">
        <v>838</v>
      </c>
      <c r="Y1688">
        <v>1125</v>
      </c>
      <c r="Z1688">
        <v>1125</v>
      </c>
      <c r="AA1688" t="str">
        <f t="shared" si="482"/>
        <v>06/08/2016</v>
      </c>
    </row>
    <row r="1689" spans="1:27" x14ac:dyDescent="0.3">
      <c r="A1689" t="str">
        <f t="shared" si="475"/>
        <v>048314</v>
      </c>
      <c r="B1689" t="str">
        <f t="shared" si="467"/>
        <v>038430</v>
      </c>
      <c r="C1689" t="s">
        <v>3656</v>
      </c>
      <c r="D1689" t="s">
        <v>3839</v>
      </c>
      <c r="E1689" t="s">
        <v>3840</v>
      </c>
      <c r="F1689" t="s">
        <v>3841</v>
      </c>
      <c r="G1689" t="s">
        <v>3842</v>
      </c>
      <c r="H1689" t="str">
        <f t="shared" si="480"/>
        <v>048314</v>
      </c>
      <c r="I1689" t="s">
        <v>833</v>
      </c>
      <c r="J1689" t="str">
        <f t="shared" si="481"/>
        <v>2015-07-01 00:00:00.0</v>
      </c>
      <c r="K1689" t="s">
        <v>834</v>
      </c>
      <c r="L1689" t="s">
        <v>0</v>
      </c>
      <c r="M1689" t="str">
        <f t="shared" si="483"/>
        <v>048314</v>
      </c>
      <c r="N1689">
        <v>1</v>
      </c>
      <c r="O1689">
        <v>1</v>
      </c>
      <c r="P1689" t="str">
        <f>"05"</f>
        <v>05</v>
      </c>
      <c r="Q1689" t="s">
        <v>835</v>
      </c>
      <c r="S1689" t="s">
        <v>860</v>
      </c>
      <c r="T1689" t="s">
        <v>836</v>
      </c>
      <c r="U1689" t="str">
        <f t="shared" si="479"/>
        <v>2500-12-31 00:00:00.0</v>
      </c>
      <c r="V1689" t="s">
        <v>837</v>
      </c>
      <c r="W1689" t="str">
        <f>"048314-070417-**-**"</f>
        <v>048314-070417-**-**</v>
      </c>
      <c r="X1689" t="s">
        <v>838</v>
      </c>
      <c r="Y1689">
        <v>1125</v>
      </c>
      <c r="Z1689">
        <v>1125</v>
      </c>
      <c r="AA1689" t="str">
        <f t="shared" si="482"/>
        <v>06/08/2016</v>
      </c>
    </row>
    <row r="1690" spans="1:27" x14ac:dyDescent="0.3">
      <c r="A1690" t="str">
        <f t="shared" si="475"/>
        <v>048314</v>
      </c>
      <c r="B1690" t="str">
        <f t="shared" si="467"/>
        <v>038430</v>
      </c>
      <c r="C1690" t="s">
        <v>3217</v>
      </c>
      <c r="D1690" t="s">
        <v>3839</v>
      </c>
      <c r="E1690" t="s">
        <v>3840</v>
      </c>
      <c r="F1690" t="s">
        <v>3841</v>
      </c>
      <c r="G1690" t="s">
        <v>3842</v>
      </c>
      <c r="H1690" t="str">
        <f t="shared" si="480"/>
        <v>048314</v>
      </c>
      <c r="I1690" t="s">
        <v>833</v>
      </c>
      <c r="J1690" t="str">
        <f>"2015-08-01 00:00:00.0"</f>
        <v>2015-08-01 00:00:00.0</v>
      </c>
      <c r="K1690" t="s">
        <v>834</v>
      </c>
      <c r="L1690" t="s">
        <v>0</v>
      </c>
      <c r="M1690" t="str">
        <f t="shared" si="483"/>
        <v>048314</v>
      </c>
      <c r="N1690">
        <v>1</v>
      </c>
      <c r="O1690">
        <v>1</v>
      </c>
      <c r="P1690" t="str">
        <f>"03"</f>
        <v>03</v>
      </c>
      <c r="Q1690" t="s">
        <v>835</v>
      </c>
      <c r="S1690" t="s">
        <v>836</v>
      </c>
      <c r="T1690" t="s">
        <v>836</v>
      </c>
      <c r="U1690" t="str">
        <f t="shared" si="479"/>
        <v>2500-12-31 00:00:00.0</v>
      </c>
      <c r="V1690" t="s">
        <v>837</v>
      </c>
      <c r="W1690" t="str">
        <f>"048314-038430-**-**"</f>
        <v>048314-038430-**-**</v>
      </c>
      <c r="X1690" t="s">
        <v>838</v>
      </c>
      <c r="Y1690">
        <v>1206.25</v>
      </c>
      <c r="Z1690">
        <v>1206.25</v>
      </c>
      <c r="AA1690" t="str">
        <f t="shared" si="482"/>
        <v>06/08/2016</v>
      </c>
    </row>
    <row r="1691" spans="1:27" x14ac:dyDescent="0.3">
      <c r="A1691" t="str">
        <f t="shared" si="475"/>
        <v>048314</v>
      </c>
      <c r="B1691" t="str">
        <f t="shared" si="467"/>
        <v>038430</v>
      </c>
      <c r="C1691" t="s">
        <v>3126</v>
      </c>
      <c r="D1691" t="s">
        <v>3839</v>
      </c>
      <c r="E1691" t="s">
        <v>3840</v>
      </c>
      <c r="F1691" t="s">
        <v>3841</v>
      </c>
      <c r="G1691" t="s">
        <v>3842</v>
      </c>
      <c r="H1691" t="str">
        <f t="shared" si="480"/>
        <v>048314</v>
      </c>
      <c r="I1691" t="s">
        <v>833</v>
      </c>
      <c r="J1691" t="str">
        <f>"2015-08-31 00:00:00.0"</f>
        <v>2015-08-31 00:00:00.0</v>
      </c>
      <c r="K1691" t="s">
        <v>834</v>
      </c>
      <c r="L1691" t="s">
        <v>0</v>
      </c>
      <c r="M1691" t="str">
        <f t="shared" si="483"/>
        <v>048314</v>
      </c>
      <c r="N1691">
        <v>1</v>
      </c>
      <c r="O1691">
        <v>1</v>
      </c>
      <c r="P1691" t="s">
        <v>764</v>
      </c>
      <c r="Q1691" t="s">
        <v>835</v>
      </c>
      <c r="S1691" t="s">
        <v>836</v>
      </c>
      <c r="T1691" t="s">
        <v>836</v>
      </c>
      <c r="U1691" t="str">
        <f t="shared" si="479"/>
        <v>2500-12-31 00:00:00.0</v>
      </c>
      <c r="V1691" t="s">
        <v>837</v>
      </c>
      <c r="W1691" t="str">
        <f>"048314-038430-**-**"</f>
        <v>048314-038430-**-**</v>
      </c>
      <c r="X1691" t="s">
        <v>838</v>
      </c>
      <c r="Y1691">
        <v>1206.25</v>
      </c>
      <c r="Z1691">
        <v>1206.25</v>
      </c>
      <c r="AA1691" t="str">
        <f t="shared" si="482"/>
        <v>06/08/2016</v>
      </c>
    </row>
    <row r="1692" spans="1:27" x14ac:dyDescent="0.3">
      <c r="A1692" t="str">
        <f t="shared" si="475"/>
        <v>048314</v>
      </c>
      <c r="B1692" t="str">
        <f t="shared" si="467"/>
        <v>038430</v>
      </c>
      <c r="C1692" t="s">
        <v>909</v>
      </c>
      <c r="D1692" t="s">
        <v>3839</v>
      </c>
      <c r="E1692" t="s">
        <v>3840</v>
      </c>
      <c r="F1692" t="s">
        <v>3841</v>
      </c>
      <c r="G1692" t="s">
        <v>3842</v>
      </c>
      <c r="H1692" t="str">
        <f t="shared" si="480"/>
        <v>048314</v>
      </c>
      <c r="I1692" t="s">
        <v>833</v>
      </c>
      <c r="J1692" t="str">
        <f>"2015-08-01 00:00:00.0"</f>
        <v>2015-08-01 00:00:00.0</v>
      </c>
      <c r="K1692" t="s">
        <v>834</v>
      </c>
      <c r="L1692" t="s">
        <v>0</v>
      </c>
      <c r="M1692" t="str">
        <f t="shared" si="483"/>
        <v>048314</v>
      </c>
      <c r="N1692">
        <v>1</v>
      </c>
      <c r="O1692">
        <v>1</v>
      </c>
      <c r="P1692" t="s">
        <v>764</v>
      </c>
      <c r="Q1692" t="s">
        <v>835</v>
      </c>
      <c r="S1692" t="s">
        <v>836</v>
      </c>
      <c r="T1692" t="s">
        <v>836</v>
      </c>
      <c r="U1692" t="str">
        <f t="shared" si="479"/>
        <v>2500-12-31 00:00:00.0</v>
      </c>
      <c r="V1692" t="s">
        <v>837</v>
      </c>
      <c r="W1692" t="str">
        <f>"048314-038430-**-**"</f>
        <v>048314-038430-**-**</v>
      </c>
      <c r="X1692" t="s">
        <v>838</v>
      </c>
      <c r="Y1692">
        <v>1206.25</v>
      </c>
      <c r="Z1692">
        <v>1206.25</v>
      </c>
      <c r="AA1692" t="str">
        <f t="shared" si="482"/>
        <v>06/08/2016</v>
      </c>
    </row>
    <row r="1693" spans="1:27" x14ac:dyDescent="0.3">
      <c r="A1693" t="str">
        <f t="shared" si="475"/>
        <v>048314</v>
      </c>
      <c r="B1693" t="str">
        <f t="shared" si="467"/>
        <v>038430</v>
      </c>
      <c r="C1693" t="s">
        <v>832</v>
      </c>
      <c r="D1693" t="s">
        <v>3839</v>
      </c>
      <c r="E1693" t="s">
        <v>3840</v>
      </c>
      <c r="F1693" t="s">
        <v>3841</v>
      </c>
      <c r="G1693" t="s">
        <v>3842</v>
      </c>
      <c r="H1693" t="str">
        <f t="shared" si="480"/>
        <v>048314</v>
      </c>
      <c r="I1693" t="s">
        <v>833</v>
      </c>
      <c r="J1693" t="str">
        <f>"2015-08-01 00:00:00.0"</f>
        <v>2015-08-01 00:00:00.0</v>
      </c>
      <c r="K1693" t="s">
        <v>834</v>
      </c>
      <c r="L1693" t="s">
        <v>0</v>
      </c>
      <c r="M1693" t="str">
        <f t="shared" si="483"/>
        <v>048314</v>
      </c>
      <c r="N1693">
        <v>1</v>
      </c>
      <c r="O1693">
        <v>1</v>
      </c>
      <c r="P1693" t="s">
        <v>764</v>
      </c>
      <c r="Q1693" t="s">
        <v>835</v>
      </c>
      <c r="S1693" t="s">
        <v>836</v>
      </c>
      <c r="T1693" t="s">
        <v>836</v>
      </c>
      <c r="U1693" t="str">
        <f t="shared" si="479"/>
        <v>2500-12-31 00:00:00.0</v>
      </c>
      <c r="V1693" t="s">
        <v>837</v>
      </c>
      <c r="W1693" t="str">
        <f>"048314-038430-**-**"</f>
        <v>048314-038430-**-**</v>
      </c>
      <c r="X1693" t="s">
        <v>838</v>
      </c>
      <c r="Y1693">
        <v>1206.25</v>
      </c>
      <c r="Z1693">
        <v>1206.25</v>
      </c>
      <c r="AA1693" t="str">
        <f t="shared" si="482"/>
        <v>06/08/2016</v>
      </c>
    </row>
    <row r="1694" spans="1:27" x14ac:dyDescent="0.3">
      <c r="A1694" t="str">
        <f t="shared" si="475"/>
        <v>048314</v>
      </c>
      <c r="B1694" t="str">
        <f t="shared" si="467"/>
        <v>038430</v>
      </c>
      <c r="C1694" t="s">
        <v>3630</v>
      </c>
      <c r="D1694" t="s">
        <v>3839</v>
      </c>
      <c r="E1694" t="s">
        <v>3840</v>
      </c>
      <c r="F1694" t="s">
        <v>3841</v>
      </c>
      <c r="G1694" t="s">
        <v>3842</v>
      </c>
      <c r="H1694" t="str">
        <f>"048280"</f>
        <v>048280</v>
      </c>
      <c r="I1694" t="s">
        <v>833</v>
      </c>
      <c r="J1694" t="str">
        <f>"2015-07-01 00:00:00.0"</f>
        <v>2015-07-01 00:00:00.0</v>
      </c>
      <c r="K1694" t="s">
        <v>834</v>
      </c>
      <c r="L1694" t="s">
        <v>142</v>
      </c>
      <c r="M1694" t="str">
        <f t="shared" si="483"/>
        <v>048314</v>
      </c>
      <c r="N1694">
        <v>1</v>
      </c>
      <c r="O1694">
        <v>1</v>
      </c>
      <c r="P1694" t="s">
        <v>841</v>
      </c>
      <c r="Q1694" t="str">
        <f>"03"</f>
        <v>03</v>
      </c>
      <c r="R1694" t="str">
        <f>"3"</f>
        <v>3</v>
      </c>
      <c r="S1694" t="s">
        <v>836</v>
      </c>
      <c r="T1694" t="s">
        <v>836</v>
      </c>
      <c r="U1694" t="str">
        <f t="shared" si="479"/>
        <v>2500-12-31 00:00:00.0</v>
      </c>
      <c r="V1694" t="s">
        <v>837</v>
      </c>
      <c r="W1694" t="str">
        <f>"048280-048280-PS-BF"</f>
        <v>048280-048280-PS-BF</v>
      </c>
      <c r="X1694" t="s">
        <v>838</v>
      </c>
      <c r="Y1694">
        <v>145</v>
      </c>
      <c r="Z1694">
        <v>145</v>
      </c>
      <c r="AA1694" t="str">
        <f>"06/15/2016"</f>
        <v>06/15/2016</v>
      </c>
    </row>
    <row r="1695" spans="1:27" x14ac:dyDescent="0.3">
      <c r="A1695" t="str">
        <f t="shared" si="475"/>
        <v>048314</v>
      </c>
      <c r="B1695" t="str">
        <f t="shared" si="467"/>
        <v>038430</v>
      </c>
      <c r="C1695" t="s">
        <v>3717</v>
      </c>
      <c r="D1695" t="s">
        <v>3839</v>
      </c>
      <c r="E1695" t="s">
        <v>3840</v>
      </c>
      <c r="F1695" t="s">
        <v>3841</v>
      </c>
      <c r="G1695" t="s">
        <v>3842</v>
      </c>
      <c r="H1695" t="str">
        <f t="shared" ref="H1695:H1730" si="484">"048314"</f>
        <v>048314</v>
      </c>
      <c r="I1695" t="s">
        <v>833</v>
      </c>
      <c r="J1695" t="str">
        <f>"2015-07-01 00:00:00.0"</f>
        <v>2015-07-01 00:00:00.0</v>
      </c>
      <c r="K1695" t="s">
        <v>834</v>
      </c>
      <c r="L1695" t="s">
        <v>0</v>
      </c>
      <c r="M1695" t="str">
        <f t="shared" si="483"/>
        <v>048314</v>
      </c>
      <c r="N1695">
        <v>1</v>
      </c>
      <c r="O1695">
        <v>1</v>
      </c>
      <c r="P1695" t="str">
        <f>"04"</f>
        <v>04</v>
      </c>
      <c r="Q1695" t="s">
        <v>835</v>
      </c>
      <c r="S1695" t="s">
        <v>836</v>
      </c>
      <c r="T1695" t="s">
        <v>836</v>
      </c>
      <c r="U1695" t="str">
        <f t="shared" si="479"/>
        <v>2500-12-31 00:00:00.0</v>
      </c>
      <c r="V1695" t="s">
        <v>837</v>
      </c>
      <c r="W1695" t="str">
        <f>"048314-038430-**-**"</f>
        <v>048314-038430-**-**</v>
      </c>
      <c r="X1695" t="s">
        <v>838</v>
      </c>
      <c r="Y1695">
        <v>1206.25</v>
      </c>
      <c r="Z1695">
        <v>1206.25</v>
      </c>
      <c r="AA1695" t="str">
        <f t="shared" ref="AA1695:AA1730" si="485">"06/08/2016"</f>
        <v>06/08/2016</v>
      </c>
    </row>
    <row r="1696" spans="1:27" x14ac:dyDescent="0.3">
      <c r="A1696" t="str">
        <f t="shared" si="475"/>
        <v>048314</v>
      </c>
      <c r="B1696" t="str">
        <f t="shared" si="467"/>
        <v>038430</v>
      </c>
      <c r="C1696" t="s">
        <v>1013</v>
      </c>
      <c r="D1696" t="s">
        <v>3839</v>
      </c>
      <c r="E1696" t="s">
        <v>3840</v>
      </c>
      <c r="F1696" t="s">
        <v>3841</v>
      </c>
      <c r="G1696" t="s">
        <v>3842</v>
      </c>
      <c r="H1696" t="str">
        <f t="shared" si="484"/>
        <v>048314</v>
      </c>
      <c r="I1696" t="s">
        <v>833</v>
      </c>
      <c r="J1696" t="str">
        <f>"2015-08-01 00:00:00.0"</f>
        <v>2015-08-01 00:00:00.0</v>
      </c>
      <c r="K1696" t="s">
        <v>834</v>
      </c>
      <c r="L1696" t="s">
        <v>0</v>
      </c>
      <c r="M1696" t="str">
        <f t="shared" si="483"/>
        <v>048314</v>
      </c>
      <c r="N1696">
        <v>1</v>
      </c>
      <c r="O1696">
        <v>1</v>
      </c>
      <c r="P1696" t="s">
        <v>764</v>
      </c>
      <c r="Q1696" t="s">
        <v>835</v>
      </c>
      <c r="S1696" t="s">
        <v>836</v>
      </c>
      <c r="T1696" t="s">
        <v>836</v>
      </c>
      <c r="U1696" t="str">
        <f t="shared" si="479"/>
        <v>2500-12-31 00:00:00.0</v>
      </c>
      <c r="V1696" t="s">
        <v>837</v>
      </c>
      <c r="W1696" t="str">
        <f>"048314-038430-**-**"</f>
        <v>048314-038430-**-**</v>
      </c>
      <c r="X1696" t="s">
        <v>838</v>
      </c>
      <c r="Y1696">
        <v>1206.25</v>
      </c>
      <c r="Z1696">
        <v>1206.25</v>
      </c>
      <c r="AA1696" t="str">
        <f t="shared" si="485"/>
        <v>06/08/2016</v>
      </c>
    </row>
    <row r="1697" spans="1:27" x14ac:dyDescent="0.3">
      <c r="A1697" t="str">
        <f t="shared" si="475"/>
        <v>048314</v>
      </c>
      <c r="B1697" t="str">
        <f t="shared" si="467"/>
        <v>038430</v>
      </c>
      <c r="C1697" t="s">
        <v>839</v>
      </c>
      <c r="D1697" t="s">
        <v>3839</v>
      </c>
      <c r="E1697" t="s">
        <v>3840</v>
      </c>
      <c r="F1697" t="s">
        <v>3841</v>
      </c>
      <c r="G1697" t="s">
        <v>3842</v>
      </c>
      <c r="H1697" t="str">
        <f t="shared" si="484"/>
        <v>048314</v>
      </c>
      <c r="I1697" t="s">
        <v>833</v>
      </c>
      <c r="J1697" t="str">
        <f>"2015-12-08 00:00:00.0"</f>
        <v>2015-12-08 00:00:00.0</v>
      </c>
      <c r="K1697" t="s">
        <v>834</v>
      </c>
      <c r="L1697" t="s">
        <v>0</v>
      </c>
      <c r="M1697" t="str">
        <f t="shared" si="483"/>
        <v>048314</v>
      </c>
      <c r="N1697">
        <v>0.64766800000000002</v>
      </c>
      <c r="O1697">
        <v>0.64766800000000002</v>
      </c>
      <c r="P1697" t="str">
        <f>"01"</f>
        <v>01</v>
      </c>
      <c r="Q1697" t="s">
        <v>835</v>
      </c>
      <c r="S1697" t="s">
        <v>836</v>
      </c>
      <c r="T1697" t="s">
        <v>836</v>
      </c>
      <c r="U1697" t="str">
        <f t="shared" si="479"/>
        <v>2500-12-31 00:00:00.0</v>
      </c>
      <c r="V1697" t="s">
        <v>837</v>
      </c>
      <c r="W1697" t="str">
        <f>"048314-038430-**-**"</f>
        <v>048314-038430-**-**</v>
      </c>
      <c r="X1697" t="s">
        <v>838</v>
      </c>
      <c r="Y1697">
        <v>781.25</v>
      </c>
      <c r="Z1697">
        <v>1206.25</v>
      </c>
      <c r="AA1697" t="str">
        <f t="shared" si="485"/>
        <v>06/08/2016</v>
      </c>
    </row>
    <row r="1698" spans="1:27" x14ac:dyDescent="0.3">
      <c r="A1698" t="str">
        <f t="shared" si="475"/>
        <v>048314</v>
      </c>
      <c r="B1698" t="str">
        <f t="shared" si="467"/>
        <v>038430</v>
      </c>
      <c r="C1698" t="s">
        <v>3063</v>
      </c>
      <c r="D1698" t="s">
        <v>3839</v>
      </c>
      <c r="E1698" t="s">
        <v>3840</v>
      </c>
      <c r="F1698" t="s">
        <v>3841</v>
      </c>
      <c r="G1698" t="s">
        <v>3842</v>
      </c>
      <c r="H1698" t="str">
        <f t="shared" si="484"/>
        <v>048314</v>
      </c>
      <c r="I1698" t="s">
        <v>833</v>
      </c>
      <c r="J1698" t="str">
        <f>"2015-12-08 00:00:00.0"</f>
        <v>2015-12-08 00:00:00.0</v>
      </c>
      <c r="K1698" t="s">
        <v>834</v>
      </c>
      <c r="L1698" t="s">
        <v>0</v>
      </c>
      <c r="M1698" t="str">
        <f t="shared" si="483"/>
        <v>048314</v>
      </c>
      <c r="N1698">
        <v>0.32642500000000002</v>
      </c>
      <c r="O1698">
        <v>0.32642500000000002</v>
      </c>
      <c r="P1698" t="str">
        <f>"01"</f>
        <v>01</v>
      </c>
      <c r="Q1698" t="s">
        <v>835</v>
      </c>
      <c r="S1698" t="s">
        <v>836</v>
      </c>
      <c r="T1698" t="s">
        <v>836</v>
      </c>
      <c r="U1698" t="str">
        <f>"2016-03-10 00:00:00.0"</f>
        <v>2016-03-10 00:00:00.0</v>
      </c>
      <c r="V1698" t="s">
        <v>837</v>
      </c>
      <c r="W1698" t="str">
        <f>"048314-038430-**-**"</f>
        <v>048314-038430-**-**</v>
      </c>
      <c r="X1698" t="s">
        <v>838</v>
      </c>
      <c r="Y1698">
        <v>393.75</v>
      </c>
      <c r="Z1698">
        <v>1206.25</v>
      </c>
      <c r="AA1698" t="str">
        <f t="shared" si="485"/>
        <v>06/08/2016</v>
      </c>
    </row>
    <row r="1699" spans="1:27" x14ac:dyDescent="0.3">
      <c r="A1699" t="str">
        <f t="shared" si="475"/>
        <v>048314</v>
      </c>
      <c r="B1699" t="str">
        <f t="shared" si="467"/>
        <v>038430</v>
      </c>
      <c r="C1699" t="s">
        <v>3063</v>
      </c>
      <c r="D1699" t="s">
        <v>3839</v>
      </c>
      <c r="E1699" t="s">
        <v>3840</v>
      </c>
      <c r="F1699" t="s">
        <v>3841</v>
      </c>
      <c r="G1699" t="s">
        <v>3842</v>
      </c>
      <c r="H1699" t="str">
        <f t="shared" si="484"/>
        <v>048314</v>
      </c>
      <c r="I1699" t="s">
        <v>833</v>
      </c>
      <c r="J1699" t="str">
        <f>"2016-03-11 00:00:00.0"</f>
        <v>2016-03-11 00:00:00.0</v>
      </c>
      <c r="K1699" t="s">
        <v>834</v>
      </c>
      <c r="L1699" t="s">
        <v>0</v>
      </c>
      <c r="M1699" t="str">
        <f t="shared" si="483"/>
        <v>048314</v>
      </c>
      <c r="N1699">
        <v>0.32124399999999997</v>
      </c>
      <c r="O1699">
        <v>0.32124399999999997</v>
      </c>
      <c r="P1699" t="str">
        <f>"01"</f>
        <v>01</v>
      </c>
      <c r="Q1699" t="s">
        <v>835</v>
      </c>
      <c r="S1699" t="s">
        <v>836</v>
      </c>
      <c r="T1699" t="s">
        <v>836</v>
      </c>
      <c r="U1699" t="str">
        <f t="shared" ref="U1699:U1728" si="486">"2500-12-31 00:00:00.0"</f>
        <v>2500-12-31 00:00:00.0</v>
      </c>
      <c r="V1699" t="s">
        <v>837</v>
      </c>
      <c r="W1699" t="str">
        <f>"048314-038430-**-**"</f>
        <v>048314-038430-**-**</v>
      </c>
      <c r="X1699" t="s">
        <v>838</v>
      </c>
      <c r="Y1699">
        <v>387.5</v>
      </c>
      <c r="Z1699">
        <v>1206.25</v>
      </c>
      <c r="AA1699" t="str">
        <f t="shared" si="485"/>
        <v>06/08/2016</v>
      </c>
    </row>
    <row r="1700" spans="1:27" x14ac:dyDescent="0.3">
      <c r="A1700" t="str">
        <f t="shared" si="475"/>
        <v>048314</v>
      </c>
      <c r="B1700" t="str">
        <f t="shared" ref="B1700:B1763" si="487">"038430"</f>
        <v>038430</v>
      </c>
      <c r="C1700" t="s">
        <v>2864</v>
      </c>
      <c r="D1700" t="s">
        <v>3839</v>
      </c>
      <c r="E1700" t="s">
        <v>3840</v>
      </c>
      <c r="F1700" t="s">
        <v>3841</v>
      </c>
      <c r="G1700" t="s">
        <v>3842</v>
      </c>
      <c r="H1700" t="str">
        <f t="shared" si="484"/>
        <v>048314</v>
      </c>
      <c r="I1700" t="s">
        <v>833</v>
      </c>
      <c r="J1700" t="str">
        <f>"2015-07-01 00:00:00.0"</f>
        <v>2015-07-01 00:00:00.0</v>
      </c>
      <c r="K1700" t="s">
        <v>834</v>
      </c>
      <c r="L1700" t="s">
        <v>0</v>
      </c>
      <c r="M1700" t="str">
        <f t="shared" si="483"/>
        <v>048314</v>
      </c>
      <c r="N1700">
        <v>1</v>
      </c>
      <c r="O1700">
        <v>1</v>
      </c>
      <c r="P1700" t="str">
        <f>"05"</f>
        <v>05</v>
      </c>
      <c r="Q1700" t="s">
        <v>835</v>
      </c>
      <c r="S1700" t="s">
        <v>836</v>
      </c>
      <c r="T1700" t="s">
        <v>836</v>
      </c>
      <c r="U1700" t="str">
        <f t="shared" si="486"/>
        <v>2500-12-31 00:00:00.0</v>
      </c>
      <c r="V1700" t="s">
        <v>837</v>
      </c>
      <c r="W1700" t="str">
        <f>"048314-070417-**-**"</f>
        <v>048314-070417-**-**</v>
      </c>
      <c r="X1700" t="s">
        <v>838</v>
      </c>
      <c r="Y1700">
        <v>1125</v>
      </c>
      <c r="Z1700">
        <v>1125</v>
      </c>
      <c r="AA1700" t="str">
        <f t="shared" si="485"/>
        <v>06/08/2016</v>
      </c>
    </row>
    <row r="1701" spans="1:27" x14ac:dyDescent="0.3">
      <c r="A1701" t="str">
        <f t="shared" si="475"/>
        <v>048314</v>
      </c>
      <c r="B1701" t="str">
        <f t="shared" si="487"/>
        <v>038430</v>
      </c>
      <c r="C1701" t="s">
        <v>2865</v>
      </c>
      <c r="D1701" t="s">
        <v>3839</v>
      </c>
      <c r="E1701" t="s">
        <v>3840</v>
      </c>
      <c r="F1701" t="s">
        <v>3841</v>
      </c>
      <c r="G1701" t="s">
        <v>3842</v>
      </c>
      <c r="H1701" t="str">
        <f t="shared" si="484"/>
        <v>048314</v>
      </c>
      <c r="I1701" t="s">
        <v>833</v>
      </c>
      <c r="J1701" t="str">
        <f>"2015-07-01 00:00:00.0"</f>
        <v>2015-07-01 00:00:00.0</v>
      </c>
      <c r="K1701" t="s">
        <v>834</v>
      </c>
      <c r="L1701" t="s">
        <v>0</v>
      </c>
      <c r="M1701" t="str">
        <f t="shared" si="483"/>
        <v>048314</v>
      </c>
      <c r="N1701">
        <v>1</v>
      </c>
      <c r="O1701">
        <v>1</v>
      </c>
      <c r="P1701" t="str">
        <f>"05"</f>
        <v>05</v>
      </c>
      <c r="Q1701" t="s">
        <v>835</v>
      </c>
      <c r="S1701" t="s">
        <v>836</v>
      </c>
      <c r="T1701" t="s">
        <v>836</v>
      </c>
      <c r="U1701" t="str">
        <f t="shared" si="486"/>
        <v>2500-12-31 00:00:00.0</v>
      </c>
      <c r="V1701" t="s">
        <v>837</v>
      </c>
      <c r="W1701" t="str">
        <f>"048314-070417-**-**"</f>
        <v>048314-070417-**-**</v>
      </c>
      <c r="X1701" t="s">
        <v>838</v>
      </c>
      <c r="Y1701">
        <v>1125</v>
      </c>
      <c r="Z1701">
        <v>1125</v>
      </c>
      <c r="AA1701" t="str">
        <f t="shared" si="485"/>
        <v>06/08/2016</v>
      </c>
    </row>
    <row r="1702" spans="1:27" x14ac:dyDescent="0.3">
      <c r="A1702" t="str">
        <f t="shared" si="475"/>
        <v>048314</v>
      </c>
      <c r="B1702" t="str">
        <f t="shared" si="487"/>
        <v>038430</v>
      </c>
      <c r="C1702" t="s">
        <v>3688</v>
      </c>
      <c r="D1702" t="s">
        <v>3839</v>
      </c>
      <c r="E1702" t="s">
        <v>3840</v>
      </c>
      <c r="F1702" t="s">
        <v>3841</v>
      </c>
      <c r="G1702" t="s">
        <v>3842</v>
      </c>
      <c r="H1702" t="str">
        <f t="shared" si="484"/>
        <v>048314</v>
      </c>
      <c r="I1702" t="s">
        <v>833</v>
      </c>
      <c r="J1702" t="str">
        <f>"2015-08-31 00:00:00.0"</f>
        <v>2015-08-31 00:00:00.0</v>
      </c>
      <c r="K1702" t="s">
        <v>834</v>
      </c>
      <c r="L1702" t="s">
        <v>0</v>
      </c>
      <c r="M1702" t="str">
        <f t="shared" si="483"/>
        <v>048314</v>
      </c>
      <c r="N1702">
        <v>1</v>
      </c>
      <c r="O1702">
        <v>1</v>
      </c>
      <c r="P1702" t="s">
        <v>764</v>
      </c>
      <c r="Q1702" t="s">
        <v>835</v>
      </c>
      <c r="S1702" t="s">
        <v>860</v>
      </c>
      <c r="T1702" t="s">
        <v>836</v>
      </c>
      <c r="U1702" t="str">
        <f t="shared" si="486"/>
        <v>2500-12-31 00:00:00.0</v>
      </c>
      <c r="V1702" t="s">
        <v>837</v>
      </c>
      <c r="W1702" t="str">
        <f t="shared" ref="W1702:W1707" si="488">"048314-038430-**-**"</f>
        <v>048314-038430-**-**</v>
      </c>
      <c r="X1702" t="s">
        <v>838</v>
      </c>
      <c r="Y1702">
        <v>1206.25</v>
      </c>
      <c r="Z1702">
        <v>1206.25</v>
      </c>
      <c r="AA1702" t="str">
        <f t="shared" si="485"/>
        <v>06/08/2016</v>
      </c>
    </row>
    <row r="1703" spans="1:27" x14ac:dyDescent="0.3">
      <c r="A1703" t="str">
        <f t="shared" si="475"/>
        <v>048314</v>
      </c>
      <c r="B1703" t="str">
        <f t="shared" si="487"/>
        <v>038430</v>
      </c>
      <c r="C1703" t="s">
        <v>3471</v>
      </c>
      <c r="D1703" t="s">
        <v>3839</v>
      </c>
      <c r="E1703" t="s">
        <v>3840</v>
      </c>
      <c r="F1703" t="s">
        <v>3841</v>
      </c>
      <c r="G1703" t="s">
        <v>3842</v>
      </c>
      <c r="H1703" t="str">
        <f t="shared" si="484"/>
        <v>048314</v>
      </c>
      <c r="I1703" t="s">
        <v>833</v>
      </c>
      <c r="J1703" t="str">
        <f>"2015-07-01 00:00:00.0"</f>
        <v>2015-07-01 00:00:00.0</v>
      </c>
      <c r="K1703" t="s">
        <v>834</v>
      </c>
      <c r="L1703" t="s">
        <v>0</v>
      </c>
      <c r="M1703" t="str">
        <f t="shared" si="483"/>
        <v>048314</v>
      </c>
      <c r="N1703">
        <v>1</v>
      </c>
      <c r="O1703">
        <v>1</v>
      </c>
      <c r="P1703" t="str">
        <f>"01"</f>
        <v>01</v>
      </c>
      <c r="Q1703" t="str">
        <f>"12"</f>
        <v>12</v>
      </c>
      <c r="R1703" t="str">
        <f>"6"</f>
        <v>6</v>
      </c>
      <c r="S1703" t="s">
        <v>860</v>
      </c>
      <c r="T1703" t="s">
        <v>836</v>
      </c>
      <c r="U1703" t="str">
        <f t="shared" si="486"/>
        <v>2500-12-31 00:00:00.0</v>
      </c>
      <c r="V1703" t="s">
        <v>837</v>
      </c>
      <c r="W1703" t="str">
        <f t="shared" si="488"/>
        <v>048314-038430-**-**</v>
      </c>
      <c r="X1703" t="s">
        <v>838</v>
      </c>
      <c r="Y1703">
        <v>1206.25</v>
      </c>
      <c r="Z1703">
        <v>1206.25</v>
      </c>
      <c r="AA1703" t="str">
        <f t="shared" si="485"/>
        <v>06/08/2016</v>
      </c>
    </row>
    <row r="1704" spans="1:27" x14ac:dyDescent="0.3">
      <c r="A1704" t="str">
        <f t="shared" si="475"/>
        <v>048314</v>
      </c>
      <c r="B1704" t="str">
        <f t="shared" si="487"/>
        <v>038430</v>
      </c>
      <c r="C1704" t="s">
        <v>1552</v>
      </c>
      <c r="D1704" t="s">
        <v>3839</v>
      </c>
      <c r="E1704" t="s">
        <v>3840</v>
      </c>
      <c r="F1704" t="s">
        <v>3841</v>
      </c>
      <c r="G1704" t="s">
        <v>3842</v>
      </c>
      <c r="H1704" t="str">
        <f t="shared" si="484"/>
        <v>048314</v>
      </c>
      <c r="I1704" t="s">
        <v>833</v>
      </c>
      <c r="J1704" t="str">
        <f>"2015-08-01 00:00:00.0"</f>
        <v>2015-08-01 00:00:00.0</v>
      </c>
      <c r="K1704" t="s">
        <v>834</v>
      </c>
      <c r="L1704" t="s">
        <v>0</v>
      </c>
      <c r="M1704" t="str">
        <f t="shared" si="483"/>
        <v>048314</v>
      </c>
      <c r="N1704">
        <v>1</v>
      </c>
      <c r="O1704">
        <v>1</v>
      </c>
      <c r="P1704" t="s">
        <v>764</v>
      </c>
      <c r="Q1704" t="s">
        <v>835</v>
      </c>
      <c r="S1704" t="s">
        <v>836</v>
      </c>
      <c r="T1704" t="s">
        <v>836</v>
      </c>
      <c r="U1704" t="str">
        <f t="shared" si="486"/>
        <v>2500-12-31 00:00:00.0</v>
      </c>
      <c r="V1704" t="s">
        <v>837</v>
      </c>
      <c r="W1704" t="str">
        <f t="shared" si="488"/>
        <v>048314-038430-**-**</v>
      </c>
      <c r="X1704" t="s">
        <v>838</v>
      </c>
      <c r="Y1704">
        <v>1206.25</v>
      </c>
      <c r="Z1704">
        <v>1206.25</v>
      </c>
      <c r="AA1704" t="str">
        <f t="shared" si="485"/>
        <v>06/08/2016</v>
      </c>
    </row>
    <row r="1705" spans="1:27" x14ac:dyDescent="0.3">
      <c r="A1705" t="str">
        <f t="shared" si="475"/>
        <v>048314</v>
      </c>
      <c r="B1705" t="str">
        <f t="shared" si="487"/>
        <v>038430</v>
      </c>
      <c r="C1705" t="s">
        <v>2987</v>
      </c>
      <c r="D1705" t="s">
        <v>3839</v>
      </c>
      <c r="E1705" t="s">
        <v>3840</v>
      </c>
      <c r="F1705" t="s">
        <v>3841</v>
      </c>
      <c r="G1705" t="s">
        <v>3842</v>
      </c>
      <c r="H1705" t="str">
        <f t="shared" si="484"/>
        <v>048314</v>
      </c>
      <c r="I1705" t="s">
        <v>833</v>
      </c>
      <c r="J1705" t="str">
        <f>"2015-07-01 00:00:00.0"</f>
        <v>2015-07-01 00:00:00.0</v>
      </c>
      <c r="K1705" t="s">
        <v>834</v>
      </c>
      <c r="L1705" t="s">
        <v>0</v>
      </c>
      <c r="M1705" t="str">
        <f t="shared" si="483"/>
        <v>048314</v>
      </c>
      <c r="N1705">
        <v>1</v>
      </c>
      <c r="O1705">
        <v>1</v>
      </c>
      <c r="P1705" t="str">
        <f>"01"</f>
        <v>01</v>
      </c>
      <c r="Q1705" t="s">
        <v>835</v>
      </c>
      <c r="S1705" t="s">
        <v>836</v>
      </c>
      <c r="T1705" t="s">
        <v>836</v>
      </c>
      <c r="U1705" t="str">
        <f t="shared" si="486"/>
        <v>2500-12-31 00:00:00.0</v>
      </c>
      <c r="V1705" t="s">
        <v>837</v>
      </c>
      <c r="W1705" t="str">
        <f t="shared" si="488"/>
        <v>048314-038430-**-**</v>
      </c>
      <c r="X1705" t="s">
        <v>838</v>
      </c>
      <c r="Y1705">
        <v>1206.25</v>
      </c>
      <c r="Z1705">
        <v>1206.25</v>
      </c>
      <c r="AA1705" t="str">
        <f t="shared" si="485"/>
        <v>06/08/2016</v>
      </c>
    </row>
    <row r="1706" spans="1:27" x14ac:dyDescent="0.3">
      <c r="A1706" t="str">
        <f t="shared" si="475"/>
        <v>048314</v>
      </c>
      <c r="B1706" t="str">
        <f t="shared" si="487"/>
        <v>038430</v>
      </c>
      <c r="C1706" t="s">
        <v>2294</v>
      </c>
      <c r="D1706" t="s">
        <v>3839</v>
      </c>
      <c r="E1706" t="s">
        <v>3840</v>
      </c>
      <c r="F1706" t="s">
        <v>3841</v>
      </c>
      <c r="G1706" t="s">
        <v>3842</v>
      </c>
      <c r="H1706" t="str">
        <f t="shared" si="484"/>
        <v>048314</v>
      </c>
      <c r="I1706" t="s">
        <v>833</v>
      </c>
      <c r="J1706" t="str">
        <f>"2015-08-01 00:00:00.0"</f>
        <v>2015-08-01 00:00:00.0</v>
      </c>
      <c r="K1706" t="s">
        <v>834</v>
      </c>
      <c r="L1706" t="s">
        <v>0</v>
      </c>
      <c r="M1706" t="str">
        <f t="shared" si="483"/>
        <v>048314</v>
      </c>
      <c r="N1706">
        <v>1</v>
      </c>
      <c r="O1706">
        <v>1</v>
      </c>
      <c r="P1706" t="s">
        <v>764</v>
      </c>
      <c r="Q1706" t="s">
        <v>835</v>
      </c>
      <c r="S1706" t="s">
        <v>836</v>
      </c>
      <c r="T1706" t="s">
        <v>836</v>
      </c>
      <c r="U1706" t="str">
        <f t="shared" si="486"/>
        <v>2500-12-31 00:00:00.0</v>
      </c>
      <c r="V1706" t="s">
        <v>837</v>
      </c>
      <c r="W1706" t="str">
        <f t="shared" si="488"/>
        <v>048314-038430-**-**</v>
      </c>
      <c r="X1706" t="s">
        <v>838</v>
      </c>
      <c r="Y1706">
        <v>1206.25</v>
      </c>
      <c r="Z1706">
        <v>1206.25</v>
      </c>
      <c r="AA1706" t="str">
        <f t="shared" si="485"/>
        <v>06/08/2016</v>
      </c>
    </row>
    <row r="1707" spans="1:27" x14ac:dyDescent="0.3">
      <c r="A1707" t="str">
        <f t="shared" si="475"/>
        <v>048314</v>
      </c>
      <c r="B1707" t="str">
        <f t="shared" si="487"/>
        <v>038430</v>
      </c>
      <c r="C1707" t="s">
        <v>3379</v>
      </c>
      <c r="D1707" t="s">
        <v>3839</v>
      </c>
      <c r="E1707" t="s">
        <v>3840</v>
      </c>
      <c r="F1707" t="s">
        <v>3841</v>
      </c>
      <c r="G1707" t="s">
        <v>3842</v>
      </c>
      <c r="H1707" t="str">
        <f t="shared" si="484"/>
        <v>048314</v>
      </c>
      <c r="I1707" t="s">
        <v>833</v>
      </c>
      <c r="J1707" t="str">
        <f>"2015-07-01 00:00:00.0"</f>
        <v>2015-07-01 00:00:00.0</v>
      </c>
      <c r="K1707" t="s">
        <v>834</v>
      </c>
      <c r="L1707" t="s">
        <v>0</v>
      </c>
      <c r="M1707" t="str">
        <f t="shared" si="483"/>
        <v>048314</v>
      </c>
      <c r="N1707">
        <v>1</v>
      </c>
      <c r="O1707">
        <v>1</v>
      </c>
      <c r="P1707" t="str">
        <f>"04"</f>
        <v>04</v>
      </c>
      <c r="Q1707" t="s">
        <v>835</v>
      </c>
      <c r="S1707" t="s">
        <v>836</v>
      </c>
      <c r="T1707" t="s">
        <v>836</v>
      </c>
      <c r="U1707" t="str">
        <f t="shared" si="486"/>
        <v>2500-12-31 00:00:00.0</v>
      </c>
      <c r="V1707" t="s">
        <v>837</v>
      </c>
      <c r="W1707" t="str">
        <f t="shared" si="488"/>
        <v>048314-038430-**-**</v>
      </c>
      <c r="X1707" t="s">
        <v>838</v>
      </c>
      <c r="Y1707">
        <v>1206.25</v>
      </c>
      <c r="Z1707">
        <v>1206.25</v>
      </c>
      <c r="AA1707" t="str">
        <f t="shared" si="485"/>
        <v>06/08/2016</v>
      </c>
    </row>
    <row r="1708" spans="1:27" x14ac:dyDescent="0.3">
      <c r="A1708" t="str">
        <f t="shared" si="475"/>
        <v>048314</v>
      </c>
      <c r="B1708" t="str">
        <f t="shared" si="487"/>
        <v>038430</v>
      </c>
      <c r="C1708" t="s">
        <v>2867</v>
      </c>
      <c r="D1708" t="s">
        <v>3839</v>
      </c>
      <c r="E1708" t="s">
        <v>3840</v>
      </c>
      <c r="F1708" t="s">
        <v>3841</v>
      </c>
      <c r="G1708" t="s">
        <v>3842</v>
      </c>
      <c r="H1708" t="str">
        <f t="shared" si="484"/>
        <v>048314</v>
      </c>
      <c r="I1708" t="s">
        <v>833</v>
      </c>
      <c r="J1708" t="str">
        <f>"2015-07-01 00:00:00.0"</f>
        <v>2015-07-01 00:00:00.0</v>
      </c>
      <c r="K1708" t="s">
        <v>834</v>
      </c>
      <c r="L1708" t="s">
        <v>0</v>
      </c>
      <c r="M1708" t="str">
        <f t="shared" si="483"/>
        <v>048314</v>
      </c>
      <c r="N1708">
        <v>1</v>
      </c>
      <c r="O1708">
        <v>1</v>
      </c>
      <c r="P1708" t="str">
        <f>"05"</f>
        <v>05</v>
      </c>
      <c r="Q1708" t="s">
        <v>835</v>
      </c>
      <c r="S1708" t="s">
        <v>836</v>
      </c>
      <c r="T1708" t="s">
        <v>836</v>
      </c>
      <c r="U1708" t="str">
        <f t="shared" si="486"/>
        <v>2500-12-31 00:00:00.0</v>
      </c>
      <c r="V1708" t="s">
        <v>837</v>
      </c>
      <c r="W1708" t="str">
        <f>"048314-070417-**-**"</f>
        <v>048314-070417-**-**</v>
      </c>
      <c r="X1708" t="s">
        <v>838</v>
      </c>
      <c r="Y1708">
        <v>1125</v>
      </c>
      <c r="Z1708">
        <v>1125</v>
      </c>
      <c r="AA1708" t="str">
        <f t="shared" si="485"/>
        <v>06/08/2016</v>
      </c>
    </row>
    <row r="1709" spans="1:27" x14ac:dyDescent="0.3">
      <c r="A1709" t="str">
        <f t="shared" si="475"/>
        <v>048314</v>
      </c>
      <c r="B1709" t="str">
        <f t="shared" si="487"/>
        <v>038430</v>
      </c>
      <c r="C1709" t="s">
        <v>3365</v>
      </c>
      <c r="D1709" t="s">
        <v>3839</v>
      </c>
      <c r="E1709" t="s">
        <v>3840</v>
      </c>
      <c r="F1709" t="s">
        <v>3841</v>
      </c>
      <c r="G1709" t="s">
        <v>3842</v>
      </c>
      <c r="H1709" t="str">
        <f t="shared" si="484"/>
        <v>048314</v>
      </c>
      <c r="I1709" t="s">
        <v>833</v>
      </c>
      <c r="J1709" t="str">
        <f>"2015-07-01 00:00:00.0"</f>
        <v>2015-07-01 00:00:00.0</v>
      </c>
      <c r="K1709" t="s">
        <v>834</v>
      </c>
      <c r="L1709" t="s">
        <v>0</v>
      </c>
      <c r="M1709" t="str">
        <f t="shared" si="483"/>
        <v>048314</v>
      </c>
      <c r="N1709">
        <v>1</v>
      </c>
      <c r="O1709">
        <v>1</v>
      </c>
      <c r="P1709" t="str">
        <f>"04"</f>
        <v>04</v>
      </c>
      <c r="Q1709" t="str">
        <f>"10"</f>
        <v>10</v>
      </c>
      <c r="R1709" t="str">
        <f>"2"</f>
        <v>2</v>
      </c>
      <c r="S1709" t="s">
        <v>836</v>
      </c>
      <c r="T1709" t="s">
        <v>836</v>
      </c>
      <c r="U1709" t="str">
        <f t="shared" si="486"/>
        <v>2500-12-31 00:00:00.0</v>
      </c>
      <c r="V1709" t="s">
        <v>837</v>
      </c>
      <c r="W1709" t="str">
        <f t="shared" ref="W1709:W1717" si="489">"048314-038430-**-**"</f>
        <v>048314-038430-**-**</v>
      </c>
      <c r="X1709" t="s">
        <v>838</v>
      </c>
      <c r="Y1709">
        <v>1206.25</v>
      </c>
      <c r="Z1709">
        <v>1206.25</v>
      </c>
      <c r="AA1709" t="str">
        <f t="shared" si="485"/>
        <v>06/08/2016</v>
      </c>
    </row>
    <row r="1710" spans="1:27" x14ac:dyDescent="0.3">
      <c r="A1710" t="str">
        <f t="shared" si="475"/>
        <v>048314</v>
      </c>
      <c r="B1710" t="str">
        <f t="shared" si="487"/>
        <v>038430</v>
      </c>
      <c r="C1710" t="s">
        <v>1021</v>
      </c>
      <c r="D1710" t="s">
        <v>3839</v>
      </c>
      <c r="E1710" t="s">
        <v>3840</v>
      </c>
      <c r="F1710" t="s">
        <v>3841</v>
      </c>
      <c r="G1710" t="s">
        <v>3842</v>
      </c>
      <c r="H1710" t="str">
        <f t="shared" si="484"/>
        <v>048314</v>
      </c>
      <c r="I1710" t="s">
        <v>833</v>
      </c>
      <c r="J1710" t="str">
        <f>"2015-07-01 00:00:00.0"</f>
        <v>2015-07-01 00:00:00.0</v>
      </c>
      <c r="K1710" t="s">
        <v>834</v>
      </c>
      <c r="L1710" t="s">
        <v>0</v>
      </c>
      <c r="M1710" t="str">
        <f t="shared" si="483"/>
        <v>048314</v>
      </c>
      <c r="N1710">
        <v>1</v>
      </c>
      <c r="O1710">
        <v>1</v>
      </c>
      <c r="P1710" t="str">
        <f>"03"</f>
        <v>03</v>
      </c>
      <c r="Q1710" t="s">
        <v>835</v>
      </c>
      <c r="S1710" t="s">
        <v>836</v>
      </c>
      <c r="T1710" t="s">
        <v>836</v>
      </c>
      <c r="U1710" t="str">
        <f t="shared" si="486"/>
        <v>2500-12-31 00:00:00.0</v>
      </c>
      <c r="V1710" t="s">
        <v>837</v>
      </c>
      <c r="W1710" t="str">
        <f t="shared" si="489"/>
        <v>048314-038430-**-**</v>
      </c>
      <c r="X1710" t="s">
        <v>838</v>
      </c>
      <c r="Y1710">
        <v>1206.25</v>
      </c>
      <c r="Z1710">
        <v>1206.25</v>
      </c>
      <c r="AA1710" t="str">
        <f t="shared" si="485"/>
        <v>06/08/2016</v>
      </c>
    </row>
    <row r="1711" spans="1:27" x14ac:dyDescent="0.3">
      <c r="A1711" t="str">
        <f t="shared" si="475"/>
        <v>048314</v>
      </c>
      <c r="B1711" t="str">
        <f t="shared" si="487"/>
        <v>038430</v>
      </c>
      <c r="C1711" t="s">
        <v>3459</v>
      </c>
      <c r="D1711" t="s">
        <v>3839</v>
      </c>
      <c r="E1711" t="s">
        <v>3840</v>
      </c>
      <c r="F1711" t="s">
        <v>3841</v>
      </c>
      <c r="G1711" t="s">
        <v>3842</v>
      </c>
      <c r="H1711" t="str">
        <f t="shared" si="484"/>
        <v>048314</v>
      </c>
      <c r="I1711" t="s">
        <v>833</v>
      </c>
      <c r="J1711" t="str">
        <f>"2015-07-01 00:00:00.0"</f>
        <v>2015-07-01 00:00:00.0</v>
      </c>
      <c r="K1711" t="s">
        <v>834</v>
      </c>
      <c r="L1711" t="s">
        <v>0</v>
      </c>
      <c r="M1711" t="str">
        <f t="shared" si="483"/>
        <v>048314</v>
      </c>
      <c r="N1711">
        <v>1</v>
      </c>
      <c r="O1711">
        <v>1</v>
      </c>
      <c r="P1711" t="str">
        <f>"04"</f>
        <v>04</v>
      </c>
      <c r="Q1711" t="s">
        <v>835</v>
      </c>
      <c r="S1711" t="s">
        <v>836</v>
      </c>
      <c r="T1711" t="s">
        <v>836</v>
      </c>
      <c r="U1711" t="str">
        <f t="shared" si="486"/>
        <v>2500-12-31 00:00:00.0</v>
      </c>
      <c r="V1711" t="s">
        <v>837</v>
      </c>
      <c r="W1711" t="str">
        <f t="shared" si="489"/>
        <v>048314-038430-**-**</v>
      </c>
      <c r="X1711" t="s">
        <v>838</v>
      </c>
      <c r="Y1711">
        <v>1206.25</v>
      </c>
      <c r="Z1711">
        <v>1206.25</v>
      </c>
      <c r="AA1711" t="str">
        <f t="shared" si="485"/>
        <v>06/08/2016</v>
      </c>
    </row>
    <row r="1712" spans="1:27" x14ac:dyDescent="0.3">
      <c r="A1712" t="str">
        <f t="shared" si="475"/>
        <v>048314</v>
      </c>
      <c r="B1712" t="str">
        <f t="shared" si="487"/>
        <v>038430</v>
      </c>
      <c r="C1712" t="s">
        <v>2471</v>
      </c>
      <c r="D1712" t="s">
        <v>3839</v>
      </c>
      <c r="E1712" t="s">
        <v>3840</v>
      </c>
      <c r="F1712" t="s">
        <v>3841</v>
      </c>
      <c r="G1712" t="s">
        <v>3842</v>
      </c>
      <c r="H1712" t="str">
        <f t="shared" si="484"/>
        <v>048314</v>
      </c>
      <c r="I1712" t="s">
        <v>833</v>
      </c>
      <c r="J1712" t="str">
        <f>"2015-08-01 00:00:00.0"</f>
        <v>2015-08-01 00:00:00.0</v>
      </c>
      <c r="K1712" t="s">
        <v>834</v>
      </c>
      <c r="L1712" t="s">
        <v>0</v>
      </c>
      <c r="M1712" t="str">
        <f t="shared" si="483"/>
        <v>048314</v>
      </c>
      <c r="N1712">
        <v>1</v>
      </c>
      <c r="O1712">
        <v>1</v>
      </c>
      <c r="P1712" t="s">
        <v>764</v>
      </c>
      <c r="Q1712" t="s">
        <v>835</v>
      </c>
      <c r="S1712" t="s">
        <v>836</v>
      </c>
      <c r="T1712" t="s">
        <v>836</v>
      </c>
      <c r="U1712" t="str">
        <f t="shared" si="486"/>
        <v>2500-12-31 00:00:00.0</v>
      </c>
      <c r="V1712" t="s">
        <v>837</v>
      </c>
      <c r="W1712" t="str">
        <f t="shared" si="489"/>
        <v>048314-038430-**-**</v>
      </c>
      <c r="X1712" t="s">
        <v>838</v>
      </c>
      <c r="Y1712">
        <v>1206.25</v>
      </c>
      <c r="Z1712">
        <v>1206.25</v>
      </c>
      <c r="AA1712" t="str">
        <f t="shared" si="485"/>
        <v>06/08/2016</v>
      </c>
    </row>
    <row r="1713" spans="1:27" x14ac:dyDescent="0.3">
      <c r="A1713" t="str">
        <f t="shared" si="475"/>
        <v>048314</v>
      </c>
      <c r="B1713" t="str">
        <f t="shared" si="487"/>
        <v>038430</v>
      </c>
      <c r="C1713" t="s">
        <v>3227</v>
      </c>
      <c r="D1713" t="s">
        <v>3839</v>
      </c>
      <c r="E1713" t="s">
        <v>3840</v>
      </c>
      <c r="F1713" t="s">
        <v>3841</v>
      </c>
      <c r="G1713" t="s">
        <v>3842</v>
      </c>
      <c r="H1713" t="str">
        <f t="shared" si="484"/>
        <v>048314</v>
      </c>
      <c r="I1713" t="s">
        <v>833</v>
      </c>
      <c r="J1713" t="str">
        <f>"2015-07-01 00:00:00.0"</f>
        <v>2015-07-01 00:00:00.0</v>
      </c>
      <c r="K1713" t="s">
        <v>834</v>
      </c>
      <c r="L1713" t="s">
        <v>0</v>
      </c>
      <c r="M1713" t="str">
        <f t="shared" si="483"/>
        <v>048314</v>
      </c>
      <c r="N1713">
        <v>1</v>
      </c>
      <c r="O1713">
        <v>1</v>
      </c>
      <c r="P1713" t="str">
        <f>"02"</f>
        <v>02</v>
      </c>
      <c r="Q1713" t="s">
        <v>835</v>
      </c>
      <c r="S1713" t="s">
        <v>836</v>
      </c>
      <c r="T1713" t="s">
        <v>836</v>
      </c>
      <c r="U1713" t="str">
        <f t="shared" si="486"/>
        <v>2500-12-31 00:00:00.0</v>
      </c>
      <c r="V1713" t="s">
        <v>837</v>
      </c>
      <c r="W1713" t="str">
        <f t="shared" si="489"/>
        <v>048314-038430-**-**</v>
      </c>
      <c r="X1713" t="s">
        <v>838</v>
      </c>
      <c r="Y1713">
        <v>1206.25</v>
      </c>
      <c r="Z1713">
        <v>1206.25</v>
      </c>
      <c r="AA1713" t="str">
        <f t="shared" si="485"/>
        <v>06/08/2016</v>
      </c>
    </row>
    <row r="1714" spans="1:27" x14ac:dyDescent="0.3">
      <c r="A1714" t="str">
        <f t="shared" si="475"/>
        <v>048314</v>
      </c>
      <c r="B1714" t="str">
        <f t="shared" si="487"/>
        <v>038430</v>
      </c>
      <c r="C1714" t="s">
        <v>3339</v>
      </c>
      <c r="D1714" t="s">
        <v>3839</v>
      </c>
      <c r="E1714" t="s">
        <v>3840</v>
      </c>
      <c r="F1714" t="s">
        <v>3841</v>
      </c>
      <c r="G1714" t="s">
        <v>3842</v>
      </c>
      <c r="H1714" t="str">
        <f t="shared" si="484"/>
        <v>048314</v>
      </c>
      <c r="I1714" t="s">
        <v>833</v>
      </c>
      <c r="J1714" t="str">
        <f>"2015-07-01 00:00:00.0"</f>
        <v>2015-07-01 00:00:00.0</v>
      </c>
      <c r="K1714" t="s">
        <v>834</v>
      </c>
      <c r="L1714" t="s">
        <v>0</v>
      </c>
      <c r="M1714" t="str">
        <f t="shared" si="483"/>
        <v>048314</v>
      </c>
      <c r="N1714">
        <v>1</v>
      </c>
      <c r="O1714">
        <v>1</v>
      </c>
      <c r="P1714" t="str">
        <f>"04"</f>
        <v>04</v>
      </c>
      <c r="Q1714" t="s">
        <v>835</v>
      </c>
      <c r="S1714" t="s">
        <v>836</v>
      </c>
      <c r="T1714" t="s">
        <v>836</v>
      </c>
      <c r="U1714" t="str">
        <f t="shared" si="486"/>
        <v>2500-12-31 00:00:00.0</v>
      </c>
      <c r="V1714" t="s">
        <v>837</v>
      </c>
      <c r="W1714" t="str">
        <f t="shared" si="489"/>
        <v>048314-038430-**-**</v>
      </c>
      <c r="X1714" t="s">
        <v>838</v>
      </c>
      <c r="Y1714">
        <v>1206.25</v>
      </c>
      <c r="Z1714">
        <v>1206.25</v>
      </c>
      <c r="AA1714" t="str">
        <f t="shared" si="485"/>
        <v>06/08/2016</v>
      </c>
    </row>
    <row r="1715" spans="1:27" x14ac:dyDescent="0.3">
      <c r="A1715" t="str">
        <f t="shared" si="475"/>
        <v>048314</v>
      </c>
      <c r="B1715" t="str">
        <f t="shared" si="487"/>
        <v>038430</v>
      </c>
      <c r="C1715" t="s">
        <v>937</v>
      </c>
      <c r="D1715" t="s">
        <v>3839</v>
      </c>
      <c r="E1715" t="s">
        <v>3840</v>
      </c>
      <c r="F1715" t="s">
        <v>3841</v>
      </c>
      <c r="G1715" t="s">
        <v>3842</v>
      </c>
      <c r="H1715" t="str">
        <f t="shared" si="484"/>
        <v>048314</v>
      </c>
      <c r="I1715" t="s">
        <v>833</v>
      </c>
      <c r="J1715" t="str">
        <f>"2015-07-01 00:00:00.0"</f>
        <v>2015-07-01 00:00:00.0</v>
      </c>
      <c r="K1715" t="s">
        <v>834</v>
      </c>
      <c r="L1715" t="s">
        <v>0</v>
      </c>
      <c r="M1715" t="str">
        <f t="shared" si="483"/>
        <v>048314</v>
      </c>
      <c r="N1715">
        <v>1</v>
      </c>
      <c r="O1715">
        <v>1</v>
      </c>
      <c r="P1715" t="str">
        <f>"03"</f>
        <v>03</v>
      </c>
      <c r="Q1715" t="s">
        <v>835</v>
      </c>
      <c r="S1715" t="s">
        <v>836</v>
      </c>
      <c r="T1715" t="s">
        <v>836</v>
      </c>
      <c r="U1715" t="str">
        <f t="shared" si="486"/>
        <v>2500-12-31 00:00:00.0</v>
      </c>
      <c r="V1715" t="s">
        <v>837</v>
      </c>
      <c r="W1715" t="str">
        <f t="shared" si="489"/>
        <v>048314-038430-**-**</v>
      </c>
      <c r="X1715" t="s">
        <v>838</v>
      </c>
      <c r="Y1715">
        <v>1206.25</v>
      </c>
      <c r="Z1715">
        <v>1206.25</v>
      </c>
      <c r="AA1715" t="str">
        <f t="shared" si="485"/>
        <v>06/08/2016</v>
      </c>
    </row>
    <row r="1716" spans="1:27" x14ac:dyDescent="0.3">
      <c r="A1716" t="str">
        <f t="shared" si="475"/>
        <v>048314</v>
      </c>
      <c r="B1716" t="str">
        <f t="shared" si="487"/>
        <v>038430</v>
      </c>
      <c r="C1716" t="s">
        <v>1310</v>
      </c>
      <c r="D1716" t="s">
        <v>3839</v>
      </c>
      <c r="E1716" t="s">
        <v>3840</v>
      </c>
      <c r="F1716" t="s">
        <v>3841</v>
      </c>
      <c r="G1716" t="s">
        <v>3842</v>
      </c>
      <c r="H1716" t="str">
        <f t="shared" si="484"/>
        <v>048314</v>
      </c>
      <c r="I1716" t="s">
        <v>833</v>
      </c>
      <c r="J1716" t="str">
        <f>"2015-08-01 00:00:00.0"</f>
        <v>2015-08-01 00:00:00.0</v>
      </c>
      <c r="K1716" t="s">
        <v>834</v>
      </c>
      <c r="L1716" t="s">
        <v>0</v>
      </c>
      <c r="M1716" t="str">
        <f t="shared" si="483"/>
        <v>048314</v>
      </c>
      <c r="N1716">
        <v>1</v>
      </c>
      <c r="O1716">
        <v>1</v>
      </c>
      <c r="P1716" t="s">
        <v>764</v>
      </c>
      <c r="Q1716" t="s">
        <v>835</v>
      </c>
      <c r="S1716" t="s">
        <v>836</v>
      </c>
      <c r="T1716" t="s">
        <v>836</v>
      </c>
      <c r="U1716" t="str">
        <f t="shared" si="486"/>
        <v>2500-12-31 00:00:00.0</v>
      </c>
      <c r="V1716" t="s">
        <v>837</v>
      </c>
      <c r="W1716" t="str">
        <f t="shared" si="489"/>
        <v>048314-038430-**-**</v>
      </c>
      <c r="X1716" t="s">
        <v>838</v>
      </c>
      <c r="Y1716">
        <v>1206.25</v>
      </c>
      <c r="Z1716">
        <v>1206.25</v>
      </c>
      <c r="AA1716" t="str">
        <f t="shared" si="485"/>
        <v>06/08/2016</v>
      </c>
    </row>
    <row r="1717" spans="1:27" x14ac:dyDescent="0.3">
      <c r="A1717" t="str">
        <f t="shared" si="475"/>
        <v>048314</v>
      </c>
      <c r="B1717" t="str">
        <f t="shared" si="487"/>
        <v>038430</v>
      </c>
      <c r="C1717" t="s">
        <v>3386</v>
      </c>
      <c r="D1717" t="s">
        <v>3839</v>
      </c>
      <c r="E1717" t="s">
        <v>3840</v>
      </c>
      <c r="F1717" t="s">
        <v>3841</v>
      </c>
      <c r="G1717" t="s">
        <v>3842</v>
      </c>
      <c r="H1717" t="str">
        <f t="shared" si="484"/>
        <v>048314</v>
      </c>
      <c r="I1717" t="s">
        <v>833</v>
      </c>
      <c r="J1717" t="str">
        <f>"2015-07-01 00:00:00.0"</f>
        <v>2015-07-01 00:00:00.0</v>
      </c>
      <c r="K1717" t="s">
        <v>834</v>
      </c>
      <c r="L1717" t="s">
        <v>0</v>
      </c>
      <c r="M1717" t="str">
        <f>"049882"</f>
        <v>049882</v>
      </c>
      <c r="N1717">
        <v>1</v>
      </c>
      <c r="O1717">
        <v>1</v>
      </c>
      <c r="P1717" t="str">
        <f>"04"</f>
        <v>04</v>
      </c>
      <c r="Q1717" t="s">
        <v>835</v>
      </c>
      <c r="S1717" t="s">
        <v>836</v>
      </c>
      <c r="T1717" t="s">
        <v>836</v>
      </c>
      <c r="U1717" t="str">
        <f t="shared" si="486"/>
        <v>2500-12-31 00:00:00.0</v>
      </c>
      <c r="V1717" t="s">
        <v>837</v>
      </c>
      <c r="W1717" t="str">
        <f t="shared" si="489"/>
        <v>048314-038430-**-**</v>
      </c>
      <c r="X1717" t="s">
        <v>838</v>
      </c>
      <c r="Y1717">
        <v>1206.25</v>
      </c>
      <c r="Z1717">
        <v>1206.25</v>
      </c>
      <c r="AA1717" t="str">
        <f t="shared" si="485"/>
        <v>06/08/2016</v>
      </c>
    </row>
    <row r="1718" spans="1:27" x14ac:dyDescent="0.3">
      <c r="A1718" t="str">
        <f t="shared" si="475"/>
        <v>048314</v>
      </c>
      <c r="B1718" t="str">
        <f t="shared" si="487"/>
        <v>038430</v>
      </c>
      <c r="C1718" t="s">
        <v>2868</v>
      </c>
      <c r="D1718" t="s">
        <v>3839</v>
      </c>
      <c r="E1718" t="s">
        <v>3840</v>
      </c>
      <c r="F1718" t="s">
        <v>3841</v>
      </c>
      <c r="G1718" t="s">
        <v>3842</v>
      </c>
      <c r="H1718" t="str">
        <f t="shared" si="484"/>
        <v>048314</v>
      </c>
      <c r="I1718" t="s">
        <v>833</v>
      </c>
      <c r="J1718" t="str">
        <f>"2015-07-01 00:00:00.0"</f>
        <v>2015-07-01 00:00:00.0</v>
      </c>
      <c r="K1718" t="s">
        <v>834</v>
      </c>
      <c r="L1718" t="s">
        <v>0</v>
      </c>
      <c r="M1718" t="str">
        <f t="shared" ref="M1718:M1781" si="490">"048314"</f>
        <v>048314</v>
      </c>
      <c r="N1718">
        <v>1</v>
      </c>
      <c r="O1718">
        <v>1</v>
      </c>
      <c r="P1718" t="str">
        <f>"05"</f>
        <v>05</v>
      </c>
      <c r="Q1718" t="s">
        <v>835</v>
      </c>
      <c r="S1718" t="s">
        <v>836</v>
      </c>
      <c r="T1718" t="s">
        <v>836</v>
      </c>
      <c r="U1718" t="str">
        <f t="shared" si="486"/>
        <v>2500-12-31 00:00:00.0</v>
      </c>
      <c r="V1718" t="s">
        <v>837</v>
      </c>
      <c r="W1718" t="str">
        <f>"048314-070417-**-**"</f>
        <v>048314-070417-**-**</v>
      </c>
      <c r="X1718" t="s">
        <v>838</v>
      </c>
      <c r="Y1718">
        <v>1125</v>
      </c>
      <c r="Z1718">
        <v>1125</v>
      </c>
      <c r="AA1718" t="str">
        <f t="shared" si="485"/>
        <v>06/08/2016</v>
      </c>
    </row>
    <row r="1719" spans="1:27" x14ac:dyDescent="0.3">
      <c r="A1719" t="str">
        <f t="shared" si="475"/>
        <v>048314</v>
      </c>
      <c r="B1719" t="str">
        <f t="shared" si="487"/>
        <v>038430</v>
      </c>
      <c r="C1719" t="s">
        <v>3153</v>
      </c>
      <c r="D1719" t="s">
        <v>3839</v>
      </c>
      <c r="E1719" t="s">
        <v>3840</v>
      </c>
      <c r="F1719" t="s">
        <v>3841</v>
      </c>
      <c r="G1719" t="s">
        <v>3842</v>
      </c>
      <c r="H1719" t="str">
        <f t="shared" si="484"/>
        <v>048314</v>
      </c>
      <c r="I1719" t="s">
        <v>833</v>
      </c>
      <c r="J1719" t="str">
        <f>"2015-07-01 00:00:00.0"</f>
        <v>2015-07-01 00:00:00.0</v>
      </c>
      <c r="K1719" t="s">
        <v>834</v>
      </c>
      <c r="L1719" t="s">
        <v>0</v>
      </c>
      <c r="M1719" t="str">
        <f t="shared" si="490"/>
        <v>048314</v>
      </c>
      <c r="N1719">
        <v>1</v>
      </c>
      <c r="O1719">
        <v>1</v>
      </c>
      <c r="P1719" t="str">
        <f>"02"</f>
        <v>02</v>
      </c>
      <c r="Q1719" t="s">
        <v>835</v>
      </c>
      <c r="S1719" t="s">
        <v>836</v>
      </c>
      <c r="T1719" t="s">
        <v>836</v>
      </c>
      <c r="U1719" t="str">
        <f t="shared" si="486"/>
        <v>2500-12-31 00:00:00.0</v>
      </c>
      <c r="V1719" t="s">
        <v>837</v>
      </c>
      <c r="W1719" t="str">
        <f>"048314-038430-**-**"</f>
        <v>048314-038430-**-**</v>
      </c>
      <c r="X1719" t="s">
        <v>838</v>
      </c>
      <c r="Y1719">
        <v>1206.25</v>
      </c>
      <c r="Z1719">
        <v>1206.25</v>
      </c>
      <c r="AA1719" t="str">
        <f t="shared" si="485"/>
        <v>06/08/2016</v>
      </c>
    </row>
    <row r="1720" spans="1:27" x14ac:dyDescent="0.3">
      <c r="A1720" t="str">
        <f t="shared" si="475"/>
        <v>048314</v>
      </c>
      <c r="B1720" t="str">
        <f t="shared" si="487"/>
        <v>038430</v>
      </c>
      <c r="C1720" t="s">
        <v>3265</v>
      </c>
      <c r="D1720" t="s">
        <v>3839</v>
      </c>
      <c r="E1720" t="s">
        <v>3840</v>
      </c>
      <c r="F1720" t="s">
        <v>3841</v>
      </c>
      <c r="G1720" t="s">
        <v>3842</v>
      </c>
      <c r="H1720" t="str">
        <f t="shared" si="484"/>
        <v>048314</v>
      </c>
      <c r="I1720" t="s">
        <v>833</v>
      </c>
      <c r="J1720" t="str">
        <f>"2015-07-01 00:00:00.0"</f>
        <v>2015-07-01 00:00:00.0</v>
      </c>
      <c r="K1720" t="s">
        <v>834</v>
      </c>
      <c r="L1720" t="s">
        <v>0</v>
      </c>
      <c r="M1720" t="str">
        <f t="shared" si="490"/>
        <v>048314</v>
      </c>
      <c r="N1720">
        <v>1</v>
      </c>
      <c r="O1720">
        <v>1</v>
      </c>
      <c r="P1720" t="str">
        <f>"04"</f>
        <v>04</v>
      </c>
      <c r="Q1720" t="s">
        <v>835</v>
      </c>
      <c r="S1720" t="s">
        <v>836</v>
      </c>
      <c r="T1720" t="s">
        <v>836</v>
      </c>
      <c r="U1720" t="str">
        <f t="shared" si="486"/>
        <v>2500-12-31 00:00:00.0</v>
      </c>
      <c r="V1720" t="s">
        <v>837</v>
      </c>
      <c r="W1720" t="str">
        <f>"048314-038430-**-**"</f>
        <v>048314-038430-**-**</v>
      </c>
      <c r="X1720" t="s">
        <v>838</v>
      </c>
      <c r="Y1720">
        <v>1206.25</v>
      </c>
      <c r="Z1720">
        <v>1206.25</v>
      </c>
      <c r="AA1720" t="str">
        <f t="shared" si="485"/>
        <v>06/08/2016</v>
      </c>
    </row>
    <row r="1721" spans="1:27" x14ac:dyDescent="0.3">
      <c r="A1721" t="str">
        <f t="shared" si="475"/>
        <v>048314</v>
      </c>
      <c r="B1721" t="str">
        <f t="shared" si="487"/>
        <v>038430</v>
      </c>
      <c r="C1721" t="s">
        <v>3215</v>
      </c>
      <c r="D1721" t="s">
        <v>3839</v>
      </c>
      <c r="E1721" t="s">
        <v>3840</v>
      </c>
      <c r="F1721" t="s">
        <v>3841</v>
      </c>
      <c r="G1721" t="s">
        <v>3842</v>
      </c>
      <c r="H1721" t="str">
        <f t="shared" si="484"/>
        <v>048314</v>
      </c>
      <c r="I1721" t="s">
        <v>833</v>
      </c>
      <c r="J1721" t="str">
        <f>"2015-08-31 00:00:00.0"</f>
        <v>2015-08-31 00:00:00.0</v>
      </c>
      <c r="K1721" t="s">
        <v>834</v>
      </c>
      <c r="L1721" t="s">
        <v>0</v>
      </c>
      <c r="M1721" t="str">
        <f t="shared" si="490"/>
        <v>048314</v>
      </c>
      <c r="N1721">
        <v>1</v>
      </c>
      <c r="O1721">
        <v>1</v>
      </c>
      <c r="P1721" t="str">
        <f>"01"</f>
        <v>01</v>
      </c>
      <c r="Q1721" t="s">
        <v>835</v>
      </c>
      <c r="S1721" t="s">
        <v>836</v>
      </c>
      <c r="T1721" t="s">
        <v>836</v>
      </c>
      <c r="U1721" t="str">
        <f t="shared" si="486"/>
        <v>2500-12-31 00:00:00.0</v>
      </c>
      <c r="V1721" t="s">
        <v>837</v>
      </c>
      <c r="W1721" t="str">
        <f>"048314-038430-**-**"</f>
        <v>048314-038430-**-**</v>
      </c>
      <c r="X1721" t="s">
        <v>838</v>
      </c>
      <c r="Y1721">
        <v>1206.25</v>
      </c>
      <c r="Z1721">
        <v>1206.25</v>
      </c>
      <c r="AA1721" t="str">
        <f t="shared" si="485"/>
        <v>06/08/2016</v>
      </c>
    </row>
    <row r="1722" spans="1:27" x14ac:dyDescent="0.3">
      <c r="A1722" t="str">
        <f t="shared" si="475"/>
        <v>048314</v>
      </c>
      <c r="B1722" t="str">
        <f t="shared" si="487"/>
        <v>038430</v>
      </c>
      <c r="C1722" t="s">
        <v>3552</v>
      </c>
      <c r="D1722" t="s">
        <v>3839</v>
      </c>
      <c r="E1722" t="s">
        <v>3840</v>
      </c>
      <c r="F1722" t="s">
        <v>3841</v>
      </c>
      <c r="G1722" t="s">
        <v>3842</v>
      </c>
      <c r="H1722" t="str">
        <f t="shared" si="484"/>
        <v>048314</v>
      </c>
      <c r="I1722" t="s">
        <v>833</v>
      </c>
      <c r="J1722" t="str">
        <f>"2015-08-31 00:00:00.0"</f>
        <v>2015-08-31 00:00:00.0</v>
      </c>
      <c r="K1722" t="s">
        <v>834</v>
      </c>
      <c r="L1722" t="s">
        <v>0</v>
      </c>
      <c r="M1722" t="str">
        <f t="shared" si="490"/>
        <v>048314</v>
      </c>
      <c r="N1722">
        <v>1</v>
      </c>
      <c r="O1722">
        <v>1</v>
      </c>
      <c r="P1722" t="str">
        <f>"03"</f>
        <v>03</v>
      </c>
      <c r="Q1722" t="s">
        <v>835</v>
      </c>
      <c r="S1722" t="s">
        <v>836</v>
      </c>
      <c r="T1722" t="s">
        <v>836</v>
      </c>
      <c r="U1722" t="str">
        <f t="shared" si="486"/>
        <v>2500-12-31 00:00:00.0</v>
      </c>
      <c r="V1722" t="s">
        <v>837</v>
      </c>
      <c r="W1722" t="str">
        <f>"048314-038430-**-**"</f>
        <v>048314-038430-**-**</v>
      </c>
      <c r="X1722" t="s">
        <v>838</v>
      </c>
      <c r="Y1722">
        <v>1206.25</v>
      </c>
      <c r="Z1722">
        <v>1206.25</v>
      </c>
      <c r="AA1722" t="str">
        <f t="shared" si="485"/>
        <v>06/08/2016</v>
      </c>
    </row>
    <row r="1723" spans="1:27" x14ac:dyDescent="0.3">
      <c r="A1723" t="str">
        <f t="shared" si="475"/>
        <v>048314</v>
      </c>
      <c r="B1723" t="str">
        <f t="shared" si="487"/>
        <v>038430</v>
      </c>
      <c r="C1723" t="s">
        <v>3273</v>
      </c>
      <c r="D1723" t="s">
        <v>3839</v>
      </c>
      <c r="E1723" t="s">
        <v>3840</v>
      </c>
      <c r="F1723" t="s">
        <v>3841</v>
      </c>
      <c r="G1723" t="s">
        <v>3842</v>
      </c>
      <c r="H1723" t="str">
        <f t="shared" si="484"/>
        <v>048314</v>
      </c>
      <c r="I1723" t="s">
        <v>833</v>
      </c>
      <c r="J1723" t="str">
        <f>"2015-07-01 00:00:00.0"</f>
        <v>2015-07-01 00:00:00.0</v>
      </c>
      <c r="K1723" t="s">
        <v>834</v>
      </c>
      <c r="L1723" t="s">
        <v>0</v>
      </c>
      <c r="M1723" t="str">
        <f t="shared" si="490"/>
        <v>048314</v>
      </c>
      <c r="N1723">
        <v>1</v>
      </c>
      <c r="O1723">
        <v>1</v>
      </c>
      <c r="P1723" t="str">
        <f>"05"</f>
        <v>05</v>
      </c>
      <c r="Q1723" t="s">
        <v>835</v>
      </c>
      <c r="S1723" t="s">
        <v>836</v>
      </c>
      <c r="T1723" t="s">
        <v>836</v>
      </c>
      <c r="U1723" t="str">
        <f t="shared" si="486"/>
        <v>2500-12-31 00:00:00.0</v>
      </c>
      <c r="V1723" t="s">
        <v>837</v>
      </c>
      <c r="W1723" t="str">
        <f>"048314-070417-**-**"</f>
        <v>048314-070417-**-**</v>
      </c>
      <c r="X1723" t="s">
        <v>838</v>
      </c>
      <c r="Y1723">
        <v>1125</v>
      </c>
      <c r="Z1723">
        <v>1125</v>
      </c>
      <c r="AA1723" t="str">
        <f t="shared" si="485"/>
        <v>06/08/2016</v>
      </c>
    </row>
    <row r="1724" spans="1:27" x14ac:dyDescent="0.3">
      <c r="A1724" t="str">
        <f t="shared" si="475"/>
        <v>048314</v>
      </c>
      <c r="B1724" t="str">
        <f t="shared" si="487"/>
        <v>038430</v>
      </c>
      <c r="C1724" t="s">
        <v>863</v>
      </c>
      <c r="D1724" t="s">
        <v>3839</v>
      </c>
      <c r="E1724" t="s">
        <v>3840</v>
      </c>
      <c r="F1724" t="s">
        <v>3841</v>
      </c>
      <c r="G1724" t="s">
        <v>3842</v>
      </c>
      <c r="H1724" t="str">
        <f t="shared" si="484"/>
        <v>048314</v>
      </c>
      <c r="I1724" t="s">
        <v>833</v>
      </c>
      <c r="J1724" t="str">
        <f>"2015-07-01 00:00:00.0"</f>
        <v>2015-07-01 00:00:00.0</v>
      </c>
      <c r="K1724" t="s">
        <v>834</v>
      </c>
      <c r="L1724" t="s">
        <v>0</v>
      </c>
      <c r="M1724" t="str">
        <f t="shared" si="490"/>
        <v>048314</v>
      </c>
      <c r="N1724">
        <v>1</v>
      </c>
      <c r="O1724">
        <v>1</v>
      </c>
      <c r="P1724" t="str">
        <f>"01"</f>
        <v>01</v>
      </c>
      <c r="Q1724" t="s">
        <v>835</v>
      </c>
      <c r="S1724" t="s">
        <v>836</v>
      </c>
      <c r="T1724" t="s">
        <v>836</v>
      </c>
      <c r="U1724" t="str">
        <f t="shared" si="486"/>
        <v>2500-12-31 00:00:00.0</v>
      </c>
      <c r="V1724" t="s">
        <v>837</v>
      </c>
      <c r="W1724" t="str">
        <f t="shared" ref="W1724:W1730" si="491">"048314-038430-**-**"</f>
        <v>048314-038430-**-**</v>
      </c>
      <c r="X1724" t="s">
        <v>838</v>
      </c>
      <c r="Y1724">
        <v>1206.25</v>
      </c>
      <c r="Z1724">
        <v>1206.25</v>
      </c>
      <c r="AA1724" t="str">
        <f t="shared" si="485"/>
        <v>06/08/2016</v>
      </c>
    </row>
    <row r="1725" spans="1:27" x14ac:dyDescent="0.3">
      <c r="A1725" t="str">
        <f t="shared" si="475"/>
        <v>048314</v>
      </c>
      <c r="B1725" t="str">
        <f t="shared" si="487"/>
        <v>038430</v>
      </c>
      <c r="C1725" t="s">
        <v>1049</v>
      </c>
      <c r="D1725" t="s">
        <v>3839</v>
      </c>
      <c r="E1725" t="s">
        <v>3840</v>
      </c>
      <c r="F1725" t="s">
        <v>3841</v>
      </c>
      <c r="G1725" t="s">
        <v>3842</v>
      </c>
      <c r="H1725" t="str">
        <f t="shared" si="484"/>
        <v>048314</v>
      </c>
      <c r="I1725" t="s">
        <v>833</v>
      </c>
      <c r="J1725" t="str">
        <f>"2015-08-01 00:00:00.0"</f>
        <v>2015-08-01 00:00:00.0</v>
      </c>
      <c r="K1725" t="s">
        <v>834</v>
      </c>
      <c r="L1725" t="s">
        <v>0</v>
      </c>
      <c r="M1725" t="str">
        <f t="shared" si="490"/>
        <v>048314</v>
      </c>
      <c r="N1725">
        <v>1</v>
      </c>
      <c r="O1725">
        <v>1</v>
      </c>
      <c r="P1725" t="s">
        <v>764</v>
      </c>
      <c r="Q1725" t="s">
        <v>835</v>
      </c>
      <c r="S1725" t="s">
        <v>836</v>
      </c>
      <c r="T1725" t="s">
        <v>836</v>
      </c>
      <c r="U1725" t="str">
        <f t="shared" si="486"/>
        <v>2500-12-31 00:00:00.0</v>
      </c>
      <c r="V1725" t="s">
        <v>837</v>
      </c>
      <c r="W1725" t="str">
        <f t="shared" si="491"/>
        <v>048314-038430-**-**</v>
      </c>
      <c r="X1725" t="s">
        <v>838</v>
      </c>
      <c r="Y1725">
        <v>1206.25</v>
      </c>
      <c r="Z1725">
        <v>1206.25</v>
      </c>
      <c r="AA1725" t="str">
        <f t="shared" si="485"/>
        <v>06/08/2016</v>
      </c>
    </row>
    <row r="1726" spans="1:27" x14ac:dyDescent="0.3">
      <c r="A1726" t="str">
        <f t="shared" si="475"/>
        <v>048314</v>
      </c>
      <c r="B1726" t="str">
        <f t="shared" si="487"/>
        <v>038430</v>
      </c>
      <c r="C1726" t="s">
        <v>3177</v>
      </c>
      <c r="D1726" t="s">
        <v>3839</v>
      </c>
      <c r="E1726" t="s">
        <v>3840</v>
      </c>
      <c r="F1726" t="s">
        <v>3841</v>
      </c>
      <c r="G1726" t="s">
        <v>3842</v>
      </c>
      <c r="H1726" t="str">
        <f t="shared" si="484"/>
        <v>048314</v>
      </c>
      <c r="I1726" t="s">
        <v>833</v>
      </c>
      <c r="J1726" t="str">
        <f>"2015-07-01 00:00:00.0"</f>
        <v>2015-07-01 00:00:00.0</v>
      </c>
      <c r="K1726" t="s">
        <v>834</v>
      </c>
      <c r="L1726" t="s">
        <v>0</v>
      </c>
      <c r="M1726" t="str">
        <f t="shared" si="490"/>
        <v>048314</v>
      </c>
      <c r="N1726">
        <v>1</v>
      </c>
      <c r="O1726">
        <v>1</v>
      </c>
      <c r="P1726" t="str">
        <f>"04"</f>
        <v>04</v>
      </c>
      <c r="Q1726" t="s">
        <v>835</v>
      </c>
      <c r="S1726" t="s">
        <v>836</v>
      </c>
      <c r="T1726" t="s">
        <v>836</v>
      </c>
      <c r="U1726" t="str">
        <f t="shared" si="486"/>
        <v>2500-12-31 00:00:00.0</v>
      </c>
      <c r="V1726" t="s">
        <v>837</v>
      </c>
      <c r="W1726" t="str">
        <f t="shared" si="491"/>
        <v>048314-038430-**-**</v>
      </c>
      <c r="X1726" t="s">
        <v>838</v>
      </c>
      <c r="Y1726">
        <v>1206.25</v>
      </c>
      <c r="Z1726">
        <v>1206.25</v>
      </c>
      <c r="AA1726" t="str">
        <f t="shared" si="485"/>
        <v>06/08/2016</v>
      </c>
    </row>
    <row r="1727" spans="1:27" x14ac:dyDescent="0.3">
      <c r="A1727" t="str">
        <f t="shared" si="475"/>
        <v>048314</v>
      </c>
      <c r="B1727" t="str">
        <f t="shared" si="487"/>
        <v>038430</v>
      </c>
      <c r="C1727" t="s">
        <v>3672</v>
      </c>
      <c r="D1727" t="s">
        <v>3839</v>
      </c>
      <c r="E1727" t="s">
        <v>3840</v>
      </c>
      <c r="F1727" t="s">
        <v>3841</v>
      </c>
      <c r="G1727" t="s">
        <v>3842</v>
      </c>
      <c r="H1727" t="str">
        <f t="shared" si="484"/>
        <v>048314</v>
      </c>
      <c r="I1727" t="s">
        <v>833</v>
      </c>
      <c r="J1727" t="str">
        <f>"2015-07-01 00:00:00.0"</f>
        <v>2015-07-01 00:00:00.0</v>
      </c>
      <c r="K1727" t="s">
        <v>834</v>
      </c>
      <c r="L1727" t="s">
        <v>0</v>
      </c>
      <c r="M1727" t="str">
        <f t="shared" si="490"/>
        <v>048314</v>
      </c>
      <c r="N1727">
        <v>1</v>
      </c>
      <c r="O1727">
        <v>1</v>
      </c>
      <c r="P1727" t="str">
        <f>"03"</f>
        <v>03</v>
      </c>
      <c r="Q1727" t="s">
        <v>835</v>
      </c>
      <c r="S1727" t="s">
        <v>836</v>
      </c>
      <c r="T1727" t="s">
        <v>836</v>
      </c>
      <c r="U1727" t="str">
        <f t="shared" si="486"/>
        <v>2500-12-31 00:00:00.0</v>
      </c>
      <c r="V1727" t="s">
        <v>837</v>
      </c>
      <c r="W1727" t="str">
        <f t="shared" si="491"/>
        <v>048314-038430-**-**</v>
      </c>
      <c r="X1727" t="s">
        <v>838</v>
      </c>
      <c r="Y1727">
        <v>1206.25</v>
      </c>
      <c r="Z1727">
        <v>1206.25</v>
      </c>
      <c r="AA1727" t="str">
        <f t="shared" si="485"/>
        <v>06/08/2016</v>
      </c>
    </row>
    <row r="1728" spans="1:27" x14ac:dyDescent="0.3">
      <c r="A1728" t="str">
        <f t="shared" si="475"/>
        <v>048314</v>
      </c>
      <c r="B1728" t="str">
        <f t="shared" si="487"/>
        <v>038430</v>
      </c>
      <c r="C1728" t="s">
        <v>1256</v>
      </c>
      <c r="D1728" t="s">
        <v>3839</v>
      </c>
      <c r="E1728" t="s">
        <v>3840</v>
      </c>
      <c r="F1728" t="s">
        <v>3841</v>
      </c>
      <c r="G1728" t="s">
        <v>3842</v>
      </c>
      <c r="H1728" t="str">
        <f t="shared" si="484"/>
        <v>048314</v>
      </c>
      <c r="I1728" t="s">
        <v>833</v>
      </c>
      <c r="J1728" t="str">
        <f>"2015-08-01 00:00:00.0"</f>
        <v>2015-08-01 00:00:00.0</v>
      </c>
      <c r="K1728" t="s">
        <v>834</v>
      </c>
      <c r="L1728" t="s">
        <v>0</v>
      </c>
      <c r="M1728" t="str">
        <f t="shared" si="490"/>
        <v>048314</v>
      </c>
      <c r="N1728">
        <v>1</v>
      </c>
      <c r="O1728">
        <v>1</v>
      </c>
      <c r="P1728" t="s">
        <v>764</v>
      </c>
      <c r="Q1728" t="s">
        <v>835</v>
      </c>
      <c r="S1728" t="s">
        <v>836</v>
      </c>
      <c r="T1728" t="s">
        <v>836</v>
      </c>
      <c r="U1728" t="str">
        <f t="shared" si="486"/>
        <v>2500-12-31 00:00:00.0</v>
      </c>
      <c r="V1728" t="s">
        <v>837</v>
      </c>
      <c r="W1728" t="str">
        <f t="shared" si="491"/>
        <v>048314-038430-**-**</v>
      </c>
      <c r="X1728" t="s">
        <v>838</v>
      </c>
      <c r="Y1728">
        <v>1206.25</v>
      </c>
      <c r="Z1728">
        <v>1206.25</v>
      </c>
      <c r="AA1728" t="str">
        <f t="shared" si="485"/>
        <v>06/08/2016</v>
      </c>
    </row>
    <row r="1729" spans="1:27" x14ac:dyDescent="0.3">
      <c r="A1729" t="str">
        <f t="shared" si="475"/>
        <v>048314</v>
      </c>
      <c r="B1729" t="str">
        <f t="shared" si="487"/>
        <v>038430</v>
      </c>
      <c r="C1729" t="s">
        <v>2541</v>
      </c>
      <c r="D1729" t="s">
        <v>3839</v>
      </c>
      <c r="E1729" t="s">
        <v>3840</v>
      </c>
      <c r="F1729" t="s">
        <v>3841</v>
      </c>
      <c r="G1729" t="s">
        <v>3842</v>
      </c>
      <c r="H1729" t="str">
        <f t="shared" si="484"/>
        <v>048314</v>
      </c>
      <c r="I1729" t="s">
        <v>833</v>
      </c>
      <c r="J1729" t="str">
        <f>"2015-08-31 00:00:00.0"</f>
        <v>2015-08-31 00:00:00.0</v>
      </c>
      <c r="K1729" t="s">
        <v>834</v>
      </c>
      <c r="L1729" t="s">
        <v>0</v>
      </c>
      <c r="M1729" t="str">
        <f t="shared" si="490"/>
        <v>048314</v>
      </c>
      <c r="N1729">
        <v>0.33160600000000001</v>
      </c>
      <c r="O1729">
        <v>0.33160600000000001</v>
      </c>
      <c r="P1729" t="s">
        <v>764</v>
      </c>
      <c r="Q1729" t="s">
        <v>835</v>
      </c>
      <c r="S1729" t="s">
        <v>836</v>
      </c>
      <c r="T1729" t="s">
        <v>836</v>
      </c>
      <c r="U1729" t="str">
        <f>"2015-12-01 00:00:00.0"</f>
        <v>2015-12-01 00:00:00.0</v>
      </c>
      <c r="V1729" t="s">
        <v>837</v>
      </c>
      <c r="W1729" t="str">
        <f t="shared" si="491"/>
        <v>048314-038430-**-**</v>
      </c>
      <c r="X1729" t="s">
        <v>838</v>
      </c>
      <c r="Y1729">
        <v>400</v>
      </c>
      <c r="Z1729">
        <v>1206.25</v>
      </c>
      <c r="AA1729" t="str">
        <f t="shared" si="485"/>
        <v>06/08/2016</v>
      </c>
    </row>
    <row r="1730" spans="1:27" x14ac:dyDescent="0.3">
      <c r="A1730" t="str">
        <f t="shared" ref="A1730:A1793" si="492">"048314"</f>
        <v>048314</v>
      </c>
      <c r="B1730" t="str">
        <f t="shared" si="487"/>
        <v>038430</v>
      </c>
      <c r="C1730" t="s">
        <v>2541</v>
      </c>
      <c r="D1730" t="s">
        <v>3839</v>
      </c>
      <c r="E1730" t="s">
        <v>3840</v>
      </c>
      <c r="F1730" t="s">
        <v>3841</v>
      </c>
      <c r="G1730" t="s">
        <v>3842</v>
      </c>
      <c r="H1730" t="str">
        <f t="shared" si="484"/>
        <v>048314</v>
      </c>
      <c r="I1730" t="s">
        <v>833</v>
      </c>
      <c r="J1730" t="str">
        <f>"2015-12-02 00:00:00.0"</f>
        <v>2015-12-02 00:00:00.0</v>
      </c>
      <c r="K1730" t="s">
        <v>834</v>
      </c>
      <c r="L1730" t="s">
        <v>0</v>
      </c>
      <c r="M1730" t="str">
        <f t="shared" si="490"/>
        <v>048314</v>
      </c>
      <c r="N1730">
        <v>0.66839400000000004</v>
      </c>
      <c r="O1730">
        <v>0.66839400000000004</v>
      </c>
      <c r="P1730" t="s">
        <v>764</v>
      </c>
      <c r="Q1730" t="str">
        <f>"05"</f>
        <v>05</v>
      </c>
      <c r="R1730" t="str">
        <f>"1"</f>
        <v>1</v>
      </c>
      <c r="S1730" t="s">
        <v>836</v>
      </c>
      <c r="T1730" t="s">
        <v>836</v>
      </c>
      <c r="U1730" t="str">
        <f>"2500-12-31 00:00:00.0"</f>
        <v>2500-12-31 00:00:00.0</v>
      </c>
      <c r="V1730" t="s">
        <v>837</v>
      </c>
      <c r="W1730" t="str">
        <f t="shared" si="491"/>
        <v>048314-038430-**-**</v>
      </c>
      <c r="X1730" t="s">
        <v>838</v>
      </c>
      <c r="Y1730">
        <v>806.25</v>
      </c>
      <c r="Z1730">
        <v>1206.25</v>
      </c>
      <c r="AA1730" t="str">
        <f t="shared" si="485"/>
        <v>06/08/2016</v>
      </c>
    </row>
    <row r="1731" spans="1:27" x14ac:dyDescent="0.3">
      <c r="A1731" t="str">
        <f t="shared" si="492"/>
        <v>048314</v>
      </c>
      <c r="B1731" t="str">
        <f t="shared" si="487"/>
        <v>038430</v>
      </c>
      <c r="C1731" t="s">
        <v>3681</v>
      </c>
      <c r="D1731" t="s">
        <v>3839</v>
      </c>
      <c r="E1731" t="s">
        <v>3840</v>
      </c>
      <c r="F1731" t="s">
        <v>3841</v>
      </c>
      <c r="G1731" t="s">
        <v>3842</v>
      </c>
      <c r="H1731" t="str">
        <f>"048280"</f>
        <v>048280</v>
      </c>
      <c r="I1731" t="s">
        <v>833</v>
      </c>
      <c r="J1731" t="str">
        <f>"2015-07-01 00:00:00.0"</f>
        <v>2015-07-01 00:00:00.0</v>
      </c>
      <c r="K1731" t="s">
        <v>834</v>
      </c>
      <c r="L1731" t="s">
        <v>142</v>
      </c>
      <c r="M1731" t="str">
        <f t="shared" si="490"/>
        <v>048314</v>
      </c>
      <c r="N1731">
        <v>1</v>
      </c>
      <c r="O1731">
        <v>1</v>
      </c>
      <c r="P1731" t="s">
        <v>841</v>
      </c>
      <c r="Q1731" t="str">
        <f>"05"</f>
        <v>05</v>
      </c>
      <c r="R1731" t="str">
        <f>"1"</f>
        <v>1</v>
      </c>
      <c r="S1731" t="s">
        <v>836</v>
      </c>
      <c r="T1731" t="s">
        <v>836</v>
      </c>
      <c r="U1731" t="str">
        <f>"2500-12-31 00:00:00.0"</f>
        <v>2500-12-31 00:00:00.0</v>
      </c>
      <c r="V1731" t="s">
        <v>837</v>
      </c>
      <c r="W1731" t="str">
        <f>"048280-048280-PS-IC"</f>
        <v>048280-048280-PS-IC</v>
      </c>
      <c r="X1731" t="s">
        <v>838</v>
      </c>
      <c r="Y1731">
        <v>39</v>
      </c>
      <c r="Z1731">
        <v>39</v>
      </c>
      <c r="AA1731" t="str">
        <f>"06/15/2016"</f>
        <v>06/15/2016</v>
      </c>
    </row>
    <row r="1732" spans="1:27" x14ac:dyDescent="0.3">
      <c r="A1732" t="str">
        <f t="shared" si="492"/>
        <v>048314</v>
      </c>
      <c r="B1732" t="str">
        <f t="shared" si="487"/>
        <v>038430</v>
      </c>
      <c r="C1732" t="s">
        <v>3721</v>
      </c>
      <c r="D1732" t="s">
        <v>3839</v>
      </c>
      <c r="E1732" t="s">
        <v>3840</v>
      </c>
      <c r="F1732" t="s">
        <v>3841</v>
      </c>
      <c r="G1732" t="s">
        <v>3842</v>
      </c>
      <c r="H1732" t="str">
        <f>"048280"</f>
        <v>048280</v>
      </c>
      <c r="I1732" t="s">
        <v>833</v>
      </c>
      <c r="J1732" t="str">
        <f>"2015-09-21 00:00:00.0"</f>
        <v>2015-09-21 00:00:00.0</v>
      </c>
      <c r="K1732" t="s">
        <v>834</v>
      </c>
      <c r="L1732" t="s">
        <v>142</v>
      </c>
      <c r="M1732" t="str">
        <f t="shared" si="490"/>
        <v>048314</v>
      </c>
      <c r="N1732">
        <v>0.89743600000000001</v>
      </c>
      <c r="O1732">
        <v>0.89743600000000001</v>
      </c>
      <c r="P1732" t="s">
        <v>841</v>
      </c>
      <c r="Q1732" t="str">
        <f>"13"</f>
        <v>13</v>
      </c>
      <c r="R1732" t="str">
        <f>"6"</f>
        <v>6</v>
      </c>
      <c r="S1732" t="s">
        <v>836</v>
      </c>
      <c r="T1732" t="s">
        <v>836</v>
      </c>
      <c r="U1732" t="str">
        <f>"2500-12-31 00:00:00.0"</f>
        <v>2500-12-31 00:00:00.0</v>
      </c>
      <c r="V1732" t="s">
        <v>837</v>
      </c>
      <c r="W1732" t="str">
        <f>"048280-048280-PS-IC"</f>
        <v>048280-048280-PS-IC</v>
      </c>
      <c r="X1732" t="s">
        <v>838</v>
      </c>
      <c r="Y1732">
        <v>35</v>
      </c>
      <c r="Z1732">
        <v>39</v>
      </c>
      <c r="AA1732" t="str">
        <f>"06/15/2016"</f>
        <v>06/15/2016</v>
      </c>
    </row>
    <row r="1733" spans="1:27" x14ac:dyDescent="0.3">
      <c r="A1733" t="str">
        <f t="shared" si="492"/>
        <v>048314</v>
      </c>
      <c r="B1733" t="str">
        <f t="shared" si="487"/>
        <v>038430</v>
      </c>
      <c r="C1733" t="s">
        <v>3128</v>
      </c>
      <c r="D1733" t="s">
        <v>3839</v>
      </c>
      <c r="E1733" t="s">
        <v>3840</v>
      </c>
      <c r="F1733" t="s">
        <v>3841</v>
      </c>
      <c r="G1733" t="s">
        <v>3842</v>
      </c>
      <c r="H1733" t="str">
        <f t="shared" ref="H1733:H1756" si="493">"048314"</f>
        <v>048314</v>
      </c>
      <c r="I1733" t="s">
        <v>833</v>
      </c>
      <c r="J1733" t="str">
        <f>"2015-07-01 00:00:00.0"</f>
        <v>2015-07-01 00:00:00.0</v>
      </c>
      <c r="K1733" t="s">
        <v>834</v>
      </c>
      <c r="L1733" t="s">
        <v>0</v>
      </c>
      <c r="M1733" t="str">
        <f t="shared" si="490"/>
        <v>048314</v>
      </c>
      <c r="N1733">
        <v>0.32222200000000001</v>
      </c>
      <c r="O1733">
        <v>0.32222200000000001</v>
      </c>
      <c r="P1733" t="str">
        <f>"05"</f>
        <v>05</v>
      </c>
      <c r="Q1733" t="s">
        <v>835</v>
      </c>
      <c r="S1733" t="s">
        <v>860</v>
      </c>
      <c r="T1733" t="s">
        <v>836</v>
      </c>
      <c r="U1733" t="str">
        <f>"2015-11-19 00:00:00.0"</f>
        <v>2015-11-19 00:00:00.0</v>
      </c>
      <c r="V1733" t="s">
        <v>837</v>
      </c>
      <c r="W1733" t="str">
        <f>"048314-070417-**-**"</f>
        <v>048314-070417-**-**</v>
      </c>
      <c r="X1733" t="s">
        <v>838</v>
      </c>
      <c r="Y1733">
        <v>362.5</v>
      </c>
      <c r="Z1733">
        <v>1125</v>
      </c>
      <c r="AA1733" t="str">
        <f t="shared" ref="AA1733:AA1756" si="494">"06/08/2016"</f>
        <v>06/08/2016</v>
      </c>
    </row>
    <row r="1734" spans="1:27" x14ac:dyDescent="0.3">
      <c r="A1734" t="str">
        <f t="shared" si="492"/>
        <v>048314</v>
      </c>
      <c r="B1734" t="str">
        <f t="shared" si="487"/>
        <v>038430</v>
      </c>
      <c r="C1734" t="s">
        <v>3128</v>
      </c>
      <c r="D1734" t="s">
        <v>3839</v>
      </c>
      <c r="E1734" t="s">
        <v>3840</v>
      </c>
      <c r="F1734" t="s">
        <v>3841</v>
      </c>
      <c r="G1734" t="s">
        <v>3842</v>
      </c>
      <c r="H1734" t="str">
        <f t="shared" si="493"/>
        <v>048314</v>
      </c>
      <c r="I1734" t="s">
        <v>833</v>
      </c>
      <c r="J1734" t="str">
        <f>"2015-11-20 00:00:00.0"</f>
        <v>2015-11-20 00:00:00.0</v>
      </c>
      <c r="K1734" t="s">
        <v>834</v>
      </c>
      <c r="L1734" t="s">
        <v>0</v>
      </c>
      <c r="M1734" t="str">
        <f t="shared" si="490"/>
        <v>048314</v>
      </c>
      <c r="N1734">
        <v>0.67777799999999999</v>
      </c>
      <c r="O1734">
        <v>0.67777799999999999</v>
      </c>
      <c r="P1734" t="str">
        <f>"05"</f>
        <v>05</v>
      </c>
      <c r="Q1734" t="s">
        <v>835</v>
      </c>
      <c r="S1734" t="s">
        <v>860</v>
      </c>
      <c r="T1734" t="s">
        <v>836</v>
      </c>
      <c r="U1734" t="str">
        <f>"2500-12-31 00:00:00.0"</f>
        <v>2500-12-31 00:00:00.0</v>
      </c>
      <c r="V1734" t="s">
        <v>837</v>
      </c>
      <c r="W1734" t="str">
        <f>"048314-070417-**-**"</f>
        <v>048314-070417-**-**</v>
      </c>
      <c r="X1734" t="s">
        <v>838</v>
      </c>
      <c r="Y1734">
        <v>762.5</v>
      </c>
      <c r="Z1734">
        <v>1125</v>
      </c>
      <c r="AA1734" t="str">
        <f t="shared" si="494"/>
        <v>06/08/2016</v>
      </c>
    </row>
    <row r="1735" spans="1:27" x14ac:dyDescent="0.3">
      <c r="A1735" t="str">
        <f t="shared" si="492"/>
        <v>048314</v>
      </c>
      <c r="B1735" t="str">
        <f t="shared" si="487"/>
        <v>038430</v>
      </c>
      <c r="C1735" t="s">
        <v>3129</v>
      </c>
      <c r="D1735" t="s">
        <v>3839</v>
      </c>
      <c r="E1735" t="s">
        <v>3840</v>
      </c>
      <c r="F1735" t="s">
        <v>3841</v>
      </c>
      <c r="G1735" t="s">
        <v>3842</v>
      </c>
      <c r="H1735" t="str">
        <f t="shared" si="493"/>
        <v>048314</v>
      </c>
      <c r="I1735" t="s">
        <v>833</v>
      </c>
      <c r="J1735" t="str">
        <f>"2015-07-01 00:00:00.0"</f>
        <v>2015-07-01 00:00:00.0</v>
      </c>
      <c r="K1735" t="s">
        <v>834</v>
      </c>
      <c r="L1735" t="s">
        <v>0</v>
      </c>
      <c r="M1735" t="str">
        <f t="shared" si="490"/>
        <v>048314</v>
      </c>
      <c r="N1735">
        <v>1</v>
      </c>
      <c r="O1735">
        <v>1</v>
      </c>
      <c r="P1735" t="str">
        <f>"05"</f>
        <v>05</v>
      </c>
      <c r="Q1735" t="s">
        <v>835</v>
      </c>
      <c r="S1735" t="s">
        <v>860</v>
      </c>
      <c r="T1735" t="s">
        <v>836</v>
      </c>
      <c r="U1735" t="str">
        <f>"2500-12-31 00:00:00.0"</f>
        <v>2500-12-31 00:00:00.0</v>
      </c>
      <c r="V1735" t="s">
        <v>837</v>
      </c>
      <c r="W1735" t="str">
        <f>"048314-070417-**-**"</f>
        <v>048314-070417-**-**</v>
      </c>
      <c r="X1735" t="s">
        <v>838</v>
      </c>
      <c r="Y1735">
        <v>1125</v>
      </c>
      <c r="Z1735">
        <v>1125</v>
      </c>
      <c r="AA1735" t="str">
        <f t="shared" si="494"/>
        <v>06/08/2016</v>
      </c>
    </row>
    <row r="1736" spans="1:27" x14ac:dyDescent="0.3">
      <c r="A1736" t="str">
        <f t="shared" si="492"/>
        <v>048314</v>
      </c>
      <c r="B1736" t="str">
        <f t="shared" si="487"/>
        <v>038430</v>
      </c>
      <c r="C1736" t="s">
        <v>3262</v>
      </c>
      <c r="D1736" t="s">
        <v>3839</v>
      </c>
      <c r="E1736" t="s">
        <v>3840</v>
      </c>
      <c r="F1736" t="s">
        <v>3841</v>
      </c>
      <c r="G1736" t="s">
        <v>3842</v>
      </c>
      <c r="H1736" t="str">
        <f t="shared" si="493"/>
        <v>048314</v>
      </c>
      <c r="I1736" t="s">
        <v>833</v>
      </c>
      <c r="J1736" t="str">
        <f>"2015-07-01 00:00:00.0"</f>
        <v>2015-07-01 00:00:00.0</v>
      </c>
      <c r="K1736" t="s">
        <v>834</v>
      </c>
      <c r="L1736" t="s">
        <v>0</v>
      </c>
      <c r="M1736" t="str">
        <f t="shared" si="490"/>
        <v>048314</v>
      </c>
      <c r="N1736">
        <v>1</v>
      </c>
      <c r="O1736">
        <v>1</v>
      </c>
      <c r="P1736" t="str">
        <f>"04"</f>
        <v>04</v>
      </c>
      <c r="Q1736" t="s">
        <v>835</v>
      </c>
      <c r="S1736" t="s">
        <v>836</v>
      </c>
      <c r="T1736" t="s">
        <v>836</v>
      </c>
      <c r="U1736" t="str">
        <f>"2500-12-31 00:00:00.0"</f>
        <v>2500-12-31 00:00:00.0</v>
      </c>
      <c r="V1736" t="s">
        <v>837</v>
      </c>
      <c r="W1736" t="str">
        <f t="shared" ref="W1736:W1744" si="495">"048314-038430-**-**"</f>
        <v>048314-038430-**-**</v>
      </c>
      <c r="X1736" t="s">
        <v>838</v>
      </c>
      <c r="Y1736">
        <v>1206.25</v>
      </c>
      <c r="Z1736">
        <v>1206.25</v>
      </c>
      <c r="AA1736" t="str">
        <f t="shared" si="494"/>
        <v>06/08/2016</v>
      </c>
    </row>
    <row r="1737" spans="1:27" x14ac:dyDescent="0.3">
      <c r="A1737" t="str">
        <f t="shared" si="492"/>
        <v>048314</v>
      </c>
      <c r="B1737" t="str">
        <f t="shared" si="487"/>
        <v>038430</v>
      </c>
      <c r="C1737" t="s">
        <v>3337</v>
      </c>
      <c r="D1737" t="s">
        <v>3839</v>
      </c>
      <c r="E1737" t="s">
        <v>3840</v>
      </c>
      <c r="F1737" t="s">
        <v>3841</v>
      </c>
      <c r="G1737" t="s">
        <v>3842</v>
      </c>
      <c r="H1737" t="str">
        <f t="shared" si="493"/>
        <v>048314</v>
      </c>
      <c r="I1737" t="s">
        <v>833</v>
      </c>
      <c r="J1737" t="str">
        <f>"2015-07-01 00:00:00.0"</f>
        <v>2015-07-01 00:00:00.0</v>
      </c>
      <c r="K1737" t="s">
        <v>834</v>
      </c>
      <c r="L1737" t="s">
        <v>0</v>
      </c>
      <c r="M1737" t="str">
        <f t="shared" si="490"/>
        <v>048314</v>
      </c>
      <c r="N1737">
        <v>1</v>
      </c>
      <c r="O1737">
        <v>1</v>
      </c>
      <c r="P1737" t="str">
        <f>"04"</f>
        <v>04</v>
      </c>
      <c r="Q1737" t="s">
        <v>835</v>
      </c>
      <c r="S1737" t="s">
        <v>836</v>
      </c>
      <c r="T1737" t="s">
        <v>836</v>
      </c>
      <c r="U1737" t="str">
        <f>"2500-12-31 00:00:00.0"</f>
        <v>2500-12-31 00:00:00.0</v>
      </c>
      <c r="V1737" t="s">
        <v>837</v>
      </c>
      <c r="W1737" t="str">
        <f t="shared" si="495"/>
        <v>048314-038430-**-**</v>
      </c>
      <c r="X1737" t="s">
        <v>838</v>
      </c>
      <c r="Y1737">
        <v>1206.25</v>
      </c>
      <c r="Z1737">
        <v>1206.25</v>
      </c>
      <c r="AA1737" t="str">
        <f t="shared" si="494"/>
        <v>06/08/2016</v>
      </c>
    </row>
    <row r="1738" spans="1:27" x14ac:dyDescent="0.3">
      <c r="A1738" t="str">
        <f t="shared" si="492"/>
        <v>048314</v>
      </c>
      <c r="B1738" t="str">
        <f t="shared" si="487"/>
        <v>038430</v>
      </c>
      <c r="C1738" t="s">
        <v>934</v>
      </c>
      <c r="D1738" t="s">
        <v>3839</v>
      </c>
      <c r="E1738" t="s">
        <v>3840</v>
      </c>
      <c r="F1738" t="s">
        <v>3841</v>
      </c>
      <c r="G1738" t="s">
        <v>3842</v>
      </c>
      <c r="H1738" t="str">
        <f t="shared" si="493"/>
        <v>048314</v>
      </c>
      <c r="I1738" t="s">
        <v>833</v>
      </c>
      <c r="J1738" t="str">
        <f>"2015-07-01 00:00:00.0"</f>
        <v>2015-07-01 00:00:00.0</v>
      </c>
      <c r="K1738" t="s">
        <v>834</v>
      </c>
      <c r="L1738" t="s">
        <v>0</v>
      </c>
      <c r="M1738" t="str">
        <f t="shared" si="490"/>
        <v>048314</v>
      </c>
      <c r="N1738">
        <v>0.88082899999999997</v>
      </c>
      <c r="O1738">
        <v>0.88082899999999997</v>
      </c>
      <c r="P1738" t="str">
        <f>"01"</f>
        <v>01</v>
      </c>
      <c r="Q1738" t="s">
        <v>835</v>
      </c>
      <c r="S1738" t="s">
        <v>836</v>
      </c>
      <c r="T1738" t="s">
        <v>836</v>
      </c>
      <c r="U1738" t="str">
        <f>"2016-05-05 00:00:00.0"</f>
        <v>2016-05-05 00:00:00.0</v>
      </c>
      <c r="V1738" t="s">
        <v>837</v>
      </c>
      <c r="W1738" t="str">
        <f t="shared" si="495"/>
        <v>048314-038430-**-**</v>
      </c>
      <c r="X1738" t="s">
        <v>838</v>
      </c>
      <c r="Y1738">
        <v>1062.5</v>
      </c>
      <c r="Z1738">
        <v>1206.25</v>
      </c>
      <c r="AA1738" t="str">
        <f t="shared" si="494"/>
        <v>06/08/2016</v>
      </c>
    </row>
    <row r="1739" spans="1:27" x14ac:dyDescent="0.3">
      <c r="A1739" t="str">
        <f t="shared" si="492"/>
        <v>048314</v>
      </c>
      <c r="B1739" t="str">
        <f t="shared" si="487"/>
        <v>038430</v>
      </c>
      <c r="C1739" t="s">
        <v>3334</v>
      </c>
      <c r="D1739" t="s">
        <v>3839</v>
      </c>
      <c r="E1739" t="s">
        <v>3840</v>
      </c>
      <c r="F1739" t="s">
        <v>3841</v>
      </c>
      <c r="G1739" t="s">
        <v>3842</v>
      </c>
      <c r="H1739" t="str">
        <f t="shared" si="493"/>
        <v>048314</v>
      </c>
      <c r="I1739" t="s">
        <v>833</v>
      </c>
      <c r="J1739" t="str">
        <f>"2015-07-01 00:00:00.0"</f>
        <v>2015-07-01 00:00:00.0</v>
      </c>
      <c r="K1739" t="s">
        <v>834</v>
      </c>
      <c r="L1739" t="s">
        <v>0</v>
      </c>
      <c r="M1739" t="str">
        <f t="shared" si="490"/>
        <v>048314</v>
      </c>
      <c r="N1739">
        <v>1</v>
      </c>
      <c r="O1739">
        <v>1</v>
      </c>
      <c r="P1739" t="str">
        <f>"04"</f>
        <v>04</v>
      </c>
      <c r="Q1739" t="s">
        <v>835</v>
      </c>
      <c r="S1739" t="s">
        <v>836</v>
      </c>
      <c r="T1739" t="s">
        <v>836</v>
      </c>
      <c r="U1739" t="str">
        <f>"2500-12-31 00:00:00.0"</f>
        <v>2500-12-31 00:00:00.0</v>
      </c>
      <c r="V1739" t="s">
        <v>837</v>
      </c>
      <c r="W1739" t="str">
        <f t="shared" si="495"/>
        <v>048314-038430-**-**</v>
      </c>
      <c r="X1739" t="s">
        <v>838</v>
      </c>
      <c r="Y1739">
        <v>1206.25</v>
      </c>
      <c r="Z1739">
        <v>1206.25</v>
      </c>
      <c r="AA1739" t="str">
        <f t="shared" si="494"/>
        <v>06/08/2016</v>
      </c>
    </row>
    <row r="1740" spans="1:27" x14ac:dyDescent="0.3">
      <c r="A1740" t="str">
        <f t="shared" si="492"/>
        <v>048314</v>
      </c>
      <c r="B1740" t="str">
        <f t="shared" si="487"/>
        <v>038430</v>
      </c>
      <c r="C1740" t="s">
        <v>3664</v>
      </c>
      <c r="D1740" t="s">
        <v>3839</v>
      </c>
      <c r="E1740" t="s">
        <v>3840</v>
      </c>
      <c r="F1740" t="s">
        <v>3841</v>
      </c>
      <c r="G1740" t="s">
        <v>3842</v>
      </c>
      <c r="H1740" t="str">
        <f t="shared" si="493"/>
        <v>048314</v>
      </c>
      <c r="I1740" t="s">
        <v>833</v>
      </c>
      <c r="J1740" t="str">
        <f>"2016-06-02 00:00:00.0"</f>
        <v>2016-06-02 00:00:00.0</v>
      </c>
      <c r="K1740" t="s">
        <v>834</v>
      </c>
      <c r="L1740" t="s">
        <v>0</v>
      </c>
      <c r="M1740" t="str">
        <f t="shared" si="490"/>
        <v>048314</v>
      </c>
      <c r="N1740">
        <v>2.5906999999999999E-2</v>
      </c>
      <c r="O1740">
        <v>2.5906999999999999E-2</v>
      </c>
      <c r="P1740" t="s">
        <v>764</v>
      </c>
      <c r="Q1740" t="str">
        <f>"05"</f>
        <v>05</v>
      </c>
      <c r="R1740" t="str">
        <f>"1"</f>
        <v>1</v>
      </c>
      <c r="S1740" t="s">
        <v>836</v>
      </c>
      <c r="T1740" t="s">
        <v>836</v>
      </c>
      <c r="U1740" t="str">
        <f>"2500-12-31 00:00:00.0"</f>
        <v>2500-12-31 00:00:00.0</v>
      </c>
      <c r="V1740" t="s">
        <v>837</v>
      </c>
      <c r="W1740" t="str">
        <f t="shared" si="495"/>
        <v>048314-038430-**-**</v>
      </c>
      <c r="X1740" t="s">
        <v>838</v>
      </c>
      <c r="Y1740">
        <v>31.25</v>
      </c>
      <c r="Z1740">
        <v>1206.25</v>
      </c>
      <c r="AA1740" t="str">
        <f t="shared" si="494"/>
        <v>06/08/2016</v>
      </c>
    </row>
    <row r="1741" spans="1:27" x14ac:dyDescent="0.3">
      <c r="A1741" t="str">
        <f t="shared" si="492"/>
        <v>048314</v>
      </c>
      <c r="B1741" t="str">
        <f t="shared" si="487"/>
        <v>038430</v>
      </c>
      <c r="C1741" t="s">
        <v>3664</v>
      </c>
      <c r="D1741" t="s">
        <v>3839</v>
      </c>
      <c r="E1741" t="s">
        <v>3840</v>
      </c>
      <c r="F1741" t="s">
        <v>3841</v>
      </c>
      <c r="G1741" t="s">
        <v>3842</v>
      </c>
      <c r="H1741" t="str">
        <f t="shared" si="493"/>
        <v>048314</v>
      </c>
      <c r="I1741" t="s">
        <v>833</v>
      </c>
      <c r="J1741" t="str">
        <f>"2016-01-26 00:00:00.0"</f>
        <v>2016-01-26 00:00:00.0</v>
      </c>
      <c r="K1741" t="s">
        <v>834</v>
      </c>
      <c r="L1741" t="s">
        <v>0</v>
      </c>
      <c r="M1741" t="str">
        <f t="shared" si="490"/>
        <v>048314</v>
      </c>
      <c r="N1741">
        <v>0.455959</v>
      </c>
      <c r="O1741">
        <v>0.455959</v>
      </c>
      <c r="P1741" t="s">
        <v>764</v>
      </c>
      <c r="Q1741" t="s">
        <v>835</v>
      </c>
      <c r="S1741" t="s">
        <v>836</v>
      </c>
      <c r="T1741" t="s">
        <v>836</v>
      </c>
      <c r="U1741" t="str">
        <f>"2016-06-01 00:00:00.0"</f>
        <v>2016-06-01 00:00:00.0</v>
      </c>
      <c r="V1741" t="s">
        <v>837</v>
      </c>
      <c r="W1741" t="str">
        <f t="shared" si="495"/>
        <v>048314-038430-**-**</v>
      </c>
      <c r="X1741" t="s">
        <v>838</v>
      </c>
      <c r="Y1741">
        <v>550</v>
      </c>
      <c r="Z1741">
        <v>1206.25</v>
      </c>
      <c r="AA1741" t="str">
        <f t="shared" si="494"/>
        <v>06/08/2016</v>
      </c>
    </row>
    <row r="1742" spans="1:27" x14ac:dyDescent="0.3">
      <c r="A1742" t="str">
        <f t="shared" si="492"/>
        <v>048314</v>
      </c>
      <c r="B1742" t="str">
        <f t="shared" si="487"/>
        <v>038430</v>
      </c>
      <c r="C1742" t="s">
        <v>3333</v>
      </c>
      <c r="D1742" t="s">
        <v>3839</v>
      </c>
      <c r="E1742" t="s">
        <v>3840</v>
      </c>
      <c r="F1742" t="s">
        <v>3841</v>
      </c>
      <c r="G1742" t="s">
        <v>3842</v>
      </c>
      <c r="H1742" t="str">
        <f t="shared" si="493"/>
        <v>048314</v>
      </c>
      <c r="I1742" t="s">
        <v>833</v>
      </c>
      <c r="J1742" t="str">
        <f>"2015-07-01 00:00:00.0"</f>
        <v>2015-07-01 00:00:00.0</v>
      </c>
      <c r="K1742" t="s">
        <v>834</v>
      </c>
      <c r="L1742" t="s">
        <v>0</v>
      </c>
      <c r="M1742" t="str">
        <f t="shared" si="490"/>
        <v>048314</v>
      </c>
      <c r="N1742">
        <v>0.523316</v>
      </c>
      <c r="O1742">
        <v>0.523316</v>
      </c>
      <c r="P1742" t="str">
        <f>"04"</f>
        <v>04</v>
      </c>
      <c r="Q1742" t="s">
        <v>835</v>
      </c>
      <c r="S1742" t="s">
        <v>836</v>
      </c>
      <c r="T1742" t="s">
        <v>836</v>
      </c>
      <c r="U1742" t="str">
        <f>"2016-01-26 00:00:00.0"</f>
        <v>2016-01-26 00:00:00.0</v>
      </c>
      <c r="V1742" t="s">
        <v>837</v>
      </c>
      <c r="W1742" t="str">
        <f t="shared" si="495"/>
        <v>048314-038430-**-**</v>
      </c>
      <c r="X1742" t="s">
        <v>838</v>
      </c>
      <c r="Y1742">
        <v>631.25</v>
      </c>
      <c r="Z1742">
        <v>1206.25</v>
      </c>
      <c r="AA1742" t="str">
        <f t="shared" si="494"/>
        <v>06/08/2016</v>
      </c>
    </row>
    <row r="1743" spans="1:27" x14ac:dyDescent="0.3">
      <c r="A1743" t="str">
        <f t="shared" si="492"/>
        <v>048314</v>
      </c>
      <c r="B1743" t="str">
        <f t="shared" si="487"/>
        <v>038430</v>
      </c>
      <c r="C1743" t="s">
        <v>3333</v>
      </c>
      <c r="D1743" t="s">
        <v>3839</v>
      </c>
      <c r="E1743" t="s">
        <v>3840</v>
      </c>
      <c r="F1743" t="s">
        <v>3841</v>
      </c>
      <c r="G1743" t="s">
        <v>3842</v>
      </c>
      <c r="H1743" t="str">
        <f t="shared" si="493"/>
        <v>048314</v>
      </c>
      <c r="I1743" t="s">
        <v>833</v>
      </c>
      <c r="J1743" t="str">
        <f>"2016-01-27 00:00:00.0"</f>
        <v>2016-01-27 00:00:00.0</v>
      </c>
      <c r="K1743" t="s">
        <v>834</v>
      </c>
      <c r="L1743" t="s">
        <v>0</v>
      </c>
      <c r="M1743" t="str">
        <f t="shared" si="490"/>
        <v>048314</v>
      </c>
      <c r="N1743">
        <v>0.476684</v>
      </c>
      <c r="O1743">
        <v>0.476684</v>
      </c>
      <c r="P1743" t="str">
        <f>"04"</f>
        <v>04</v>
      </c>
      <c r="Q1743" t="str">
        <f>"10"</f>
        <v>10</v>
      </c>
      <c r="R1743" t="str">
        <f>"2"</f>
        <v>2</v>
      </c>
      <c r="S1743" t="s">
        <v>836</v>
      </c>
      <c r="T1743" t="s">
        <v>836</v>
      </c>
      <c r="U1743" t="str">
        <f t="shared" ref="U1743:U1772" si="496">"2500-12-31 00:00:00.0"</f>
        <v>2500-12-31 00:00:00.0</v>
      </c>
      <c r="V1743" t="s">
        <v>837</v>
      </c>
      <c r="W1743" t="str">
        <f t="shared" si="495"/>
        <v>048314-038430-**-**</v>
      </c>
      <c r="X1743" t="s">
        <v>838</v>
      </c>
      <c r="Y1743">
        <v>575</v>
      </c>
      <c r="Z1743">
        <v>1206.25</v>
      </c>
      <c r="AA1743" t="str">
        <f t="shared" si="494"/>
        <v>06/08/2016</v>
      </c>
    </row>
    <row r="1744" spans="1:27" x14ac:dyDescent="0.3">
      <c r="A1744" t="str">
        <f t="shared" si="492"/>
        <v>048314</v>
      </c>
      <c r="B1744" t="str">
        <f t="shared" si="487"/>
        <v>038430</v>
      </c>
      <c r="C1744" t="s">
        <v>3332</v>
      </c>
      <c r="D1744" t="s">
        <v>3839</v>
      </c>
      <c r="E1744" t="s">
        <v>3840</v>
      </c>
      <c r="F1744" t="s">
        <v>3841</v>
      </c>
      <c r="G1744" t="s">
        <v>3842</v>
      </c>
      <c r="H1744" t="str">
        <f t="shared" si="493"/>
        <v>048314</v>
      </c>
      <c r="I1744" t="s">
        <v>833</v>
      </c>
      <c r="J1744" t="str">
        <f t="shared" ref="J1744:J1758" si="497">"2015-07-01 00:00:00.0"</f>
        <v>2015-07-01 00:00:00.0</v>
      </c>
      <c r="K1744" t="s">
        <v>834</v>
      </c>
      <c r="L1744" t="s">
        <v>0</v>
      </c>
      <c r="M1744" t="str">
        <f t="shared" si="490"/>
        <v>048314</v>
      </c>
      <c r="N1744">
        <v>1</v>
      </c>
      <c r="O1744">
        <v>1</v>
      </c>
      <c r="P1744" t="str">
        <f>"04"</f>
        <v>04</v>
      </c>
      <c r="Q1744" t="s">
        <v>835</v>
      </c>
      <c r="S1744" t="s">
        <v>836</v>
      </c>
      <c r="T1744" t="s">
        <v>836</v>
      </c>
      <c r="U1744" t="str">
        <f t="shared" si="496"/>
        <v>2500-12-31 00:00:00.0</v>
      </c>
      <c r="V1744" t="s">
        <v>837</v>
      </c>
      <c r="W1744" t="str">
        <f t="shared" si="495"/>
        <v>048314-038430-**-**</v>
      </c>
      <c r="X1744" t="s">
        <v>838</v>
      </c>
      <c r="Y1744">
        <v>1206.25</v>
      </c>
      <c r="Z1744">
        <v>1206.25</v>
      </c>
      <c r="AA1744" t="str">
        <f t="shared" si="494"/>
        <v>06/08/2016</v>
      </c>
    </row>
    <row r="1745" spans="1:27" x14ac:dyDescent="0.3">
      <c r="A1745" t="str">
        <f t="shared" si="492"/>
        <v>048314</v>
      </c>
      <c r="B1745" t="str">
        <f t="shared" si="487"/>
        <v>038430</v>
      </c>
      <c r="C1745" t="s">
        <v>2871</v>
      </c>
      <c r="D1745" t="s">
        <v>3839</v>
      </c>
      <c r="E1745" t="s">
        <v>3840</v>
      </c>
      <c r="F1745" t="s">
        <v>3841</v>
      </c>
      <c r="G1745" t="s">
        <v>3842</v>
      </c>
      <c r="H1745" t="str">
        <f t="shared" si="493"/>
        <v>048314</v>
      </c>
      <c r="I1745" t="s">
        <v>833</v>
      </c>
      <c r="J1745" t="str">
        <f t="shared" si="497"/>
        <v>2015-07-01 00:00:00.0</v>
      </c>
      <c r="K1745" t="s">
        <v>834</v>
      </c>
      <c r="L1745" t="s">
        <v>0</v>
      </c>
      <c r="M1745" t="str">
        <f t="shared" si="490"/>
        <v>048314</v>
      </c>
      <c r="N1745">
        <v>1</v>
      </c>
      <c r="O1745">
        <v>1</v>
      </c>
      <c r="P1745" t="str">
        <f>"05"</f>
        <v>05</v>
      </c>
      <c r="Q1745" t="s">
        <v>835</v>
      </c>
      <c r="S1745" t="s">
        <v>836</v>
      </c>
      <c r="T1745" t="s">
        <v>836</v>
      </c>
      <c r="U1745" t="str">
        <f t="shared" si="496"/>
        <v>2500-12-31 00:00:00.0</v>
      </c>
      <c r="V1745" t="s">
        <v>837</v>
      </c>
      <c r="W1745" t="str">
        <f>"048314-070417-**-**"</f>
        <v>048314-070417-**-**</v>
      </c>
      <c r="X1745" t="s">
        <v>838</v>
      </c>
      <c r="Y1745">
        <v>1125</v>
      </c>
      <c r="Z1745">
        <v>1125</v>
      </c>
      <c r="AA1745" t="str">
        <f t="shared" si="494"/>
        <v>06/08/2016</v>
      </c>
    </row>
    <row r="1746" spans="1:27" x14ac:dyDescent="0.3">
      <c r="A1746" t="str">
        <f t="shared" si="492"/>
        <v>048314</v>
      </c>
      <c r="B1746" t="str">
        <f t="shared" si="487"/>
        <v>038430</v>
      </c>
      <c r="C1746" t="s">
        <v>3253</v>
      </c>
      <c r="D1746" t="s">
        <v>3839</v>
      </c>
      <c r="E1746" t="s">
        <v>3840</v>
      </c>
      <c r="F1746" t="s">
        <v>3841</v>
      </c>
      <c r="G1746" t="s">
        <v>3842</v>
      </c>
      <c r="H1746" t="str">
        <f t="shared" si="493"/>
        <v>048314</v>
      </c>
      <c r="I1746" t="s">
        <v>833</v>
      </c>
      <c r="J1746" t="str">
        <f t="shared" si="497"/>
        <v>2015-07-01 00:00:00.0</v>
      </c>
      <c r="K1746" t="s">
        <v>834</v>
      </c>
      <c r="L1746" t="s">
        <v>0</v>
      </c>
      <c r="M1746" t="str">
        <f t="shared" si="490"/>
        <v>048314</v>
      </c>
      <c r="N1746">
        <v>1</v>
      </c>
      <c r="O1746">
        <v>1</v>
      </c>
      <c r="P1746" t="str">
        <f>"04"</f>
        <v>04</v>
      </c>
      <c r="Q1746" t="s">
        <v>835</v>
      </c>
      <c r="S1746" t="s">
        <v>860</v>
      </c>
      <c r="T1746" t="s">
        <v>836</v>
      </c>
      <c r="U1746" t="str">
        <f t="shared" si="496"/>
        <v>2500-12-31 00:00:00.0</v>
      </c>
      <c r="V1746" t="s">
        <v>837</v>
      </c>
      <c r="W1746" t="str">
        <f>"048314-038430-**-**"</f>
        <v>048314-038430-**-**</v>
      </c>
      <c r="X1746" t="s">
        <v>838</v>
      </c>
      <c r="Y1746">
        <v>1206.25</v>
      </c>
      <c r="Z1746">
        <v>1206.25</v>
      </c>
      <c r="AA1746" t="str">
        <f t="shared" si="494"/>
        <v>06/08/2016</v>
      </c>
    </row>
    <row r="1747" spans="1:27" x14ac:dyDescent="0.3">
      <c r="A1747" t="str">
        <f t="shared" si="492"/>
        <v>048314</v>
      </c>
      <c r="B1747" t="str">
        <f t="shared" si="487"/>
        <v>038430</v>
      </c>
      <c r="C1747" t="s">
        <v>3550</v>
      </c>
      <c r="D1747" t="s">
        <v>3839</v>
      </c>
      <c r="E1747" t="s">
        <v>3840</v>
      </c>
      <c r="F1747" t="s">
        <v>3841</v>
      </c>
      <c r="G1747" t="s">
        <v>3842</v>
      </c>
      <c r="H1747" t="str">
        <f t="shared" si="493"/>
        <v>048314</v>
      </c>
      <c r="I1747" t="s">
        <v>833</v>
      </c>
      <c r="J1747" t="str">
        <f t="shared" si="497"/>
        <v>2015-07-01 00:00:00.0</v>
      </c>
      <c r="K1747" t="s">
        <v>834</v>
      </c>
      <c r="L1747" t="s">
        <v>0</v>
      </c>
      <c r="M1747" t="str">
        <f t="shared" si="490"/>
        <v>048314</v>
      </c>
      <c r="N1747">
        <v>1</v>
      </c>
      <c r="O1747">
        <v>1</v>
      </c>
      <c r="P1747" t="str">
        <f>"03"</f>
        <v>03</v>
      </c>
      <c r="Q1747" t="s">
        <v>835</v>
      </c>
      <c r="S1747" t="s">
        <v>836</v>
      </c>
      <c r="T1747" t="s">
        <v>836</v>
      </c>
      <c r="U1747" t="str">
        <f t="shared" si="496"/>
        <v>2500-12-31 00:00:00.0</v>
      </c>
      <c r="V1747" t="s">
        <v>837</v>
      </c>
      <c r="W1747" t="str">
        <f>"048314-038430-**-**"</f>
        <v>048314-038430-**-**</v>
      </c>
      <c r="X1747" t="s">
        <v>838</v>
      </c>
      <c r="Y1747">
        <v>1206.25</v>
      </c>
      <c r="Z1747">
        <v>1206.25</v>
      </c>
      <c r="AA1747" t="str">
        <f t="shared" si="494"/>
        <v>06/08/2016</v>
      </c>
    </row>
    <row r="1748" spans="1:27" x14ac:dyDescent="0.3">
      <c r="A1748" t="str">
        <f t="shared" si="492"/>
        <v>048314</v>
      </c>
      <c r="B1748" t="str">
        <f t="shared" si="487"/>
        <v>038430</v>
      </c>
      <c r="C1748" t="s">
        <v>990</v>
      </c>
      <c r="D1748" t="s">
        <v>3839</v>
      </c>
      <c r="E1748" t="s">
        <v>3840</v>
      </c>
      <c r="F1748" t="s">
        <v>3841</v>
      </c>
      <c r="G1748" t="s">
        <v>3842</v>
      </c>
      <c r="H1748" t="str">
        <f t="shared" si="493"/>
        <v>048314</v>
      </c>
      <c r="I1748" t="s">
        <v>833</v>
      </c>
      <c r="J1748" t="str">
        <f t="shared" si="497"/>
        <v>2015-07-01 00:00:00.0</v>
      </c>
      <c r="K1748" t="s">
        <v>834</v>
      </c>
      <c r="L1748" t="s">
        <v>0</v>
      </c>
      <c r="M1748" t="str">
        <f t="shared" si="490"/>
        <v>048314</v>
      </c>
      <c r="N1748">
        <v>1</v>
      </c>
      <c r="O1748">
        <v>1</v>
      </c>
      <c r="P1748" t="str">
        <f>"04"</f>
        <v>04</v>
      </c>
      <c r="Q1748" t="s">
        <v>835</v>
      </c>
      <c r="S1748" t="s">
        <v>836</v>
      </c>
      <c r="T1748" t="s">
        <v>836</v>
      </c>
      <c r="U1748" t="str">
        <f t="shared" si="496"/>
        <v>2500-12-31 00:00:00.0</v>
      </c>
      <c r="V1748" t="s">
        <v>837</v>
      </c>
      <c r="W1748" t="str">
        <f>"048314-038430-**-**"</f>
        <v>048314-038430-**-**</v>
      </c>
      <c r="X1748" t="s">
        <v>838</v>
      </c>
      <c r="Y1748">
        <v>1206.25</v>
      </c>
      <c r="Z1748">
        <v>1206.25</v>
      </c>
      <c r="AA1748" t="str">
        <f t="shared" si="494"/>
        <v>06/08/2016</v>
      </c>
    </row>
    <row r="1749" spans="1:27" x14ac:dyDescent="0.3">
      <c r="A1749" t="str">
        <f t="shared" si="492"/>
        <v>048314</v>
      </c>
      <c r="B1749" t="str">
        <f t="shared" si="487"/>
        <v>038430</v>
      </c>
      <c r="C1749" t="s">
        <v>2874</v>
      </c>
      <c r="D1749" t="s">
        <v>3839</v>
      </c>
      <c r="E1749" t="s">
        <v>3840</v>
      </c>
      <c r="F1749" t="s">
        <v>3841</v>
      </c>
      <c r="G1749" t="s">
        <v>3842</v>
      </c>
      <c r="H1749" t="str">
        <f t="shared" si="493"/>
        <v>048314</v>
      </c>
      <c r="I1749" t="s">
        <v>833</v>
      </c>
      <c r="J1749" t="str">
        <f t="shared" si="497"/>
        <v>2015-07-01 00:00:00.0</v>
      </c>
      <c r="K1749" t="s">
        <v>834</v>
      </c>
      <c r="L1749" t="s">
        <v>0</v>
      </c>
      <c r="M1749" t="str">
        <f t="shared" si="490"/>
        <v>048314</v>
      </c>
      <c r="N1749">
        <v>1</v>
      </c>
      <c r="O1749">
        <v>1</v>
      </c>
      <c r="P1749" t="str">
        <f>"05"</f>
        <v>05</v>
      </c>
      <c r="Q1749" t="s">
        <v>835</v>
      </c>
      <c r="S1749" t="s">
        <v>836</v>
      </c>
      <c r="T1749" t="s">
        <v>836</v>
      </c>
      <c r="U1749" t="str">
        <f t="shared" si="496"/>
        <v>2500-12-31 00:00:00.0</v>
      </c>
      <c r="V1749" t="s">
        <v>837</v>
      </c>
      <c r="W1749" t="str">
        <f>"048314-070417-**-**"</f>
        <v>048314-070417-**-**</v>
      </c>
      <c r="X1749" t="s">
        <v>838</v>
      </c>
      <c r="Y1749">
        <v>1125</v>
      </c>
      <c r="Z1749">
        <v>1125</v>
      </c>
      <c r="AA1749" t="str">
        <f t="shared" si="494"/>
        <v>06/08/2016</v>
      </c>
    </row>
    <row r="1750" spans="1:27" x14ac:dyDescent="0.3">
      <c r="A1750" t="str">
        <f t="shared" si="492"/>
        <v>048314</v>
      </c>
      <c r="B1750" t="str">
        <f t="shared" si="487"/>
        <v>038430</v>
      </c>
      <c r="C1750" t="s">
        <v>2875</v>
      </c>
      <c r="D1750" t="s">
        <v>3839</v>
      </c>
      <c r="E1750" t="s">
        <v>3840</v>
      </c>
      <c r="F1750" t="s">
        <v>3841</v>
      </c>
      <c r="G1750" t="s">
        <v>3842</v>
      </c>
      <c r="H1750" t="str">
        <f t="shared" si="493"/>
        <v>048314</v>
      </c>
      <c r="I1750" t="s">
        <v>833</v>
      </c>
      <c r="J1750" t="str">
        <f t="shared" si="497"/>
        <v>2015-07-01 00:00:00.0</v>
      </c>
      <c r="K1750" t="s">
        <v>834</v>
      </c>
      <c r="L1750" t="s">
        <v>0</v>
      </c>
      <c r="M1750" t="str">
        <f t="shared" si="490"/>
        <v>048314</v>
      </c>
      <c r="N1750">
        <v>1</v>
      </c>
      <c r="O1750">
        <v>1</v>
      </c>
      <c r="P1750" t="str">
        <f>"05"</f>
        <v>05</v>
      </c>
      <c r="Q1750" t="s">
        <v>835</v>
      </c>
      <c r="S1750" t="s">
        <v>836</v>
      </c>
      <c r="T1750" t="s">
        <v>836</v>
      </c>
      <c r="U1750" t="str">
        <f t="shared" si="496"/>
        <v>2500-12-31 00:00:00.0</v>
      </c>
      <c r="V1750" t="s">
        <v>837</v>
      </c>
      <c r="W1750" t="str">
        <f>"048314-070417-**-**"</f>
        <v>048314-070417-**-**</v>
      </c>
      <c r="X1750" t="s">
        <v>838</v>
      </c>
      <c r="Y1750">
        <v>1125</v>
      </c>
      <c r="Z1750">
        <v>1125</v>
      </c>
      <c r="AA1750" t="str">
        <f t="shared" si="494"/>
        <v>06/08/2016</v>
      </c>
    </row>
    <row r="1751" spans="1:27" x14ac:dyDescent="0.3">
      <c r="A1751" t="str">
        <f t="shared" si="492"/>
        <v>048314</v>
      </c>
      <c r="B1751" t="str">
        <f t="shared" si="487"/>
        <v>038430</v>
      </c>
      <c r="C1751" t="s">
        <v>3541</v>
      </c>
      <c r="D1751" t="s">
        <v>3839</v>
      </c>
      <c r="E1751" t="s">
        <v>3840</v>
      </c>
      <c r="F1751" t="s">
        <v>3841</v>
      </c>
      <c r="G1751" t="s">
        <v>3842</v>
      </c>
      <c r="H1751" t="str">
        <f t="shared" si="493"/>
        <v>048314</v>
      </c>
      <c r="I1751" t="s">
        <v>833</v>
      </c>
      <c r="J1751" t="str">
        <f t="shared" si="497"/>
        <v>2015-07-01 00:00:00.0</v>
      </c>
      <c r="K1751" t="s">
        <v>834</v>
      </c>
      <c r="L1751" t="s">
        <v>0</v>
      </c>
      <c r="M1751" t="str">
        <f t="shared" si="490"/>
        <v>048314</v>
      </c>
      <c r="N1751">
        <v>1</v>
      </c>
      <c r="O1751">
        <v>1</v>
      </c>
      <c r="P1751" t="str">
        <f>"03"</f>
        <v>03</v>
      </c>
      <c r="Q1751" t="s">
        <v>835</v>
      </c>
      <c r="S1751" t="s">
        <v>836</v>
      </c>
      <c r="T1751" t="s">
        <v>836</v>
      </c>
      <c r="U1751" t="str">
        <f t="shared" si="496"/>
        <v>2500-12-31 00:00:00.0</v>
      </c>
      <c r="V1751" t="s">
        <v>837</v>
      </c>
      <c r="W1751" t="str">
        <f t="shared" ref="W1751:W1756" si="498">"048314-038430-**-**"</f>
        <v>048314-038430-**-**</v>
      </c>
      <c r="X1751" t="s">
        <v>838</v>
      </c>
      <c r="Y1751">
        <v>1206.25</v>
      </c>
      <c r="Z1751">
        <v>1206.25</v>
      </c>
      <c r="AA1751" t="str">
        <f t="shared" si="494"/>
        <v>06/08/2016</v>
      </c>
    </row>
    <row r="1752" spans="1:27" x14ac:dyDescent="0.3">
      <c r="A1752" t="str">
        <f t="shared" si="492"/>
        <v>048314</v>
      </c>
      <c r="B1752" t="str">
        <f t="shared" si="487"/>
        <v>038430</v>
      </c>
      <c r="C1752" t="s">
        <v>3229</v>
      </c>
      <c r="D1752" t="s">
        <v>3839</v>
      </c>
      <c r="E1752" t="s">
        <v>3840</v>
      </c>
      <c r="F1752" t="s">
        <v>3841</v>
      </c>
      <c r="G1752" t="s">
        <v>3842</v>
      </c>
      <c r="H1752" t="str">
        <f t="shared" si="493"/>
        <v>048314</v>
      </c>
      <c r="I1752" t="s">
        <v>833</v>
      </c>
      <c r="J1752" t="str">
        <f t="shared" si="497"/>
        <v>2015-07-01 00:00:00.0</v>
      </c>
      <c r="K1752" t="s">
        <v>834</v>
      </c>
      <c r="L1752" t="s">
        <v>0</v>
      </c>
      <c r="M1752" t="str">
        <f t="shared" si="490"/>
        <v>048314</v>
      </c>
      <c r="N1752">
        <v>1</v>
      </c>
      <c r="O1752">
        <v>1</v>
      </c>
      <c r="P1752" t="str">
        <f>"02"</f>
        <v>02</v>
      </c>
      <c r="Q1752" t="str">
        <f>"01"</f>
        <v>01</v>
      </c>
      <c r="R1752" t="str">
        <f>"5"</f>
        <v>5</v>
      </c>
      <c r="S1752" t="s">
        <v>836</v>
      </c>
      <c r="T1752" t="s">
        <v>836</v>
      </c>
      <c r="U1752" t="str">
        <f t="shared" si="496"/>
        <v>2500-12-31 00:00:00.0</v>
      </c>
      <c r="V1752" t="s">
        <v>837</v>
      </c>
      <c r="W1752" t="str">
        <f t="shared" si="498"/>
        <v>048314-038430-**-**</v>
      </c>
      <c r="X1752" t="s">
        <v>838</v>
      </c>
      <c r="Y1752">
        <v>1206.25</v>
      </c>
      <c r="Z1752">
        <v>1206.25</v>
      </c>
      <c r="AA1752" t="str">
        <f t="shared" si="494"/>
        <v>06/08/2016</v>
      </c>
    </row>
    <row r="1753" spans="1:27" x14ac:dyDescent="0.3">
      <c r="A1753" t="str">
        <f t="shared" si="492"/>
        <v>048314</v>
      </c>
      <c r="B1753" t="str">
        <f t="shared" si="487"/>
        <v>038430</v>
      </c>
      <c r="C1753" t="s">
        <v>3424</v>
      </c>
      <c r="D1753" t="s">
        <v>3839</v>
      </c>
      <c r="E1753" t="s">
        <v>3840</v>
      </c>
      <c r="F1753" t="s">
        <v>3841</v>
      </c>
      <c r="G1753" t="s">
        <v>3842</v>
      </c>
      <c r="H1753" t="str">
        <f t="shared" si="493"/>
        <v>048314</v>
      </c>
      <c r="I1753" t="s">
        <v>833</v>
      </c>
      <c r="J1753" t="str">
        <f t="shared" si="497"/>
        <v>2015-07-01 00:00:00.0</v>
      </c>
      <c r="K1753" t="s">
        <v>834</v>
      </c>
      <c r="L1753" t="s">
        <v>0</v>
      </c>
      <c r="M1753" t="str">
        <f t="shared" si="490"/>
        <v>048314</v>
      </c>
      <c r="N1753">
        <v>1</v>
      </c>
      <c r="O1753">
        <v>1</v>
      </c>
      <c r="P1753" t="str">
        <f>"04"</f>
        <v>04</v>
      </c>
      <c r="Q1753" t="s">
        <v>835</v>
      </c>
      <c r="S1753" t="s">
        <v>836</v>
      </c>
      <c r="T1753" t="s">
        <v>836</v>
      </c>
      <c r="U1753" t="str">
        <f t="shared" si="496"/>
        <v>2500-12-31 00:00:00.0</v>
      </c>
      <c r="V1753" t="s">
        <v>837</v>
      </c>
      <c r="W1753" t="str">
        <f t="shared" si="498"/>
        <v>048314-038430-**-**</v>
      </c>
      <c r="X1753" t="s">
        <v>838</v>
      </c>
      <c r="Y1753">
        <v>1206.25</v>
      </c>
      <c r="Z1753">
        <v>1206.25</v>
      </c>
      <c r="AA1753" t="str">
        <f t="shared" si="494"/>
        <v>06/08/2016</v>
      </c>
    </row>
    <row r="1754" spans="1:27" x14ac:dyDescent="0.3">
      <c r="A1754" t="str">
        <f t="shared" si="492"/>
        <v>048314</v>
      </c>
      <c r="B1754" t="str">
        <f t="shared" si="487"/>
        <v>038430</v>
      </c>
      <c r="C1754" t="s">
        <v>1718</v>
      </c>
      <c r="D1754" t="s">
        <v>3839</v>
      </c>
      <c r="E1754" t="s">
        <v>3840</v>
      </c>
      <c r="F1754" t="s">
        <v>3841</v>
      </c>
      <c r="G1754" t="s">
        <v>3842</v>
      </c>
      <c r="H1754" t="str">
        <f t="shared" si="493"/>
        <v>048314</v>
      </c>
      <c r="I1754" t="s">
        <v>833</v>
      </c>
      <c r="J1754" t="str">
        <f t="shared" si="497"/>
        <v>2015-07-01 00:00:00.0</v>
      </c>
      <c r="K1754" t="s">
        <v>834</v>
      </c>
      <c r="L1754" t="s">
        <v>0</v>
      </c>
      <c r="M1754" t="str">
        <f t="shared" si="490"/>
        <v>048314</v>
      </c>
      <c r="N1754">
        <v>1</v>
      </c>
      <c r="O1754">
        <v>1</v>
      </c>
      <c r="P1754" t="str">
        <f>"02"</f>
        <v>02</v>
      </c>
      <c r="Q1754" t="s">
        <v>835</v>
      </c>
      <c r="S1754" t="s">
        <v>836</v>
      </c>
      <c r="T1754" t="s">
        <v>836</v>
      </c>
      <c r="U1754" t="str">
        <f t="shared" si="496"/>
        <v>2500-12-31 00:00:00.0</v>
      </c>
      <c r="V1754" t="s">
        <v>837</v>
      </c>
      <c r="W1754" t="str">
        <f t="shared" si="498"/>
        <v>048314-038430-**-**</v>
      </c>
      <c r="X1754" t="s">
        <v>838</v>
      </c>
      <c r="Y1754">
        <v>1206.25</v>
      </c>
      <c r="Z1754">
        <v>1206.25</v>
      </c>
      <c r="AA1754" t="str">
        <f t="shared" si="494"/>
        <v>06/08/2016</v>
      </c>
    </row>
    <row r="1755" spans="1:27" x14ac:dyDescent="0.3">
      <c r="A1755" t="str">
        <f t="shared" si="492"/>
        <v>048314</v>
      </c>
      <c r="B1755" t="str">
        <f t="shared" si="487"/>
        <v>038430</v>
      </c>
      <c r="C1755" t="s">
        <v>3505</v>
      </c>
      <c r="D1755" t="s">
        <v>3839</v>
      </c>
      <c r="E1755" t="s">
        <v>3840</v>
      </c>
      <c r="F1755" t="s">
        <v>3841</v>
      </c>
      <c r="G1755" t="s">
        <v>3842</v>
      </c>
      <c r="H1755" t="str">
        <f t="shared" si="493"/>
        <v>048314</v>
      </c>
      <c r="I1755" t="s">
        <v>833</v>
      </c>
      <c r="J1755" t="str">
        <f t="shared" si="497"/>
        <v>2015-07-01 00:00:00.0</v>
      </c>
      <c r="K1755" t="s">
        <v>834</v>
      </c>
      <c r="L1755" t="s">
        <v>0</v>
      </c>
      <c r="M1755" t="str">
        <f t="shared" si="490"/>
        <v>048314</v>
      </c>
      <c r="N1755">
        <v>1</v>
      </c>
      <c r="O1755">
        <v>1</v>
      </c>
      <c r="P1755" t="str">
        <f>"04"</f>
        <v>04</v>
      </c>
      <c r="Q1755" t="s">
        <v>835</v>
      </c>
      <c r="S1755" t="s">
        <v>836</v>
      </c>
      <c r="T1755" t="s">
        <v>836</v>
      </c>
      <c r="U1755" t="str">
        <f t="shared" si="496"/>
        <v>2500-12-31 00:00:00.0</v>
      </c>
      <c r="V1755" t="s">
        <v>837</v>
      </c>
      <c r="W1755" t="str">
        <f t="shared" si="498"/>
        <v>048314-038430-**-**</v>
      </c>
      <c r="X1755" t="s">
        <v>838</v>
      </c>
      <c r="Y1755">
        <v>1206.25</v>
      </c>
      <c r="Z1755">
        <v>1206.25</v>
      </c>
      <c r="AA1755" t="str">
        <f t="shared" si="494"/>
        <v>06/08/2016</v>
      </c>
    </row>
    <row r="1756" spans="1:27" x14ac:dyDescent="0.3">
      <c r="A1756" t="str">
        <f t="shared" si="492"/>
        <v>048314</v>
      </c>
      <c r="B1756" t="str">
        <f t="shared" si="487"/>
        <v>038430</v>
      </c>
      <c r="C1756" t="s">
        <v>3530</v>
      </c>
      <c r="D1756" t="s">
        <v>3839</v>
      </c>
      <c r="E1756" t="s">
        <v>3840</v>
      </c>
      <c r="F1756" t="s">
        <v>3841</v>
      </c>
      <c r="G1756" t="s">
        <v>3842</v>
      </c>
      <c r="H1756" t="str">
        <f t="shared" si="493"/>
        <v>048314</v>
      </c>
      <c r="I1756" t="s">
        <v>833</v>
      </c>
      <c r="J1756" t="str">
        <f t="shared" si="497"/>
        <v>2015-07-01 00:00:00.0</v>
      </c>
      <c r="K1756" t="s">
        <v>834</v>
      </c>
      <c r="L1756" t="s">
        <v>0</v>
      </c>
      <c r="M1756" t="str">
        <f t="shared" si="490"/>
        <v>048314</v>
      </c>
      <c r="N1756">
        <v>1</v>
      </c>
      <c r="O1756">
        <v>1</v>
      </c>
      <c r="P1756" t="str">
        <f>"04"</f>
        <v>04</v>
      </c>
      <c r="Q1756" t="s">
        <v>835</v>
      </c>
      <c r="S1756" t="s">
        <v>836</v>
      </c>
      <c r="T1756" t="s">
        <v>836</v>
      </c>
      <c r="U1756" t="str">
        <f t="shared" si="496"/>
        <v>2500-12-31 00:00:00.0</v>
      </c>
      <c r="V1756" t="s">
        <v>837</v>
      </c>
      <c r="W1756" t="str">
        <f t="shared" si="498"/>
        <v>048314-038430-**-**</v>
      </c>
      <c r="X1756" t="s">
        <v>838</v>
      </c>
      <c r="Y1756">
        <v>1206.25</v>
      </c>
      <c r="Z1756">
        <v>1206.25</v>
      </c>
      <c r="AA1756" t="str">
        <f t="shared" si="494"/>
        <v>06/08/2016</v>
      </c>
    </row>
    <row r="1757" spans="1:27" x14ac:dyDescent="0.3">
      <c r="A1757" t="str">
        <f t="shared" si="492"/>
        <v>048314</v>
      </c>
      <c r="B1757" t="str">
        <f t="shared" si="487"/>
        <v>038430</v>
      </c>
      <c r="C1757" t="s">
        <v>3663</v>
      </c>
      <c r="D1757" t="s">
        <v>3839</v>
      </c>
      <c r="E1757" t="s">
        <v>3840</v>
      </c>
      <c r="F1757" t="s">
        <v>3841</v>
      </c>
      <c r="G1757" t="s">
        <v>3842</v>
      </c>
      <c r="H1757" t="str">
        <f>"048280"</f>
        <v>048280</v>
      </c>
      <c r="I1757" t="s">
        <v>833</v>
      </c>
      <c r="J1757" t="str">
        <f t="shared" si="497"/>
        <v>2015-07-01 00:00:00.0</v>
      </c>
      <c r="K1757" t="s">
        <v>834</v>
      </c>
      <c r="L1757" t="s">
        <v>142</v>
      </c>
      <c r="M1757" t="str">
        <f t="shared" si="490"/>
        <v>048314</v>
      </c>
      <c r="N1757">
        <v>1</v>
      </c>
      <c r="O1757">
        <v>1</v>
      </c>
      <c r="P1757" t="s">
        <v>841</v>
      </c>
      <c r="Q1757" t="str">
        <f>"05"</f>
        <v>05</v>
      </c>
      <c r="R1757" t="str">
        <f>"1"</f>
        <v>1</v>
      </c>
      <c r="S1757" t="s">
        <v>836</v>
      </c>
      <c r="T1757" t="s">
        <v>836</v>
      </c>
      <c r="U1757" t="str">
        <f t="shared" si="496"/>
        <v>2500-12-31 00:00:00.0</v>
      </c>
      <c r="V1757" t="s">
        <v>837</v>
      </c>
      <c r="W1757" t="str">
        <f>"048280-048280-PS-IC"</f>
        <v>048280-048280-PS-IC</v>
      </c>
      <c r="X1757" t="s">
        <v>838</v>
      </c>
      <c r="Y1757">
        <v>39</v>
      </c>
      <c r="Z1757">
        <v>39</v>
      </c>
      <c r="AA1757" t="str">
        <f>"06/15/2016"</f>
        <v>06/15/2016</v>
      </c>
    </row>
    <row r="1758" spans="1:27" x14ac:dyDescent="0.3">
      <c r="A1758" t="str">
        <f t="shared" si="492"/>
        <v>048314</v>
      </c>
      <c r="B1758" t="str">
        <f t="shared" si="487"/>
        <v>038430</v>
      </c>
      <c r="C1758" t="s">
        <v>3211</v>
      </c>
      <c r="D1758" t="s">
        <v>3839</v>
      </c>
      <c r="E1758" t="s">
        <v>3840</v>
      </c>
      <c r="F1758" t="s">
        <v>3841</v>
      </c>
      <c r="G1758" t="s">
        <v>3842</v>
      </c>
      <c r="H1758" t="str">
        <f t="shared" ref="H1758:H1777" si="499">"048314"</f>
        <v>048314</v>
      </c>
      <c r="I1758" t="s">
        <v>833</v>
      </c>
      <c r="J1758" t="str">
        <f t="shared" si="497"/>
        <v>2015-07-01 00:00:00.0</v>
      </c>
      <c r="K1758" t="s">
        <v>834</v>
      </c>
      <c r="L1758" t="s">
        <v>0</v>
      </c>
      <c r="M1758" t="str">
        <f t="shared" si="490"/>
        <v>048314</v>
      </c>
      <c r="N1758">
        <v>1</v>
      </c>
      <c r="O1758">
        <v>1</v>
      </c>
      <c r="P1758" t="str">
        <f>"03"</f>
        <v>03</v>
      </c>
      <c r="Q1758" t="s">
        <v>835</v>
      </c>
      <c r="S1758" t="s">
        <v>836</v>
      </c>
      <c r="T1758" t="s">
        <v>836</v>
      </c>
      <c r="U1758" t="str">
        <f t="shared" si="496"/>
        <v>2500-12-31 00:00:00.0</v>
      </c>
      <c r="V1758" t="s">
        <v>837</v>
      </c>
      <c r="W1758" t="str">
        <f t="shared" ref="W1758:W1766" si="500">"048314-038430-**-**"</f>
        <v>048314-038430-**-**</v>
      </c>
      <c r="X1758" t="s">
        <v>838</v>
      </c>
      <c r="Y1758">
        <v>1206.25</v>
      </c>
      <c r="Z1758">
        <v>1206.25</v>
      </c>
      <c r="AA1758" t="str">
        <f t="shared" ref="AA1758:AA1777" si="501">"06/08/2016"</f>
        <v>06/08/2016</v>
      </c>
    </row>
    <row r="1759" spans="1:27" x14ac:dyDescent="0.3">
      <c r="A1759" t="str">
        <f t="shared" si="492"/>
        <v>048314</v>
      </c>
      <c r="B1759" t="str">
        <f t="shared" si="487"/>
        <v>038430</v>
      </c>
      <c r="C1759" t="s">
        <v>1500</v>
      </c>
      <c r="D1759" t="s">
        <v>3839</v>
      </c>
      <c r="E1759" t="s">
        <v>3840</v>
      </c>
      <c r="F1759" t="s">
        <v>3841</v>
      </c>
      <c r="G1759" t="s">
        <v>3842</v>
      </c>
      <c r="H1759" t="str">
        <f t="shared" si="499"/>
        <v>048314</v>
      </c>
      <c r="I1759" t="s">
        <v>833</v>
      </c>
      <c r="J1759" t="str">
        <f>"2015-08-01 00:00:00.0"</f>
        <v>2015-08-01 00:00:00.0</v>
      </c>
      <c r="K1759" t="s">
        <v>834</v>
      </c>
      <c r="L1759" t="s">
        <v>0</v>
      </c>
      <c r="M1759" t="str">
        <f t="shared" si="490"/>
        <v>048314</v>
      </c>
      <c r="N1759">
        <v>1</v>
      </c>
      <c r="O1759">
        <v>1</v>
      </c>
      <c r="P1759" t="str">
        <f>"02"</f>
        <v>02</v>
      </c>
      <c r="Q1759" t="s">
        <v>835</v>
      </c>
      <c r="S1759" t="s">
        <v>836</v>
      </c>
      <c r="T1759" t="s">
        <v>836</v>
      </c>
      <c r="U1759" t="str">
        <f t="shared" si="496"/>
        <v>2500-12-31 00:00:00.0</v>
      </c>
      <c r="V1759" t="s">
        <v>837</v>
      </c>
      <c r="W1759" t="str">
        <f t="shared" si="500"/>
        <v>048314-038430-**-**</v>
      </c>
      <c r="X1759" t="s">
        <v>838</v>
      </c>
      <c r="Y1759">
        <v>1206.25</v>
      </c>
      <c r="Z1759">
        <v>1206.25</v>
      </c>
      <c r="AA1759" t="str">
        <f t="shared" si="501"/>
        <v>06/08/2016</v>
      </c>
    </row>
    <row r="1760" spans="1:27" x14ac:dyDescent="0.3">
      <c r="A1760" t="str">
        <f t="shared" si="492"/>
        <v>048314</v>
      </c>
      <c r="B1760" t="str">
        <f t="shared" si="487"/>
        <v>038430</v>
      </c>
      <c r="C1760" t="s">
        <v>3416</v>
      </c>
      <c r="D1760" t="s">
        <v>3839</v>
      </c>
      <c r="E1760" t="s">
        <v>3840</v>
      </c>
      <c r="F1760" t="s">
        <v>3841</v>
      </c>
      <c r="G1760" t="s">
        <v>3842</v>
      </c>
      <c r="H1760" t="str">
        <f t="shared" si="499"/>
        <v>048314</v>
      </c>
      <c r="I1760" t="s">
        <v>833</v>
      </c>
      <c r="J1760" t="str">
        <f t="shared" ref="J1760:J1771" si="502">"2015-07-01 00:00:00.0"</f>
        <v>2015-07-01 00:00:00.0</v>
      </c>
      <c r="K1760" t="s">
        <v>834</v>
      </c>
      <c r="L1760" t="s">
        <v>0</v>
      </c>
      <c r="M1760" t="str">
        <f t="shared" si="490"/>
        <v>048314</v>
      </c>
      <c r="N1760">
        <v>1</v>
      </c>
      <c r="O1760">
        <v>1</v>
      </c>
      <c r="P1760" t="str">
        <f>"04"</f>
        <v>04</v>
      </c>
      <c r="Q1760" t="s">
        <v>835</v>
      </c>
      <c r="S1760" t="s">
        <v>836</v>
      </c>
      <c r="T1760" t="s">
        <v>836</v>
      </c>
      <c r="U1760" t="str">
        <f t="shared" si="496"/>
        <v>2500-12-31 00:00:00.0</v>
      </c>
      <c r="V1760" t="s">
        <v>837</v>
      </c>
      <c r="W1760" t="str">
        <f t="shared" si="500"/>
        <v>048314-038430-**-**</v>
      </c>
      <c r="X1760" t="s">
        <v>838</v>
      </c>
      <c r="Y1760">
        <v>1206.25</v>
      </c>
      <c r="Z1760">
        <v>1206.25</v>
      </c>
      <c r="AA1760" t="str">
        <f t="shared" si="501"/>
        <v>06/08/2016</v>
      </c>
    </row>
    <row r="1761" spans="1:27" x14ac:dyDescent="0.3">
      <c r="A1761" t="str">
        <f t="shared" si="492"/>
        <v>048314</v>
      </c>
      <c r="B1761" t="str">
        <f t="shared" si="487"/>
        <v>038430</v>
      </c>
      <c r="C1761" t="s">
        <v>1275</v>
      </c>
      <c r="D1761" t="s">
        <v>3839</v>
      </c>
      <c r="E1761" t="s">
        <v>3840</v>
      </c>
      <c r="F1761" t="s">
        <v>3841</v>
      </c>
      <c r="G1761" t="s">
        <v>3842</v>
      </c>
      <c r="H1761" t="str">
        <f t="shared" si="499"/>
        <v>048314</v>
      </c>
      <c r="I1761" t="s">
        <v>833</v>
      </c>
      <c r="J1761" t="str">
        <f t="shared" si="502"/>
        <v>2015-07-01 00:00:00.0</v>
      </c>
      <c r="K1761" t="s">
        <v>834</v>
      </c>
      <c r="L1761" t="s">
        <v>0</v>
      </c>
      <c r="M1761" t="str">
        <f t="shared" si="490"/>
        <v>048314</v>
      </c>
      <c r="N1761">
        <v>1</v>
      </c>
      <c r="O1761">
        <v>1</v>
      </c>
      <c r="P1761" t="str">
        <f>"02"</f>
        <v>02</v>
      </c>
      <c r="Q1761" t="s">
        <v>835</v>
      </c>
      <c r="S1761" t="s">
        <v>836</v>
      </c>
      <c r="T1761" t="s">
        <v>836</v>
      </c>
      <c r="U1761" t="str">
        <f t="shared" si="496"/>
        <v>2500-12-31 00:00:00.0</v>
      </c>
      <c r="V1761" t="s">
        <v>837</v>
      </c>
      <c r="W1761" t="str">
        <f t="shared" si="500"/>
        <v>048314-038430-**-**</v>
      </c>
      <c r="X1761" t="s">
        <v>838</v>
      </c>
      <c r="Y1761">
        <v>1206.25</v>
      </c>
      <c r="Z1761">
        <v>1206.25</v>
      </c>
      <c r="AA1761" t="str">
        <f t="shared" si="501"/>
        <v>06/08/2016</v>
      </c>
    </row>
    <row r="1762" spans="1:27" x14ac:dyDescent="0.3">
      <c r="A1762" t="str">
        <f t="shared" si="492"/>
        <v>048314</v>
      </c>
      <c r="B1762" t="str">
        <f t="shared" si="487"/>
        <v>038430</v>
      </c>
      <c r="C1762" t="s">
        <v>3181</v>
      </c>
      <c r="D1762" t="s">
        <v>3839</v>
      </c>
      <c r="E1762" t="s">
        <v>3840</v>
      </c>
      <c r="F1762" t="s">
        <v>3841</v>
      </c>
      <c r="G1762" t="s">
        <v>3842</v>
      </c>
      <c r="H1762" t="str">
        <f t="shared" si="499"/>
        <v>048314</v>
      </c>
      <c r="I1762" t="s">
        <v>833</v>
      </c>
      <c r="J1762" t="str">
        <f t="shared" si="502"/>
        <v>2015-07-01 00:00:00.0</v>
      </c>
      <c r="K1762" t="s">
        <v>834</v>
      </c>
      <c r="L1762" t="s">
        <v>0</v>
      </c>
      <c r="M1762" t="str">
        <f t="shared" si="490"/>
        <v>048314</v>
      </c>
      <c r="N1762">
        <v>1</v>
      </c>
      <c r="O1762">
        <v>1</v>
      </c>
      <c r="P1762" t="str">
        <f>"04"</f>
        <v>04</v>
      </c>
      <c r="Q1762" t="s">
        <v>835</v>
      </c>
      <c r="S1762" t="s">
        <v>836</v>
      </c>
      <c r="T1762" t="s">
        <v>836</v>
      </c>
      <c r="U1762" t="str">
        <f t="shared" si="496"/>
        <v>2500-12-31 00:00:00.0</v>
      </c>
      <c r="V1762" t="s">
        <v>837</v>
      </c>
      <c r="W1762" t="str">
        <f t="shared" si="500"/>
        <v>048314-038430-**-**</v>
      </c>
      <c r="X1762" t="s">
        <v>838</v>
      </c>
      <c r="Y1762">
        <v>1206.25</v>
      </c>
      <c r="Z1762">
        <v>1206.25</v>
      </c>
      <c r="AA1762" t="str">
        <f t="shared" si="501"/>
        <v>06/08/2016</v>
      </c>
    </row>
    <row r="1763" spans="1:27" x14ac:dyDescent="0.3">
      <c r="A1763" t="str">
        <f t="shared" si="492"/>
        <v>048314</v>
      </c>
      <c r="B1763" t="str">
        <f t="shared" si="487"/>
        <v>038430</v>
      </c>
      <c r="C1763" t="s">
        <v>3263</v>
      </c>
      <c r="D1763" t="s">
        <v>3839</v>
      </c>
      <c r="E1763" t="s">
        <v>3840</v>
      </c>
      <c r="F1763" t="s">
        <v>3841</v>
      </c>
      <c r="G1763" t="s">
        <v>3842</v>
      </c>
      <c r="H1763" t="str">
        <f t="shared" si="499"/>
        <v>048314</v>
      </c>
      <c r="I1763" t="s">
        <v>833</v>
      </c>
      <c r="J1763" t="str">
        <f t="shared" si="502"/>
        <v>2015-07-01 00:00:00.0</v>
      </c>
      <c r="K1763" t="s">
        <v>834</v>
      </c>
      <c r="L1763" t="s">
        <v>0</v>
      </c>
      <c r="M1763" t="str">
        <f t="shared" si="490"/>
        <v>048314</v>
      </c>
      <c r="N1763">
        <v>1</v>
      </c>
      <c r="O1763">
        <v>1</v>
      </c>
      <c r="P1763" t="str">
        <f>"04"</f>
        <v>04</v>
      </c>
      <c r="Q1763" t="s">
        <v>835</v>
      </c>
      <c r="S1763" t="s">
        <v>836</v>
      </c>
      <c r="T1763" t="s">
        <v>836</v>
      </c>
      <c r="U1763" t="str">
        <f t="shared" si="496"/>
        <v>2500-12-31 00:00:00.0</v>
      </c>
      <c r="V1763" t="s">
        <v>837</v>
      </c>
      <c r="W1763" t="str">
        <f t="shared" si="500"/>
        <v>048314-038430-**-**</v>
      </c>
      <c r="X1763" t="s">
        <v>838</v>
      </c>
      <c r="Y1763">
        <v>1206.25</v>
      </c>
      <c r="Z1763">
        <v>1206.25</v>
      </c>
      <c r="AA1763" t="str">
        <f t="shared" si="501"/>
        <v>06/08/2016</v>
      </c>
    </row>
    <row r="1764" spans="1:27" x14ac:dyDescent="0.3">
      <c r="A1764" t="str">
        <f t="shared" si="492"/>
        <v>048314</v>
      </c>
      <c r="B1764" t="str">
        <f t="shared" ref="B1764:B1827" si="503">"038430"</f>
        <v>038430</v>
      </c>
      <c r="C1764" t="s">
        <v>3127</v>
      </c>
      <c r="D1764" t="s">
        <v>3839</v>
      </c>
      <c r="E1764" t="s">
        <v>3840</v>
      </c>
      <c r="F1764" t="s">
        <v>3841</v>
      </c>
      <c r="G1764" t="s">
        <v>3842</v>
      </c>
      <c r="H1764" t="str">
        <f t="shared" si="499"/>
        <v>048314</v>
      </c>
      <c r="I1764" t="s">
        <v>833</v>
      </c>
      <c r="J1764" t="str">
        <f t="shared" si="502"/>
        <v>2015-07-01 00:00:00.0</v>
      </c>
      <c r="K1764" t="s">
        <v>834</v>
      </c>
      <c r="L1764" t="s">
        <v>0</v>
      </c>
      <c r="M1764" t="str">
        <f t="shared" si="490"/>
        <v>048314</v>
      </c>
      <c r="N1764">
        <v>1</v>
      </c>
      <c r="O1764">
        <v>1</v>
      </c>
      <c r="P1764" t="str">
        <f>"04"</f>
        <v>04</v>
      </c>
      <c r="Q1764" t="str">
        <f>"10"</f>
        <v>10</v>
      </c>
      <c r="R1764" t="str">
        <f>"2"</f>
        <v>2</v>
      </c>
      <c r="S1764" t="s">
        <v>836</v>
      </c>
      <c r="T1764" t="s">
        <v>836</v>
      </c>
      <c r="U1764" t="str">
        <f t="shared" si="496"/>
        <v>2500-12-31 00:00:00.0</v>
      </c>
      <c r="V1764" t="s">
        <v>837</v>
      </c>
      <c r="W1764" t="str">
        <f t="shared" si="500"/>
        <v>048314-038430-**-**</v>
      </c>
      <c r="X1764" t="s">
        <v>838</v>
      </c>
      <c r="Y1764">
        <v>1206.25</v>
      </c>
      <c r="Z1764">
        <v>1206.25</v>
      </c>
      <c r="AA1764" t="str">
        <f t="shared" si="501"/>
        <v>06/08/2016</v>
      </c>
    </row>
    <row r="1765" spans="1:27" x14ac:dyDescent="0.3">
      <c r="A1765" t="str">
        <f t="shared" si="492"/>
        <v>048314</v>
      </c>
      <c r="B1765" t="str">
        <f t="shared" si="503"/>
        <v>038430</v>
      </c>
      <c r="C1765" t="s">
        <v>3559</v>
      </c>
      <c r="D1765" t="s">
        <v>3839</v>
      </c>
      <c r="E1765" t="s">
        <v>3840</v>
      </c>
      <c r="F1765" t="s">
        <v>3841</v>
      </c>
      <c r="G1765" t="s">
        <v>3842</v>
      </c>
      <c r="H1765" t="str">
        <f t="shared" si="499"/>
        <v>048314</v>
      </c>
      <c r="I1765" t="s">
        <v>833</v>
      </c>
      <c r="J1765" t="str">
        <f t="shared" si="502"/>
        <v>2015-07-01 00:00:00.0</v>
      </c>
      <c r="K1765" t="s">
        <v>834</v>
      </c>
      <c r="L1765" t="s">
        <v>0</v>
      </c>
      <c r="M1765" t="str">
        <f t="shared" si="490"/>
        <v>048314</v>
      </c>
      <c r="N1765">
        <v>1</v>
      </c>
      <c r="O1765">
        <v>1</v>
      </c>
      <c r="P1765" t="str">
        <f>"03"</f>
        <v>03</v>
      </c>
      <c r="Q1765" t="s">
        <v>835</v>
      </c>
      <c r="S1765" t="s">
        <v>836</v>
      </c>
      <c r="T1765" t="s">
        <v>836</v>
      </c>
      <c r="U1765" t="str">
        <f t="shared" si="496"/>
        <v>2500-12-31 00:00:00.0</v>
      </c>
      <c r="V1765" t="s">
        <v>837</v>
      </c>
      <c r="W1765" t="str">
        <f t="shared" si="500"/>
        <v>048314-038430-**-**</v>
      </c>
      <c r="X1765" t="s">
        <v>838</v>
      </c>
      <c r="Y1765">
        <v>1206.25</v>
      </c>
      <c r="Z1765">
        <v>1206.25</v>
      </c>
      <c r="AA1765" t="str">
        <f t="shared" si="501"/>
        <v>06/08/2016</v>
      </c>
    </row>
    <row r="1766" spans="1:27" x14ac:dyDescent="0.3">
      <c r="A1766" t="str">
        <f t="shared" si="492"/>
        <v>048314</v>
      </c>
      <c r="B1766" t="str">
        <f t="shared" si="503"/>
        <v>038430</v>
      </c>
      <c r="C1766" t="s">
        <v>2522</v>
      </c>
      <c r="D1766" t="s">
        <v>3839</v>
      </c>
      <c r="E1766" t="s">
        <v>3840</v>
      </c>
      <c r="F1766" t="s">
        <v>3841</v>
      </c>
      <c r="G1766" t="s">
        <v>3842</v>
      </c>
      <c r="H1766" t="str">
        <f t="shared" si="499"/>
        <v>048314</v>
      </c>
      <c r="I1766" t="s">
        <v>833</v>
      </c>
      <c r="J1766" t="str">
        <f t="shared" si="502"/>
        <v>2015-07-01 00:00:00.0</v>
      </c>
      <c r="K1766" t="s">
        <v>834</v>
      </c>
      <c r="L1766" t="s">
        <v>0</v>
      </c>
      <c r="M1766" t="str">
        <f t="shared" si="490"/>
        <v>048314</v>
      </c>
      <c r="N1766">
        <v>1</v>
      </c>
      <c r="O1766">
        <v>1</v>
      </c>
      <c r="P1766" t="str">
        <f>"04"</f>
        <v>04</v>
      </c>
      <c r="Q1766" t="s">
        <v>835</v>
      </c>
      <c r="S1766" t="s">
        <v>836</v>
      </c>
      <c r="T1766" t="s">
        <v>836</v>
      </c>
      <c r="U1766" t="str">
        <f t="shared" si="496"/>
        <v>2500-12-31 00:00:00.0</v>
      </c>
      <c r="V1766" t="s">
        <v>837</v>
      </c>
      <c r="W1766" t="str">
        <f t="shared" si="500"/>
        <v>048314-038430-**-**</v>
      </c>
      <c r="X1766" t="s">
        <v>838</v>
      </c>
      <c r="Y1766">
        <v>1206.25</v>
      </c>
      <c r="Z1766">
        <v>1206.25</v>
      </c>
      <c r="AA1766" t="str">
        <f t="shared" si="501"/>
        <v>06/08/2016</v>
      </c>
    </row>
    <row r="1767" spans="1:27" x14ac:dyDescent="0.3">
      <c r="A1767" t="str">
        <f t="shared" si="492"/>
        <v>048314</v>
      </c>
      <c r="B1767" t="str">
        <f t="shared" si="503"/>
        <v>038430</v>
      </c>
      <c r="C1767" t="s">
        <v>3409</v>
      </c>
      <c r="D1767" t="s">
        <v>3839</v>
      </c>
      <c r="E1767" t="s">
        <v>3840</v>
      </c>
      <c r="F1767" t="s">
        <v>3841</v>
      </c>
      <c r="G1767" t="s">
        <v>3842</v>
      </c>
      <c r="H1767" t="str">
        <f t="shared" si="499"/>
        <v>048314</v>
      </c>
      <c r="I1767" t="s">
        <v>833</v>
      </c>
      <c r="J1767" t="str">
        <f t="shared" si="502"/>
        <v>2015-07-01 00:00:00.0</v>
      </c>
      <c r="K1767" t="s">
        <v>834</v>
      </c>
      <c r="L1767" t="s">
        <v>0</v>
      </c>
      <c r="M1767" t="str">
        <f t="shared" si="490"/>
        <v>048314</v>
      </c>
      <c r="N1767">
        <v>1</v>
      </c>
      <c r="O1767">
        <v>1</v>
      </c>
      <c r="P1767" t="str">
        <f>"05"</f>
        <v>05</v>
      </c>
      <c r="Q1767" t="str">
        <f>"15"</f>
        <v>15</v>
      </c>
      <c r="R1767" t="str">
        <f>"2"</f>
        <v>2</v>
      </c>
      <c r="S1767" t="s">
        <v>836</v>
      </c>
      <c r="T1767" t="s">
        <v>836</v>
      </c>
      <c r="U1767" t="str">
        <f t="shared" si="496"/>
        <v>2500-12-31 00:00:00.0</v>
      </c>
      <c r="V1767" t="s">
        <v>837</v>
      </c>
      <c r="W1767" t="str">
        <f>"048314-070417-**-**"</f>
        <v>048314-070417-**-**</v>
      </c>
      <c r="X1767" t="s">
        <v>838</v>
      </c>
      <c r="Y1767">
        <v>1125</v>
      </c>
      <c r="Z1767">
        <v>1125</v>
      </c>
      <c r="AA1767" t="str">
        <f t="shared" si="501"/>
        <v>06/08/2016</v>
      </c>
    </row>
    <row r="1768" spans="1:27" x14ac:dyDescent="0.3">
      <c r="A1768" t="str">
        <f t="shared" si="492"/>
        <v>048314</v>
      </c>
      <c r="B1768" t="str">
        <f t="shared" si="503"/>
        <v>038430</v>
      </c>
      <c r="C1768" t="s">
        <v>3410</v>
      </c>
      <c r="D1768" t="s">
        <v>3839</v>
      </c>
      <c r="E1768" t="s">
        <v>3840</v>
      </c>
      <c r="F1768" t="s">
        <v>3841</v>
      </c>
      <c r="G1768" t="s">
        <v>3842</v>
      </c>
      <c r="H1768" t="str">
        <f t="shared" si="499"/>
        <v>048314</v>
      </c>
      <c r="I1768" t="s">
        <v>833</v>
      </c>
      <c r="J1768" t="str">
        <f t="shared" si="502"/>
        <v>2015-07-01 00:00:00.0</v>
      </c>
      <c r="K1768" t="s">
        <v>834</v>
      </c>
      <c r="L1768" t="s">
        <v>0</v>
      </c>
      <c r="M1768" t="str">
        <f t="shared" si="490"/>
        <v>048314</v>
      </c>
      <c r="N1768">
        <v>1</v>
      </c>
      <c r="O1768">
        <v>1</v>
      </c>
      <c r="P1768" t="str">
        <f>"05"</f>
        <v>05</v>
      </c>
      <c r="Q1768" t="str">
        <f>"10"</f>
        <v>10</v>
      </c>
      <c r="R1768" t="str">
        <f>"2"</f>
        <v>2</v>
      </c>
      <c r="S1768" t="s">
        <v>836</v>
      </c>
      <c r="T1768" t="s">
        <v>836</v>
      </c>
      <c r="U1768" t="str">
        <f t="shared" si="496"/>
        <v>2500-12-31 00:00:00.0</v>
      </c>
      <c r="V1768" t="s">
        <v>837</v>
      </c>
      <c r="W1768" t="str">
        <f>"048314-070417-**-**"</f>
        <v>048314-070417-**-**</v>
      </c>
      <c r="X1768" t="s">
        <v>838</v>
      </c>
      <c r="Y1768">
        <v>1125</v>
      </c>
      <c r="Z1768">
        <v>1125</v>
      </c>
      <c r="AA1768" t="str">
        <f t="shared" si="501"/>
        <v>06/08/2016</v>
      </c>
    </row>
    <row r="1769" spans="1:27" x14ac:dyDescent="0.3">
      <c r="A1769" t="str">
        <f t="shared" si="492"/>
        <v>048314</v>
      </c>
      <c r="B1769" t="str">
        <f t="shared" si="503"/>
        <v>038430</v>
      </c>
      <c r="C1769" t="s">
        <v>3120</v>
      </c>
      <c r="D1769" t="s">
        <v>3839</v>
      </c>
      <c r="E1769" t="s">
        <v>3840</v>
      </c>
      <c r="F1769" t="s">
        <v>3841</v>
      </c>
      <c r="G1769" t="s">
        <v>3842</v>
      </c>
      <c r="H1769" t="str">
        <f t="shared" si="499"/>
        <v>048314</v>
      </c>
      <c r="I1769" t="s">
        <v>833</v>
      </c>
      <c r="J1769" t="str">
        <f t="shared" si="502"/>
        <v>2015-07-01 00:00:00.0</v>
      </c>
      <c r="K1769" t="s">
        <v>834</v>
      </c>
      <c r="L1769" t="s">
        <v>0</v>
      </c>
      <c r="M1769" t="str">
        <f t="shared" si="490"/>
        <v>048314</v>
      </c>
      <c r="N1769">
        <v>1</v>
      </c>
      <c r="O1769">
        <v>1</v>
      </c>
      <c r="P1769" t="str">
        <f>"02"</f>
        <v>02</v>
      </c>
      <c r="Q1769" t="s">
        <v>835</v>
      </c>
      <c r="S1769" t="s">
        <v>836</v>
      </c>
      <c r="T1769" t="s">
        <v>836</v>
      </c>
      <c r="U1769" t="str">
        <f t="shared" si="496"/>
        <v>2500-12-31 00:00:00.0</v>
      </c>
      <c r="V1769" t="s">
        <v>837</v>
      </c>
      <c r="W1769" t="str">
        <f t="shared" ref="W1769:W1777" si="504">"048314-038430-**-**"</f>
        <v>048314-038430-**-**</v>
      </c>
      <c r="X1769" t="s">
        <v>838</v>
      </c>
      <c r="Y1769">
        <v>1206.25</v>
      </c>
      <c r="Z1769">
        <v>1206.25</v>
      </c>
      <c r="AA1769" t="str">
        <f t="shared" si="501"/>
        <v>06/08/2016</v>
      </c>
    </row>
    <row r="1770" spans="1:27" x14ac:dyDescent="0.3">
      <c r="A1770" t="str">
        <f t="shared" si="492"/>
        <v>048314</v>
      </c>
      <c r="B1770" t="str">
        <f t="shared" si="503"/>
        <v>038430</v>
      </c>
      <c r="C1770" t="s">
        <v>2564</v>
      </c>
      <c r="D1770" t="s">
        <v>3839</v>
      </c>
      <c r="E1770" t="s">
        <v>3840</v>
      </c>
      <c r="F1770" t="s">
        <v>3841</v>
      </c>
      <c r="G1770" t="s">
        <v>3842</v>
      </c>
      <c r="H1770" t="str">
        <f t="shared" si="499"/>
        <v>048314</v>
      </c>
      <c r="I1770" t="s">
        <v>833</v>
      </c>
      <c r="J1770" t="str">
        <f t="shared" si="502"/>
        <v>2015-07-01 00:00:00.0</v>
      </c>
      <c r="K1770" t="s">
        <v>834</v>
      </c>
      <c r="L1770" t="s">
        <v>0</v>
      </c>
      <c r="M1770" t="str">
        <f t="shared" si="490"/>
        <v>048314</v>
      </c>
      <c r="N1770">
        <v>1</v>
      </c>
      <c r="O1770">
        <v>1</v>
      </c>
      <c r="P1770" t="str">
        <f>"04"</f>
        <v>04</v>
      </c>
      <c r="Q1770" t="s">
        <v>835</v>
      </c>
      <c r="S1770" t="s">
        <v>836</v>
      </c>
      <c r="T1770" t="s">
        <v>836</v>
      </c>
      <c r="U1770" t="str">
        <f t="shared" si="496"/>
        <v>2500-12-31 00:00:00.0</v>
      </c>
      <c r="V1770" t="s">
        <v>837</v>
      </c>
      <c r="W1770" t="str">
        <f t="shared" si="504"/>
        <v>048314-038430-**-**</v>
      </c>
      <c r="X1770" t="s">
        <v>838</v>
      </c>
      <c r="Y1770">
        <v>1206.25</v>
      </c>
      <c r="Z1770">
        <v>1206.25</v>
      </c>
      <c r="AA1770" t="str">
        <f t="shared" si="501"/>
        <v>06/08/2016</v>
      </c>
    </row>
    <row r="1771" spans="1:27" x14ac:dyDescent="0.3">
      <c r="A1771" t="str">
        <f t="shared" si="492"/>
        <v>048314</v>
      </c>
      <c r="B1771" t="str">
        <f t="shared" si="503"/>
        <v>038430</v>
      </c>
      <c r="C1771" t="s">
        <v>3331</v>
      </c>
      <c r="D1771" t="s">
        <v>3839</v>
      </c>
      <c r="E1771" t="s">
        <v>3840</v>
      </c>
      <c r="F1771" t="s">
        <v>3841</v>
      </c>
      <c r="G1771" t="s">
        <v>3842</v>
      </c>
      <c r="H1771" t="str">
        <f t="shared" si="499"/>
        <v>048314</v>
      </c>
      <c r="I1771" t="s">
        <v>833</v>
      </c>
      <c r="J1771" t="str">
        <f t="shared" si="502"/>
        <v>2015-07-01 00:00:00.0</v>
      </c>
      <c r="K1771" t="s">
        <v>834</v>
      </c>
      <c r="L1771" t="s">
        <v>0</v>
      </c>
      <c r="M1771" t="str">
        <f t="shared" si="490"/>
        <v>048314</v>
      </c>
      <c r="N1771">
        <v>1</v>
      </c>
      <c r="O1771">
        <v>1</v>
      </c>
      <c r="P1771" t="str">
        <f>"04"</f>
        <v>04</v>
      </c>
      <c r="Q1771" t="s">
        <v>835</v>
      </c>
      <c r="S1771" t="s">
        <v>836</v>
      </c>
      <c r="T1771" t="s">
        <v>836</v>
      </c>
      <c r="U1771" t="str">
        <f t="shared" si="496"/>
        <v>2500-12-31 00:00:00.0</v>
      </c>
      <c r="V1771" t="s">
        <v>837</v>
      </c>
      <c r="W1771" t="str">
        <f t="shared" si="504"/>
        <v>048314-038430-**-**</v>
      </c>
      <c r="X1771" t="s">
        <v>838</v>
      </c>
      <c r="Y1771">
        <v>1206.25</v>
      </c>
      <c r="Z1771">
        <v>1206.25</v>
      </c>
      <c r="AA1771" t="str">
        <f t="shared" si="501"/>
        <v>06/08/2016</v>
      </c>
    </row>
    <row r="1772" spans="1:27" x14ac:dyDescent="0.3">
      <c r="A1772" t="str">
        <f t="shared" si="492"/>
        <v>048314</v>
      </c>
      <c r="B1772" t="str">
        <f t="shared" si="503"/>
        <v>038430</v>
      </c>
      <c r="C1772" t="s">
        <v>3123</v>
      </c>
      <c r="D1772" t="s">
        <v>3839</v>
      </c>
      <c r="E1772" t="s">
        <v>3840</v>
      </c>
      <c r="F1772" t="s">
        <v>3841</v>
      </c>
      <c r="G1772" t="s">
        <v>3842</v>
      </c>
      <c r="H1772" t="str">
        <f t="shared" si="499"/>
        <v>048314</v>
      </c>
      <c r="I1772" t="s">
        <v>833</v>
      </c>
      <c r="J1772" t="str">
        <f>"2016-02-05 00:00:00.0"</f>
        <v>2016-02-05 00:00:00.0</v>
      </c>
      <c r="K1772" t="s">
        <v>834</v>
      </c>
      <c r="L1772" t="s">
        <v>0</v>
      </c>
      <c r="M1772" t="str">
        <f t="shared" si="490"/>
        <v>048314</v>
      </c>
      <c r="N1772">
        <v>0.440415</v>
      </c>
      <c r="O1772">
        <v>0.42876399999999998</v>
      </c>
      <c r="P1772" t="s">
        <v>764</v>
      </c>
      <c r="Q1772" t="s">
        <v>835</v>
      </c>
      <c r="S1772" t="s">
        <v>860</v>
      </c>
      <c r="T1772" t="s">
        <v>836</v>
      </c>
      <c r="U1772" t="str">
        <f t="shared" si="496"/>
        <v>2500-12-31 00:00:00.0</v>
      </c>
      <c r="V1772" t="s">
        <v>837</v>
      </c>
      <c r="W1772" t="str">
        <f t="shared" si="504"/>
        <v>048314-038430-**-**</v>
      </c>
      <c r="X1772" t="s">
        <v>838</v>
      </c>
      <c r="Y1772">
        <v>531.25</v>
      </c>
      <c r="Z1772">
        <v>1206.25</v>
      </c>
      <c r="AA1772" t="str">
        <f t="shared" si="501"/>
        <v>06/08/2016</v>
      </c>
    </row>
    <row r="1773" spans="1:27" x14ac:dyDescent="0.3">
      <c r="A1773" t="str">
        <f t="shared" si="492"/>
        <v>048314</v>
      </c>
      <c r="B1773" t="str">
        <f t="shared" si="503"/>
        <v>038430</v>
      </c>
      <c r="C1773" t="s">
        <v>3123</v>
      </c>
      <c r="D1773" t="s">
        <v>3839</v>
      </c>
      <c r="E1773" t="s">
        <v>3840</v>
      </c>
      <c r="F1773" t="s">
        <v>3841</v>
      </c>
      <c r="G1773" t="s">
        <v>3842</v>
      </c>
      <c r="H1773" t="str">
        <f t="shared" si="499"/>
        <v>048314</v>
      </c>
      <c r="I1773" t="s">
        <v>833</v>
      </c>
      <c r="J1773" t="str">
        <f>"2015-11-09 00:00:00.0"</f>
        <v>2015-11-09 00:00:00.0</v>
      </c>
      <c r="K1773" t="s">
        <v>834</v>
      </c>
      <c r="L1773" t="s">
        <v>0</v>
      </c>
      <c r="M1773" t="str">
        <f t="shared" si="490"/>
        <v>048314</v>
      </c>
      <c r="N1773">
        <v>0.305699</v>
      </c>
      <c r="O1773">
        <v>0.305699</v>
      </c>
      <c r="P1773" t="s">
        <v>764</v>
      </c>
      <c r="Q1773" t="s">
        <v>835</v>
      </c>
      <c r="S1773" t="s">
        <v>836</v>
      </c>
      <c r="T1773" t="s">
        <v>836</v>
      </c>
      <c r="U1773" t="str">
        <f>"2016-02-04 00:00:00.0"</f>
        <v>2016-02-04 00:00:00.0</v>
      </c>
      <c r="V1773" t="s">
        <v>837</v>
      </c>
      <c r="W1773" t="str">
        <f t="shared" si="504"/>
        <v>048314-038430-**-**</v>
      </c>
      <c r="X1773" t="s">
        <v>838</v>
      </c>
      <c r="Y1773">
        <v>368.75</v>
      </c>
      <c r="Z1773">
        <v>1206.25</v>
      </c>
      <c r="AA1773" t="str">
        <f t="shared" si="501"/>
        <v>06/08/2016</v>
      </c>
    </row>
    <row r="1774" spans="1:27" x14ac:dyDescent="0.3">
      <c r="A1774" t="str">
        <f t="shared" si="492"/>
        <v>048314</v>
      </c>
      <c r="B1774" t="str">
        <f t="shared" si="503"/>
        <v>038430</v>
      </c>
      <c r="C1774" t="s">
        <v>3543</v>
      </c>
      <c r="D1774" t="s">
        <v>3839</v>
      </c>
      <c r="E1774" t="s">
        <v>3840</v>
      </c>
      <c r="F1774" t="s">
        <v>3841</v>
      </c>
      <c r="G1774" t="s">
        <v>3842</v>
      </c>
      <c r="H1774" t="str">
        <f t="shared" si="499"/>
        <v>048314</v>
      </c>
      <c r="I1774" t="s">
        <v>833</v>
      </c>
      <c r="J1774" t="str">
        <f>"2015-07-01 00:00:00.0"</f>
        <v>2015-07-01 00:00:00.0</v>
      </c>
      <c r="K1774" t="s">
        <v>834</v>
      </c>
      <c r="L1774" t="s">
        <v>0</v>
      </c>
      <c r="M1774" t="str">
        <f t="shared" si="490"/>
        <v>048314</v>
      </c>
      <c r="N1774">
        <v>1</v>
      </c>
      <c r="O1774">
        <v>1</v>
      </c>
      <c r="P1774" t="str">
        <f>"03"</f>
        <v>03</v>
      </c>
      <c r="Q1774" t="s">
        <v>835</v>
      </c>
      <c r="S1774" t="s">
        <v>836</v>
      </c>
      <c r="T1774" t="s">
        <v>836</v>
      </c>
      <c r="U1774" t="str">
        <f>"2500-12-31 00:00:00.0"</f>
        <v>2500-12-31 00:00:00.0</v>
      </c>
      <c r="V1774" t="s">
        <v>837</v>
      </c>
      <c r="W1774" t="str">
        <f t="shared" si="504"/>
        <v>048314-038430-**-**</v>
      </c>
      <c r="X1774" t="s">
        <v>838</v>
      </c>
      <c r="Y1774">
        <v>1206.25</v>
      </c>
      <c r="Z1774">
        <v>1206.25</v>
      </c>
      <c r="AA1774" t="str">
        <f t="shared" si="501"/>
        <v>06/08/2016</v>
      </c>
    </row>
    <row r="1775" spans="1:27" x14ac:dyDescent="0.3">
      <c r="A1775" t="str">
        <f t="shared" si="492"/>
        <v>048314</v>
      </c>
      <c r="B1775" t="str">
        <f t="shared" si="503"/>
        <v>038430</v>
      </c>
      <c r="C1775" t="s">
        <v>3684</v>
      </c>
      <c r="D1775" t="s">
        <v>3839</v>
      </c>
      <c r="E1775" t="s">
        <v>3840</v>
      </c>
      <c r="F1775" t="s">
        <v>3841</v>
      </c>
      <c r="G1775" t="s">
        <v>3842</v>
      </c>
      <c r="H1775" t="str">
        <f t="shared" si="499"/>
        <v>048314</v>
      </c>
      <c r="I1775" t="s">
        <v>833</v>
      </c>
      <c r="J1775" t="str">
        <f>"2015-08-01 00:00:00.0"</f>
        <v>2015-08-01 00:00:00.0</v>
      </c>
      <c r="K1775" t="s">
        <v>834</v>
      </c>
      <c r="L1775" t="s">
        <v>0</v>
      </c>
      <c r="M1775" t="str">
        <f t="shared" si="490"/>
        <v>048314</v>
      </c>
      <c r="N1775">
        <v>1</v>
      </c>
      <c r="O1775">
        <v>1</v>
      </c>
      <c r="P1775" t="s">
        <v>764</v>
      </c>
      <c r="Q1775" t="s">
        <v>835</v>
      </c>
      <c r="S1775" t="s">
        <v>836</v>
      </c>
      <c r="T1775" t="s">
        <v>836</v>
      </c>
      <c r="U1775" t="str">
        <f>"2500-12-31 00:00:00.0"</f>
        <v>2500-12-31 00:00:00.0</v>
      </c>
      <c r="V1775" t="s">
        <v>837</v>
      </c>
      <c r="W1775" t="str">
        <f t="shared" si="504"/>
        <v>048314-038430-**-**</v>
      </c>
      <c r="X1775" t="s">
        <v>838</v>
      </c>
      <c r="Y1775">
        <v>1206.25</v>
      </c>
      <c r="Z1775">
        <v>1206.25</v>
      </c>
      <c r="AA1775" t="str">
        <f t="shared" si="501"/>
        <v>06/08/2016</v>
      </c>
    </row>
    <row r="1776" spans="1:27" x14ac:dyDescent="0.3">
      <c r="A1776" t="str">
        <f t="shared" si="492"/>
        <v>048314</v>
      </c>
      <c r="B1776" t="str">
        <f t="shared" si="503"/>
        <v>038430</v>
      </c>
      <c r="C1776" t="s">
        <v>3328</v>
      </c>
      <c r="D1776" t="s">
        <v>3839</v>
      </c>
      <c r="E1776" t="s">
        <v>3840</v>
      </c>
      <c r="F1776" t="s">
        <v>3841</v>
      </c>
      <c r="G1776" t="s">
        <v>3842</v>
      </c>
      <c r="H1776" t="str">
        <f t="shared" si="499"/>
        <v>048314</v>
      </c>
      <c r="I1776" t="s">
        <v>833</v>
      </c>
      <c r="J1776" t="str">
        <f>"2015-07-01 00:00:00.0"</f>
        <v>2015-07-01 00:00:00.0</v>
      </c>
      <c r="K1776" t="s">
        <v>834</v>
      </c>
      <c r="L1776" t="s">
        <v>0</v>
      </c>
      <c r="M1776" t="str">
        <f t="shared" si="490"/>
        <v>048314</v>
      </c>
      <c r="N1776">
        <v>1</v>
      </c>
      <c r="O1776">
        <v>1</v>
      </c>
      <c r="P1776" t="str">
        <f>"04"</f>
        <v>04</v>
      </c>
      <c r="Q1776" t="s">
        <v>835</v>
      </c>
      <c r="S1776" t="s">
        <v>836</v>
      </c>
      <c r="T1776" t="s">
        <v>836</v>
      </c>
      <c r="U1776" t="str">
        <f>"2500-12-31 00:00:00.0"</f>
        <v>2500-12-31 00:00:00.0</v>
      </c>
      <c r="V1776" t="s">
        <v>837</v>
      </c>
      <c r="W1776" t="str">
        <f t="shared" si="504"/>
        <v>048314-038430-**-**</v>
      </c>
      <c r="X1776" t="s">
        <v>838</v>
      </c>
      <c r="Y1776">
        <v>1206.25</v>
      </c>
      <c r="Z1776">
        <v>1206.25</v>
      </c>
      <c r="AA1776" t="str">
        <f t="shared" si="501"/>
        <v>06/08/2016</v>
      </c>
    </row>
    <row r="1777" spans="1:27" x14ac:dyDescent="0.3">
      <c r="A1777" t="str">
        <f t="shared" si="492"/>
        <v>048314</v>
      </c>
      <c r="B1777" t="str">
        <f t="shared" si="503"/>
        <v>038430</v>
      </c>
      <c r="C1777" t="s">
        <v>868</v>
      </c>
      <c r="D1777" t="s">
        <v>3839</v>
      </c>
      <c r="E1777" t="s">
        <v>3840</v>
      </c>
      <c r="F1777" t="s">
        <v>3841</v>
      </c>
      <c r="G1777" t="s">
        <v>3842</v>
      </c>
      <c r="H1777" t="str">
        <f t="shared" si="499"/>
        <v>048314</v>
      </c>
      <c r="I1777" t="s">
        <v>833</v>
      </c>
      <c r="J1777" t="str">
        <f>"2015-07-01 00:00:00.0"</f>
        <v>2015-07-01 00:00:00.0</v>
      </c>
      <c r="K1777" t="s">
        <v>834</v>
      </c>
      <c r="L1777" t="s">
        <v>0</v>
      </c>
      <c r="M1777" t="str">
        <f t="shared" si="490"/>
        <v>048314</v>
      </c>
      <c r="N1777">
        <v>1</v>
      </c>
      <c r="O1777">
        <v>1</v>
      </c>
      <c r="P1777" t="str">
        <f>"02"</f>
        <v>02</v>
      </c>
      <c r="Q1777" t="s">
        <v>835</v>
      </c>
      <c r="S1777" t="s">
        <v>836</v>
      </c>
      <c r="T1777" t="s">
        <v>836</v>
      </c>
      <c r="U1777" t="str">
        <f>"2500-12-31 00:00:00.0"</f>
        <v>2500-12-31 00:00:00.0</v>
      </c>
      <c r="V1777" t="s">
        <v>837</v>
      </c>
      <c r="W1777" t="str">
        <f t="shared" si="504"/>
        <v>048314-038430-**-**</v>
      </c>
      <c r="X1777" t="s">
        <v>838</v>
      </c>
      <c r="Y1777">
        <v>1206.25</v>
      </c>
      <c r="Z1777">
        <v>1206.25</v>
      </c>
      <c r="AA1777" t="str">
        <f t="shared" si="501"/>
        <v>06/08/2016</v>
      </c>
    </row>
    <row r="1778" spans="1:27" x14ac:dyDescent="0.3">
      <c r="A1778" t="str">
        <f t="shared" si="492"/>
        <v>048314</v>
      </c>
      <c r="B1778" t="str">
        <f t="shared" si="503"/>
        <v>038430</v>
      </c>
      <c r="C1778" t="s">
        <v>3714</v>
      </c>
      <c r="D1778" t="s">
        <v>3839</v>
      </c>
      <c r="E1778" t="s">
        <v>3840</v>
      </c>
      <c r="F1778" t="s">
        <v>3841</v>
      </c>
      <c r="G1778" t="s">
        <v>3842</v>
      </c>
      <c r="H1778" t="str">
        <f>"048280"</f>
        <v>048280</v>
      </c>
      <c r="I1778" t="s">
        <v>833</v>
      </c>
      <c r="J1778" t="str">
        <f>"2015-11-23 00:00:00.0"</f>
        <v>2015-11-23 00:00:00.0</v>
      </c>
      <c r="K1778" t="s">
        <v>834</v>
      </c>
      <c r="L1778" t="s">
        <v>142</v>
      </c>
      <c r="M1778" t="str">
        <f t="shared" si="490"/>
        <v>048314</v>
      </c>
      <c r="N1778">
        <v>0.41025600000000001</v>
      </c>
      <c r="O1778">
        <v>0.41025600000000001</v>
      </c>
      <c r="P1778" t="s">
        <v>841</v>
      </c>
      <c r="Q1778" t="str">
        <f>"05"</f>
        <v>05</v>
      </c>
      <c r="R1778" t="str">
        <f>"1"</f>
        <v>1</v>
      </c>
      <c r="S1778" t="s">
        <v>860</v>
      </c>
      <c r="T1778" t="s">
        <v>836</v>
      </c>
      <c r="U1778" t="str">
        <f>"2016-04-03 00:00:00.0"</f>
        <v>2016-04-03 00:00:00.0</v>
      </c>
      <c r="V1778" t="s">
        <v>837</v>
      </c>
      <c r="W1778" t="str">
        <f>"048280-048280-PS-IC"</f>
        <v>048280-048280-PS-IC</v>
      </c>
      <c r="X1778" t="s">
        <v>838</v>
      </c>
      <c r="Y1778">
        <v>16</v>
      </c>
      <c r="Z1778">
        <v>39</v>
      </c>
      <c r="AA1778" t="str">
        <f>"06/15/2016"</f>
        <v>06/15/2016</v>
      </c>
    </row>
    <row r="1779" spans="1:27" x14ac:dyDescent="0.3">
      <c r="A1779" t="str">
        <f t="shared" si="492"/>
        <v>048314</v>
      </c>
      <c r="B1779" t="str">
        <f t="shared" si="503"/>
        <v>038430</v>
      </c>
      <c r="C1779" t="s">
        <v>3714</v>
      </c>
      <c r="D1779" t="s">
        <v>3839</v>
      </c>
      <c r="E1779" t="s">
        <v>3840</v>
      </c>
      <c r="F1779" t="s">
        <v>3841</v>
      </c>
      <c r="G1779" t="s">
        <v>3842</v>
      </c>
      <c r="H1779" t="str">
        <f>"048280"</f>
        <v>048280</v>
      </c>
      <c r="I1779" t="s">
        <v>833</v>
      </c>
      <c r="J1779" t="str">
        <f>"2016-04-04 00:00:00.0"</f>
        <v>2016-04-04 00:00:00.0</v>
      </c>
      <c r="K1779" t="s">
        <v>834</v>
      </c>
      <c r="L1779" t="s">
        <v>142</v>
      </c>
      <c r="M1779" t="str">
        <f t="shared" si="490"/>
        <v>048314</v>
      </c>
      <c r="N1779">
        <v>0.25827800000000001</v>
      </c>
      <c r="O1779">
        <v>0.25827800000000001</v>
      </c>
      <c r="P1779" t="s">
        <v>841</v>
      </c>
      <c r="Q1779" t="str">
        <f>"05"</f>
        <v>05</v>
      </c>
      <c r="R1779" t="str">
        <f>"1"</f>
        <v>1</v>
      </c>
      <c r="S1779" t="s">
        <v>860</v>
      </c>
      <c r="T1779" t="s">
        <v>836</v>
      </c>
      <c r="U1779" t="str">
        <f t="shared" ref="U1779:U1787" si="505">"2500-12-31 00:00:00.0"</f>
        <v>2500-12-31 00:00:00.0</v>
      </c>
      <c r="V1779" t="s">
        <v>837</v>
      </c>
      <c r="W1779" t="str">
        <f>"048280-048280-PS-FA"</f>
        <v>048280-048280-PS-FA</v>
      </c>
      <c r="X1779" t="s">
        <v>838</v>
      </c>
      <c r="Y1779">
        <v>39</v>
      </c>
      <c r="Z1779">
        <v>151</v>
      </c>
      <c r="AA1779" t="str">
        <f>"06/15/2016"</f>
        <v>06/15/2016</v>
      </c>
    </row>
    <row r="1780" spans="1:27" x14ac:dyDescent="0.3">
      <c r="A1780" t="str">
        <f t="shared" si="492"/>
        <v>048314</v>
      </c>
      <c r="B1780" t="str">
        <f t="shared" si="503"/>
        <v>038430</v>
      </c>
      <c r="C1780" t="s">
        <v>2965</v>
      </c>
      <c r="D1780" t="s">
        <v>3839</v>
      </c>
      <c r="E1780" t="s">
        <v>3840</v>
      </c>
      <c r="F1780" t="s">
        <v>3841</v>
      </c>
      <c r="G1780" t="s">
        <v>3842</v>
      </c>
      <c r="H1780" t="str">
        <f t="shared" ref="H1780:H1800" si="506">"048314"</f>
        <v>048314</v>
      </c>
      <c r="I1780" t="s">
        <v>833</v>
      </c>
      <c r="J1780" t="str">
        <f t="shared" ref="J1780:J1791" si="507">"2015-07-01 00:00:00.0"</f>
        <v>2015-07-01 00:00:00.0</v>
      </c>
      <c r="K1780" t="s">
        <v>834</v>
      </c>
      <c r="L1780" t="s">
        <v>0</v>
      </c>
      <c r="M1780" t="str">
        <f t="shared" si="490"/>
        <v>048314</v>
      </c>
      <c r="N1780">
        <v>1</v>
      </c>
      <c r="O1780">
        <v>1</v>
      </c>
      <c r="P1780" t="str">
        <f>"02"</f>
        <v>02</v>
      </c>
      <c r="Q1780" t="s">
        <v>835</v>
      </c>
      <c r="S1780" t="s">
        <v>836</v>
      </c>
      <c r="T1780" t="s">
        <v>836</v>
      </c>
      <c r="U1780" t="str">
        <f t="shared" si="505"/>
        <v>2500-12-31 00:00:00.0</v>
      </c>
      <c r="V1780" t="s">
        <v>837</v>
      </c>
      <c r="W1780" t="str">
        <f>"048314-038430-**-**"</f>
        <v>048314-038430-**-**</v>
      </c>
      <c r="X1780" t="s">
        <v>838</v>
      </c>
      <c r="Y1780">
        <v>1206.25</v>
      </c>
      <c r="Z1780">
        <v>1206.25</v>
      </c>
      <c r="AA1780" t="str">
        <f t="shared" ref="AA1780:AA1800" si="508">"06/08/2016"</f>
        <v>06/08/2016</v>
      </c>
    </row>
    <row r="1781" spans="1:27" x14ac:dyDescent="0.3">
      <c r="A1781" t="str">
        <f t="shared" si="492"/>
        <v>048314</v>
      </c>
      <c r="B1781" t="str">
        <f t="shared" si="503"/>
        <v>038430</v>
      </c>
      <c r="C1781" t="s">
        <v>2524</v>
      </c>
      <c r="D1781" t="s">
        <v>3839</v>
      </c>
      <c r="E1781" t="s">
        <v>3840</v>
      </c>
      <c r="F1781" t="s">
        <v>3841</v>
      </c>
      <c r="G1781" t="s">
        <v>3842</v>
      </c>
      <c r="H1781" t="str">
        <f t="shared" si="506"/>
        <v>048314</v>
      </c>
      <c r="I1781" t="s">
        <v>833</v>
      </c>
      <c r="J1781" t="str">
        <f t="shared" si="507"/>
        <v>2015-07-01 00:00:00.0</v>
      </c>
      <c r="K1781" t="s">
        <v>834</v>
      </c>
      <c r="L1781" t="s">
        <v>0</v>
      </c>
      <c r="M1781" t="str">
        <f t="shared" si="490"/>
        <v>048314</v>
      </c>
      <c r="N1781">
        <v>1</v>
      </c>
      <c r="O1781">
        <v>1</v>
      </c>
      <c r="P1781" t="str">
        <f>"01"</f>
        <v>01</v>
      </c>
      <c r="Q1781" t="s">
        <v>835</v>
      </c>
      <c r="S1781" t="s">
        <v>836</v>
      </c>
      <c r="T1781" t="s">
        <v>836</v>
      </c>
      <c r="U1781" t="str">
        <f t="shared" si="505"/>
        <v>2500-12-31 00:00:00.0</v>
      </c>
      <c r="V1781" t="s">
        <v>837</v>
      </c>
      <c r="W1781" t="str">
        <f>"048314-038430-**-**"</f>
        <v>048314-038430-**-**</v>
      </c>
      <c r="X1781" t="s">
        <v>838</v>
      </c>
      <c r="Y1781">
        <v>1206.25</v>
      </c>
      <c r="Z1781">
        <v>1206.25</v>
      </c>
      <c r="AA1781" t="str">
        <f t="shared" si="508"/>
        <v>06/08/2016</v>
      </c>
    </row>
    <row r="1782" spans="1:27" x14ac:dyDescent="0.3">
      <c r="A1782" t="str">
        <f t="shared" si="492"/>
        <v>048314</v>
      </c>
      <c r="B1782" t="str">
        <f t="shared" si="503"/>
        <v>038430</v>
      </c>
      <c r="C1782" t="s">
        <v>3039</v>
      </c>
      <c r="D1782" t="s">
        <v>3839</v>
      </c>
      <c r="E1782" t="s">
        <v>3840</v>
      </c>
      <c r="F1782" t="s">
        <v>3841</v>
      </c>
      <c r="G1782" t="s">
        <v>3842</v>
      </c>
      <c r="H1782" t="str">
        <f t="shared" si="506"/>
        <v>048314</v>
      </c>
      <c r="I1782" t="s">
        <v>833</v>
      </c>
      <c r="J1782" t="str">
        <f t="shared" si="507"/>
        <v>2015-07-01 00:00:00.0</v>
      </c>
      <c r="K1782" t="s">
        <v>834</v>
      </c>
      <c r="L1782" t="s">
        <v>0</v>
      </c>
      <c r="M1782" t="str">
        <f t="shared" ref="M1782:M1845" si="509">"048314"</f>
        <v>048314</v>
      </c>
      <c r="N1782">
        <v>1</v>
      </c>
      <c r="O1782">
        <v>1</v>
      </c>
      <c r="P1782" t="str">
        <f>"01"</f>
        <v>01</v>
      </c>
      <c r="Q1782" t="s">
        <v>835</v>
      </c>
      <c r="S1782" t="s">
        <v>836</v>
      </c>
      <c r="T1782" t="s">
        <v>836</v>
      </c>
      <c r="U1782" t="str">
        <f t="shared" si="505"/>
        <v>2500-12-31 00:00:00.0</v>
      </c>
      <c r="V1782" t="s">
        <v>837</v>
      </c>
      <c r="W1782" t="str">
        <f>"048314-038430-**-**"</f>
        <v>048314-038430-**-**</v>
      </c>
      <c r="X1782" t="s">
        <v>838</v>
      </c>
      <c r="Y1782">
        <v>1206.25</v>
      </c>
      <c r="Z1782">
        <v>1206.25</v>
      </c>
      <c r="AA1782" t="str">
        <f t="shared" si="508"/>
        <v>06/08/2016</v>
      </c>
    </row>
    <row r="1783" spans="1:27" x14ac:dyDescent="0.3">
      <c r="A1783" t="str">
        <f t="shared" si="492"/>
        <v>048314</v>
      </c>
      <c r="B1783" t="str">
        <f t="shared" si="503"/>
        <v>038430</v>
      </c>
      <c r="C1783" t="s">
        <v>3098</v>
      </c>
      <c r="D1783" t="s">
        <v>3839</v>
      </c>
      <c r="E1783" t="s">
        <v>3840</v>
      </c>
      <c r="F1783" t="s">
        <v>3841</v>
      </c>
      <c r="G1783" t="s">
        <v>3842</v>
      </c>
      <c r="H1783" t="str">
        <f t="shared" si="506"/>
        <v>048314</v>
      </c>
      <c r="I1783" t="s">
        <v>833</v>
      </c>
      <c r="J1783" t="str">
        <f t="shared" si="507"/>
        <v>2015-07-01 00:00:00.0</v>
      </c>
      <c r="K1783" t="s">
        <v>834</v>
      </c>
      <c r="L1783" t="s">
        <v>0</v>
      </c>
      <c r="M1783" t="str">
        <f t="shared" si="509"/>
        <v>048314</v>
      </c>
      <c r="N1783">
        <v>1</v>
      </c>
      <c r="O1783">
        <v>1</v>
      </c>
      <c r="P1783" t="str">
        <f>"05"</f>
        <v>05</v>
      </c>
      <c r="Q1783" t="s">
        <v>835</v>
      </c>
      <c r="S1783" t="s">
        <v>836</v>
      </c>
      <c r="T1783" t="s">
        <v>836</v>
      </c>
      <c r="U1783" t="str">
        <f t="shared" si="505"/>
        <v>2500-12-31 00:00:00.0</v>
      </c>
      <c r="V1783" t="s">
        <v>837</v>
      </c>
      <c r="W1783" t="str">
        <f>"048314-070417-**-**"</f>
        <v>048314-070417-**-**</v>
      </c>
      <c r="X1783" t="s">
        <v>838</v>
      </c>
      <c r="Y1783">
        <v>1125</v>
      </c>
      <c r="Z1783">
        <v>1125</v>
      </c>
      <c r="AA1783" t="str">
        <f t="shared" si="508"/>
        <v>06/08/2016</v>
      </c>
    </row>
    <row r="1784" spans="1:27" x14ac:dyDescent="0.3">
      <c r="A1784" t="str">
        <f t="shared" si="492"/>
        <v>048314</v>
      </c>
      <c r="B1784" t="str">
        <f t="shared" si="503"/>
        <v>038430</v>
      </c>
      <c r="C1784" t="s">
        <v>3417</v>
      </c>
      <c r="D1784" t="s">
        <v>3839</v>
      </c>
      <c r="E1784" t="s">
        <v>3840</v>
      </c>
      <c r="F1784" t="s">
        <v>3841</v>
      </c>
      <c r="G1784" t="s">
        <v>3842</v>
      </c>
      <c r="H1784" t="str">
        <f t="shared" si="506"/>
        <v>048314</v>
      </c>
      <c r="I1784" t="s">
        <v>833</v>
      </c>
      <c r="J1784" t="str">
        <f t="shared" si="507"/>
        <v>2015-07-01 00:00:00.0</v>
      </c>
      <c r="K1784" t="s">
        <v>834</v>
      </c>
      <c r="L1784" t="s">
        <v>0</v>
      </c>
      <c r="M1784" t="str">
        <f t="shared" si="509"/>
        <v>048314</v>
      </c>
      <c r="N1784">
        <v>1</v>
      </c>
      <c r="O1784">
        <v>1</v>
      </c>
      <c r="P1784" t="str">
        <f>"05"</f>
        <v>05</v>
      </c>
      <c r="Q1784" t="s">
        <v>835</v>
      </c>
      <c r="S1784" t="s">
        <v>836</v>
      </c>
      <c r="T1784" t="s">
        <v>836</v>
      </c>
      <c r="U1784" t="str">
        <f t="shared" si="505"/>
        <v>2500-12-31 00:00:00.0</v>
      </c>
      <c r="V1784" t="s">
        <v>837</v>
      </c>
      <c r="W1784" t="str">
        <f>"048314-070417-**-**"</f>
        <v>048314-070417-**-**</v>
      </c>
      <c r="X1784" t="s">
        <v>838</v>
      </c>
      <c r="Y1784">
        <v>1125</v>
      </c>
      <c r="Z1784">
        <v>1125</v>
      </c>
      <c r="AA1784" t="str">
        <f t="shared" si="508"/>
        <v>06/08/2016</v>
      </c>
    </row>
    <row r="1785" spans="1:27" x14ac:dyDescent="0.3">
      <c r="A1785" t="str">
        <f t="shared" si="492"/>
        <v>048314</v>
      </c>
      <c r="B1785" t="str">
        <f t="shared" si="503"/>
        <v>038430</v>
      </c>
      <c r="C1785" t="s">
        <v>2883</v>
      </c>
      <c r="D1785" t="s">
        <v>3839</v>
      </c>
      <c r="E1785" t="s">
        <v>3840</v>
      </c>
      <c r="F1785" t="s">
        <v>3841</v>
      </c>
      <c r="G1785" t="s">
        <v>3842</v>
      </c>
      <c r="H1785" t="str">
        <f t="shared" si="506"/>
        <v>048314</v>
      </c>
      <c r="I1785" t="s">
        <v>833</v>
      </c>
      <c r="J1785" t="str">
        <f t="shared" si="507"/>
        <v>2015-07-01 00:00:00.0</v>
      </c>
      <c r="K1785" t="s">
        <v>834</v>
      </c>
      <c r="L1785" t="s">
        <v>0</v>
      </c>
      <c r="M1785" t="str">
        <f t="shared" si="509"/>
        <v>048314</v>
      </c>
      <c r="N1785">
        <v>1</v>
      </c>
      <c r="O1785">
        <v>1</v>
      </c>
      <c r="P1785" t="str">
        <f>"05"</f>
        <v>05</v>
      </c>
      <c r="Q1785" t="s">
        <v>835</v>
      </c>
      <c r="S1785" t="s">
        <v>836</v>
      </c>
      <c r="T1785" t="s">
        <v>836</v>
      </c>
      <c r="U1785" t="str">
        <f t="shared" si="505"/>
        <v>2500-12-31 00:00:00.0</v>
      </c>
      <c r="V1785" t="s">
        <v>837</v>
      </c>
      <c r="W1785" t="str">
        <f>"048314-070417-**-**"</f>
        <v>048314-070417-**-**</v>
      </c>
      <c r="X1785" t="s">
        <v>838</v>
      </c>
      <c r="Y1785">
        <v>1125</v>
      </c>
      <c r="Z1785">
        <v>1125</v>
      </c>
      <c r="AA1785" t="str">
        <f t="shared" si="508"/>
        <v>06/08/2016</v>
      </c>
    </row>
    <row r="1786" spans="1:27" x14ac:dyDescent="0.3">
      <c r="A1786" t="str">
        <f t="shared" si="492"/>
        <v>048314</v>
      </c>
      <c r="B1786" t="str">
        <f t="shared" si="503"/>
        <v>038430</v>
      </c>
      <c r="C1786" t="s">
        <v>1725</v>
      </c>
      <c r="D1786" t="s">
        <v>3839</v>
      </c>
      <c r="E1786" t="s">
        <v>3840</v>
      </c>
      <c r="F1786" t="s">
        <v>3841</v>
      </c>
      <c r="G1786" t="s">
        <v>3842</v>
      </c>
      <c r="H1786" t="str">
        <f t="shared" si="506"/>
        <v>048314</v>
      </c>
      <c r="I1786" t="s">
        <v>833</v>
      </c>
      <c r="J1786" t="str">
        <f t="shared" si="507"/>
        <v>2015-07-01 00:00:00.0</v>
      </c>
      <c r="K1786" t="s">
        <v>834</v>
      </c>
      <c r="L1786" t="s">
        <v>0</v>
      </c>
      <c r="M1786" t="str">
        <f t="shared" si="509"/>
        <v>048314</v>
      </c>
      <c r="N1786">
        <v>1</v>
      </c>
      <c r="O1786">
        <v>1</v>
      </c>
      <c r="P1786" t="str">
        <f>"02"</f>
        <v>02</v>
      </c>
      <c r="Q1786" t="s">
        <v>835</v>
      </c>
      <c r="S1786" t="s">
        <v>860</v>
      </c>
      <c r="T1786" t="s">
        <v>836</v>
      </c>
      <c r="U1786" t="str">
        <f t="shared" si="505"/>
        <v>2500-12-31 00:00:00.0</v>
      </c>
      <c r="V1786" t="s">
        <v>837</v>
      </c>
      <c r="W1786" t="str">
        <f>"048314-038430-**-**"</f>
        <v>048314-038430-**-**</v>
      </c>
      <c r="X1786" t="s">
        <v>838</v>
      </c>
      <c r="Y1786">
        <v>1206.25</v>
      </c>
      <c r="Z1786">
        <v>1206.25</v>
      </c>
      <c r="AA1786" t="str">
        <f t="shared" si="508"/>
        <v>06/08/2016</v>
      </c>
    </row>
    <row r="1787" spans="1:27" x14ac:dyDescent="0.3">
      <c r="A1787" t="str">
        <f t="shared" si="492"/>
        <v>048314</v>
      </c>
      <c r="B1787" t="str">
        <f t="shared" si="503"/>
        <v>038430</v>
      </c>
      <c r="C1787" t="s">
        <v>3274</v>
      </c>
      <c r="D1787" t="s">
        <v>3839</v>
      </c>
      <c r="E1787" t="s">
        <v>3840</v>
      </c>
      <c r="F1787" t="s">
        <v>3841</v>
      </c>
      <c r="G1787" t="s">
        <v>3842</v>
      </c>
      <c r="H1787" t="str">
        <f t="shared" si="506"/>
        <v>048314</v>
      </c>
      <c r="I1787" t="s">
        <v>833</v>
      </c>
      <c r="J1787" t="str">
        <f t="shared" si="507"/>
        <v>2015-07-01 00:00:00.0</v>
      </c>
      <c r="K1787" t="s">
        <v>834</v>
      </c>
      <c r="L1787" t="s">
        <v>0</v>
      </c>
      <c r="M1787" t="str">
        <f t="shared" si="509"/>
        <v>048314</v>
      </c>
      <c r="N1787">
        <v>1</v>
      </c>
      <c r="O1787">
        <v>1</v>
      </c>
      <c r="P1787" t="str">
        <f>"05"</f>
        <v>05</v>
      </c>
      <c r="Q1787" t="s">
        <v>835</v>
      </c>
      <c r="S1787" t="s">
        <v>836</v>
      </c>
      <c r="T1787" t="s">
        <v>836</v>
      </c>
      <c r="U1787" t="str">
        <f t="shared" si="505"/>
        <v>2500-12-31 00:00:00.0</v>
      </c>
      <c r="V1787" t="s">
        <v>837</v>
      </c>
      <c r="W1787" t="str">
        <f>"048314-070417-**-**"</f>
        <v>048314-070417-**-**</v>
      </c>
      <c r="X1787" t="s">
        <v>838</v>
      </c>
      <c r="Y1787">
        <v>1125</v>
      </c>
      <c r="Z1787">
        <v>1125</v>
      </c>
      <c r="AA1787" t="str">
        <f t="shared" si="508"/>
        <v>06/08/2016</v>
      </c>
    </row>
    <row r="1788" spans="1:27" x14ac:dyDescent="0.3">
      <c r="A1788" t="str">
        <f t="shared" si="492"/>
        <v>048314</v>
      </c>
      <c r="B1788" t="str">
        <f t="shared" si="503"/>
        <v>038430</v>
      </c>
      <c r="C1788" t="s">
        <v>3137</v>
      </c>
      <c r="D1788" t="s">
        <v>3839</v>
      </c>
      <c r="E1788" t="s">
        <v>3840</v>
      </c>
      <c r="F1788" t="s">
        <v>3841</v>
      </c>
      <c r="G1788" t="s">
        <v>3842</v>
      </c>
      <c r="H1788" t="str">
        <f t="shared" si="506"/>
        <v>048314</v>
      </c>
      <c r="I1788" t="s">
        <v>833</v>
      </c>
      <c r="J1788" t="str">
        <f t="shared" si="507"/>
        <v>2015-07-01 00:00:00.0</v>
      </c>
      <c r="K1788" t="s">
        <v>834</v>
      </c>
      <c r="L1788" t="s">
        <v>0</v>
      </c>
      <c r="M1788" t="str">
        <f t="shared" si="509"/>
        <v>048314</v>
      </c>
      <c r="N1788">
        <v>0.57777800000000001</v>
      </c>
      <c r="O1788">
        <v>0.57777800000000001</v>
      </c>
      <c r="P1788" t="str">
        <f>"05"</f>
        <v>05</v>
      </c>
      <c r="Q1788" t="s">
        <v>835</v>
      </c>
      <c r="S1788" t="s">
        <v>836</v>
      </c>
      <c r="T1788" t="s">
        <v>836</v>
      </c>
      <c r="U1788" t="str">
        <f>"2016-02-10 00:00:00.0"</f>
        <v>2016-02-10 00:00:00.0</v>
      </c>
      <c r="V1788" t="s">
        <v>837</v>
      </c>
      <c r="W1788" t="str">
        <f>"048314-070417-**-**"</f>
        <v>048314-070417-**-**</v>
      </c>
      <c r="X1788" t="s">
        <v>838</v>
      </c>
      <c r="Y1788">
        <v>650</v>
      </c>
      <c r="Z1788">
        <v>1125</v>
      </c>
      <c r="AA1788" t="str">
        <f t="shared" si="508"/>
        <v>06/08/2016</v>
      </c>
    </row>
    <row r="1789" spans="1:27" x14ac:dyDescent="0.3">
      <c r="A1789" t="str">
        <f t="shared" si="492"/>
        <v>048314</v>
      </c>
      <c r="B1789" t="str">
        <f t="shared" si="503"/>
        <v>038430</v>
      </c>
      <c r="C1789" t="s">
        <v>3194</v>
      </c>
      <c r="D1789" t="s">
        <v>3839</v>
      </c>
      <c r="E1789" t="s">
        <v>3840</v>
      </c>
      <c r="F1789" t="s">
        <v>3841</v>
      </c>
      <c r="G1789" t="s">
        <v>3842</v>
      </c>
      <c r="H1789" t="str">
        <f t="shared" si="506"/>
        <v>048314</v>
      </c>
      <c r="I1789" t="s">
        <v>833</v>
      </c>
      <c r="J1789" t="str">
        <f t="shared" si="507"/>
        <v>2015-07-01 00:00:00.0</v>
      </c>
      <c r="K1789" t="s">
        <v>834</v>
      </c>
      <c r="L1789" t="s">
        <v>0</v>
      </c>
      <c r="M1789" t="str">
        <f t="shared" si="509"/>
        <v>048314</v>
      </c>
      <c r="N1789">
        <v>1</v>
      </c>
      <c r="O1789">
        <v>1</v>
      </c>
      <c r="P1789" t="str">
        <f>"03"</f>
        <v>03</v>
      </c>
      <c r="Q1789" t="s">
        <v>835</v>
      </c>
      <c r="S1789" t="s">
        <v>836</v>
      </c>
      <c r="T1789" t="s">
        <v>836</v>
      </c>
      <c r="U1789" t="str">
        <f t="shared" ref="U1789:U1794" si="510">"2500-12-31 00:00:00.0"</f>
        <v>2500-12-31 00:00:00.0</v>
      </c>
      <c r="V1789" t="s">
        <v>837</v>
      </c>
      <c r="W1789" t="str">
        <f t="shared" ref="W1789:W1798" si="511">"048314-038430-**-**"</f>
        <v>048314-038430-**-**</v>
      </c>
      <c r="X1789" t="s">
        <v>838</v>
      </c>
      <c r="Y1789">
        <v>1206.25</v>
      </c>
      <c r="Z1789">
        <v>1206.25</v>
      </c>
      <c r="AA1789" t="str">
        <f t="shared" si="508"/>
        <v>06/08/2016</v>
      </c>
    </row>
    <row r="1790" spans="1:27" x14ac:dyDescent="0.3">
      <c r="A1790" t="str">
        <f t="shared" si="492"/>
        <v>048314</v>
      </c>
      <c r="B1790" t="str">
        <f t="shared" si="503"/>
        <v>038430</v>
      </c>
      <c r="C1790" t="s">
        <v>3553</v>
      </c>
      <c r="D1790" t="s">
        <v>3839</v>
      </c>
      <c r="E1790" t="s">
        <v>3840</v>
      </c>
      <c r="F1790" t="s">
        <v>3841</v>
      </c>
      <c r="G1790" t="s">
        <v>3842</v>
      </c>
      <c r="H1790" t="str">
        <f t="shared" si="506"/>
        <v>048314</v>
      </c>
      <c r="I1790" t="s">
        <v>833</v>
      </c>
      <c r="J1790" t="str">
        <f t="shared" si="507"/>
        <v>2015-07-01 00:00:00.0</v>
      </c>
      <c r="K1790" t="s">
        <v>834</v>
      </c>
      <c r="L1790" t="s">
        <v>0</v>
      </c>
      <c r="M1790" t="str">
        <f t="shared" si="509"/>
        <v>048314</v>
      </c>
      <c r="N1790">
        <v>1</v>
      </c>
      <c r="O1790">
        <v>1</v>
      </c>
      <c r="P1790" t="str">
        <f>"03"</f>
        <v>03</v>
      </c>
      <c r="Q1790" t="s">
        <v>835</v>
      </c>
      <c r="S1790" t="s">
        <v>836</v>
      </c>
      <c r="T1790" t="s">
        <v>836</v>
      </c>
      <c r="U1790" t="str">
        <f t="shared" si="510"/>
        <v>2500-12-31 00:00:00.0</v>
      </c>
      <c r="V1790" t="s">
        <v>837</v>
      </c>
      <c r="W1790" t="str">
        <f t="shared" si="511"/>
        <v>048314-038430-**-**</v>
      </c>
      <c r="X1790" t="s">
        <v>838</v>
      </c>
      <c r="Y1790">
        <v>1206.25</v>
      </c>
      <c r="Z1790">
        <v>1206.25</v>
      </c>
      <c r="AA1790" t="str">
        <f t="shared" si="508"/>
        <v>06/08/2016</v>
      </c>
    </row>
    <row r="1791" spans="1:27" x14ac:dyDescent="0.3">
      <c r="A1791" t="str">
        <f t="shared" si="492"/>
        <v>048314</v>
      </c>
      <c r="B1791" t="str">
        <f t="shared" si="503"/>
        <v>038430</v>
      </c>
      <c r="C1791" t="s">
        <v>845</v>
      </c>
      <c r="D1791" t="s">
        <v>3839</v>
      </c>
      <c r="E1791" t="s">
        <v>3840</v>
      </c>
      <c r="F1791" t="s">
        <v>3841</v>
      </c>
      <c r="G1791" t="s">
        <v>3842</v>
      </c>
      <c r="H1791" t="str">
        <f t="shared" si="506"/>
        <v>048314</v>
      </c>
      <c r="I1791" t="s">
        <v>833</v>
      </c>
      <c r="J1791" t="str">
        <f t="shared" si="507"/>
        <v>2015-07-01 00:00:00.0</v>
      </c>
      <c r="K1791" t="s">
        <v>834</v>
      </c>
      <c r="L1791" t="s">
        <v>0</v>
      </c>
      <c r="M1791" t="str">
        <f t="shared" si="509"/>
        <v>048314</v>
      </c>
      <c r="N1791">
        <v>1</v>
      </c>
      <c r="O1791">
        <v>1</v>
      </c>
      <c r="P1791" t="str">
        <f>"01"</f>
        <v>01</v>
      </c>
      <c r="Q1791" t="s">
        <v>835</v>
      </c>
      <c r="S1791" t="s">
        <v>836</v>
      </c>
      <c r="T1791" t="s">
        <v>836</v>
      </c>
      <c r="U1791" t="str">
        <f t="shared" si="510"/>
        <v>2500-12-31 00:00:00.0</v>
      </c>
      <c r="V1791" t="s">
        <v>837</v>
      </c>
      <c r="W1791" t="str">
        <f t="shared" si="511"/>
        <v>048314-038430-**-**</v>
      </c>
      <c r="X1791" t="s">
        <v>838</v>
      </c>
      <c r="Y1791">
        <v>1206.25</v>
      </c>
      <c r="Z1791">
        <v>1206.25</v>
      </c>
      <c r="AA1791" t="str">
        <f t="shared" si="508"/>
        <v>06/08/2016</v>
      </c>
    </row>
    <row r="1792" spans="1:27" x14ac:dyDescent="0.3">
      <c r="A1792" t="str">
        <f t="shared" si="492"/>
        <v>048314</v>
      </c>
      <c r="B1792" t="str">
        <f t="shared" si="503"/>
        <v>038430</v>
      </c>
      <c r="C1792" t="s">
        <v>3726</v>
      </c>
      <c r="D1792" t="s">
        <v>3839</v>
      </c>
      <c r="E1792" t="s">
        <v>3840</v>
      </c>
      <c r="F1792" t="s">
        <v>3841</v>
      </c>
      <c r="G1792" t="s">
        <v>3842</v>
      </c>
      <c r="H1792" t="str">
        <f t="shared" si="506"/>
        <v>048314</v>
      </c>
      <c r="I1792" t="s">
        <v>833</v>
      </c>
      <c r="J1792" t="str">
        <f>"2016-03-02 00:00:00.0"</f>
        <v>2016-03-02 00:00:00.0</v>
      </c>
      <c r="K1792" t="s">
        <v>834</v>
      </c>
      <c r="L1792" t="s">
        <v>0</v>
      </c>
      <c r="M1792" t="str">
        <f t="shared" si="509"/>
        <v>048314</v>
      </c>
      <c r="N1792">
        <v>0.35751300000000003</v>
      </c>
      <c r="O1792">
        <v>0.35175400000000001</v>
      </c>
      <c r="P1792" t="s">
        <v>764</v>
      </c>
      <c r="Q1792" t="s">
        <v>835</v>
      </c>
      <c r="S1792" t="s">
        <v>836</v>
      </c>
      <c r="T1792" t="s">
        <v>836</v>
      </c>
      <c r="U1792" t="str">
        <f t="shared" si="510"/>
        <v>2500-12-31 00:00:00.0</v>
      </c>
      <c r="V1792" t="s">
        <v>837</v>
      </c>
      <c r="W1792" t="str">
        <f t="shared" si="511"/>
        <v>048314-038430-**-**</v>
      </c>
      <c r="X1792" t="s">
        <v>838</v>
      </c>
      <c r="Y1792">
        <v>431.25</v>
      </c>
      <c r="Z1792">
        <v>1206.25</v>
      </c>
      <c r="AA1792" t="str">
        <f t="shared" si="508"/>
        <v>06/08/2016</v>
      </c>
    </row>
    <row r="1793" spans="1:27" x14ac:dyDescent="0.3">
      <c r="A1793" t="str">
        <f t="shared" si="492"/>
        <v>048314</v>
      </c>
      <c r="B1793" t="str">
        <f t="shared" si="503"/>
        <v>038430</v>
      </c>
      <c r="C1793" t="s">
        <v>1489</v>
      </c>
      <c r="D1793" t="s">
        <v>3839</v>
      </c>
      <c r="E1793" t="s">
        <v>3840</v>
      </c>
      <c r="F1793" t="s">
        <v>3841</v>
      </c>
      <c r="G1793" t="s">
        <v>3842</v>
      </c>
      <c r="H1793" t="str">
        <f t="shared" si="506"/>
        <v>048314</v>
      </c>
      <c r="I1793" t="s">
        <v>833</v>
      </c>
      <c r="J1793" t="str">
        <f>"2015-07-01 00:00:00.0"</f>
        <v>2015-07-01 00:00:00.0</v>
      </c>
      <c r="K1793" t="s">
        <v>834</v>
      </c>
      <c r="L1793" t="s">
        <v>0</v>
      </c>
      <c r="M1793" t="str">
        <f t="shared" si="509"/>
        <v>048314</v>
      </c>
      <c r="N1793">
        <v>1</v>
      </c>
      <c r="O1793">
        <v>1</v>
      </c>
      <c r="P1793" t="str">
        <f>"01"</f>
        <v>01</v>
      </c>
      <c r="Q1793" t="s">
        <v>835</v>
      </c>
      <c r="S1793" t="s">
        <v>836</v>
      </c>
      <c r="T1793" t="s">
        <v>836</v>
      </c>
      <c r="U1793" t="str">
        <f t="shared" si="510"/>
        <v>2500-12-31 00:00:00.0</v>
      </c>
      <c r="V1793" t="s">
        <v>837</v>
      </c>
      <c r="W1793" t="str">
        <f t="shared" si="511"/>
        <v>048314-038430-**-**</v>
      </c>
      <c r="X1793" t="s">
        <v>838</v>
      </c>
      <c r="Y1793">
        <v>1206.25</v>
      </c>
      <c r="Z1793">
        <v>1206.25</v>
      </c>
      <c r="AA1793" t="str">
        <f t="shared" si="508"/>
        <v>06/08/2016</v>
      </c>
    </row>
    <row r="1794" spans="1:27" x14ac:dyDescent="0.3">
      <c r="A1794" t="str">
        <f t="shared" ref="A1794:A1857" si="512">"048314"</f>
        <v>048314</v>
      </c>
      <c r="B1794" t="str">
        <f t="shared" si="503"/>
        <v>038430</v>
      </c>
      <c r="C1794" t="s">
        <v>3008</v>
      </c>
      <c r="D1794" t="s">
        <v>3839</v>
      </c>
      <c r="E1794" t="s">
        <v>3840</v>
      </c>
      <c r="F1794" t="s">
        <v>3841</v>
      </c>
      <c r="G1794" t="s">
        <v>3842</v>
      </c>
      <c r="H1794" t="str">
        <f t="shared" si="506"/>
        <v>048314</v>
      </c>
      <c r="I1794" t="s">
        <v>833</v>
      </c>
      <c r="J1794" t="str">
        <f>"2015-07-01 00:00:00.0"</f>
        <v>2015-07-01 00:00:00.0</v>
      </c>
      <c r="K1794" t="s">
        <v>834</v>
      </c>
      <c r="L1794" t="s">
        <v>0</v>
      </c>
      <c r="M1794" t="str">
        <f t="shared" si="509"/>
        <v>048314</v>
      </c>
      <c r="N1794">
        <v>1</v>
      </c>
      <c r="O1794">
        <v>1</v>
      </c>
      <c r="P1794" t="str">
        <f>"01"</f>
        <v>01</v>
      </c>
      <c r="Q1794" t="s">
        <v>835</v>
      </c>
      <c r="S1794" t="s">
        <v>836</v>
      </c>
      <c r="T1794" t="s">
        <v>836</v>
      </c>
      <c r="U1794" t="str">
        <f t="shared" si="510"/>
        <v>2500-12-31 00:00:00.0</v>
      </c>
      <c r="V1794" t="s">
        <v>837</v>
      </c>
      <c r="W1794" t="str">
        <f t="shared" si="511"/>
        <v>048314-038430-**-**</v>
      </c>
      <c r="X1794" t="s">
        <v>838</v>
      </c>
      <c r="Y1794">
        <v>1206.25</v>
      </c>
      <c r="Z1794">
        <v>1206.25</v>
      </c>
      <c r="AA1794" t="str">
        <f t="shared" si="508"/>
        <v>06/08/2016</v>
      </c>
    </row>
    <row r="1795" spans="1:27" x14ac:dyDescent="0.3">
      <c r="A1795" t="str">
        <f t="shared" si="512"/>
        <v>048314</v>
      </c>
      <c r="B1795" t="str">
        <f t="shared" si="503"/>
        <v>038430</v>
      </c>
      <c r="C1795" t="s">
        <v>3516</v>
      </c>
      <c r="D1795" t="s">
        <v>3839</v>
      </c>
      <c r="E1795" t="s">
        <v>3840</v>
      </c>
      <c r="F1795" t="s">
        <v>3841</v>
      </c>
      <c r="G1795" t="s">
        <v>3842</v>
      </c>
      <c r="H1795" t="str">
        <f t="shared" si="506"/>
        <v>048314</v>
      </c>
      <c r="I1795" t="s">
        <v>833</v>
      </c>
      <c r="J1795" t="str">
        <f>"2015-07-01 00:00:00.0"</f>
        <v>2015-07-01 00:00:00.0</v>
      </c>
      <c r="K1795" t="s">
        <v>834</v>
      </c>
      <c r="L1795" t="s">
        <v>0</v>
      </c>
      <c r="M1795" t="str">
        <f t="shared" si="509"/>
        <v>048314</v>
      </c>
      <c r="N1795">
        <v>0.21243500000000001</v>
      </c>
      <c r="O1795">
        <v>0.21243500000000001</v>
      </c>
      <c r="P1795" t="str">
        <f>"02"</f>
        <v>02</v>
      </c>
      <c r="Q1795" t="s">
        <v>835</v>
      </c>
      <c r="S1795" t="s">
        <v>836</v>
      </c>
      <c r="T1795" t="s">
        <v>836</v>
      </c>
      <c r="U1795" t="str">
        <f>"2015-10-27 00:00:00.0"</f>
        <v>2015-10-27 00:00:00.0</v>
      </c>
      <c r="V1795" t="s">
        <v>837</v>
      </c>
      <c r="W1795" t="str">
        <f t="shared" si="511"/>
        <v>048314-038430-**-**</v>
      </c>
      <c r="X1795" t="s">
        <v>838</v>
      </c>
      <c r="Y1795">
        <v>256.25</v>
      </c>
      <c r="Z1795">
        <v>1206.25</v>
      </c>
      <c r="AA1795" t="str">
        <f t="shared" si="508"/>
        <v>06/08/2016</v>
      </c>
    </row>
    <row r="1796" spans="1:27" x14ac:dyDescent="0.3">
      <c r="A1796" t="str">
        <f t="shared" si="512"/>
        <v>048314</v>
      </c>
      <c r="B1796" t="str">
        <f t="shared" si="503"/>
        <v>038430</v>
      </c>
      <c r="C1796" t="s">
        <v>3516</v>
      </c>
      <c r="D1796" t="s">
        <v>3839</v>
      </c>
      <c r="E1796" t="s">
        <v>3840</v>
      </c>
      <c r="F1796" t="s">
        <v>3841</v>
      </c>
      <c r="G1796" t="s">
        <v>3842</v>
      </c>
      <c r="H1796" t="str">
        <f t="shared" si="506"/>
        <v>048314</v>
      </c>
      <c r="I1796" t="s">
        <v>833</v>
      </c>
      <c r="J1796" t="str">
        <f>"2015-10-28 00:00:00.0"</f>
        <v>2015-10-28 00:00:00.0</v>
      </c>
      <c r="K1796" t="s">
        <v>834</v>
      </c>
      <c r="L1796" t="s">
        <v>0</v>
      </c>
      <c r="M1796" t="str">
        <f t="shared" si="509"/>
        <v>048314</v>
      </c>
      <c r="N1796">
        <v>0.78756499999999996</v>
      </c>
      <c r="O1796">
        <v>0.78756499999999996</v>
      </c>
      <c r="P1796" t="str">
        <f>"02"</f>
        <v>02</v>
      </c>
      <c r="Q1796" t="str">
        <f>"15"</f>
        <v>15</v>
      </c>
      <c r="R1796" t="str">
        <f>"2"</f>
        <v>2</v>
      </c>
      <c r="S1796" t="s">
        <v>836</v>
      </c>
      <c r="T1796" t="s">
        <v>836</v>
      </c>
      <c r="U1796" t="str">
        <f t="shared" ref="U1796:U1808" si="513">"2500-12-31 00:00:00.0"</f>
        <v>2500-12-31 00:00:00.0</v>
      </c>
      <c r="V1796" t="s">
        <v>837</v>
      </c>
      <c r="W1796" t="str">
        <f t="shared" si="511"/>
        <v>048314-038430-**-**</v>
      </c>
      <c r="X1796" t="s">
        <v>838</v>
      </c>
      <c r="Y1796">
        <v>950</v>
      </c>
      <c r="Z1796">
        <v>1206.25</v>
      </c>
      <c r="AA1796" t="str">
        <f t="shared" si="508"/>
        <v>06/08/2016</v>
      </c>
    </row>
    <row r="1797" spans="1:27" x14ac:dyDescent="0.3">
      <c r="A1797" t="str">
        <f t="shared" si="512"/>
        <v>048314</v>
      </c>
      <c r="B1797" t="str">
        <f t="shared" si="503"/>
        <v>038430</v>
      </c>
      <c r="C1797" t="s">
        <v>927</v>
      </c>
      <c r="D1797" t="s">
        <v>3839</v>
      </c>
      <c r="E1797" t="s">
        <v>3840</v>
      </c>
      <c r="F1797" t="s">
        <v>3841</v>
      </c>
      <c r="G1797" t="s">
        <v>3842</v>
      </c>
      <c r="H1797" t="str">
        <f t="shared" si="506"/>
        <v>048314</v>
      </c>
      <c r="I1797" t="s">
        <v>833</v>
      </c>
      <c r="J1797" t="str">
        <f>"2015-08-01 00:00:00.0"</f>
        <v>2015-08-01 00:00:00.0</v>
      </c>
      <c r="K1797" t="s">
        <v>834</v>
      </c>
      <c r="L1797" t="s">
        <v>0</v>
      </c>
      <c r="M1797" t="str">
        <f t="shared" si="509"/>
        <v>048314</v>
      </c>
      <c r="N1797">
        <v>1</v>
      </c>
      <c r="O1797">
        <v>1</v>
      </c>
      <c r="P1797" t="s">
        <v>764</v>
      </c>
      <c r="Q1797" t="s">
        <v>835</v>
      </c>
      <c r="S1797" t="s">
        <v>836</v>
      </c>
      <c r="T1797" t="s">
        <v>836</v>
      </c>
      <c r="U1797" t="str">
        <f t="shared" si="513"/>
        <v>2500-12-31 00:00:00.0</v>
      </c>
      <c r="V1797" t="s">
        <v>837</v>
      </c>
      <c r="W1797" t="str">
        <f t="shared" si="511"/>
        <v>048314-038430-**-**</v>
      </c>
      <c r="X1797" t="s">
        <v>838</v>
      </c>
      <c r="Y1797">
        <v>1206.25</v>
      </c>
      <c r="Z1797">
        <v>1206.25</v>
      </c>
      <c r="AA1797" t="str">
        <f t="shared" si="508"/>
        <v>06/08/2016</v>
      </c>
    </row>
    <row r="1798" spans="1:27" x14ac:dyDescent="0.3">
      <c r="A1798" t="str">
        <f t="shared" si="512"/>
        <v>048314</v>
      </c>
      <c r="B1798" t="str">
        <f t="shared" si="503"/>
        <v>038430</v>
      </c>
      <c r="C1798" t="s">
        <v>3009</v>
      </c>
      <c r="D1798" t="s">
        <v>3839</v>
      </c>
      <c r="E1798" t="s">
        <v>3840</v>
      </c>
      <c r="F1798" t="s">
        <v>3841</v>
      </c>
      <c r="G1798" t="s">
        <v>3842</v>
      </c>
      <c r="H1798" t="str">
        <f t="shared" si="506"/>
        <v>048314</v>
      </c>
      <c r="I1798" t="s">
        <v>833</v>
      </c>
      <c r="J1798" t="str">
        <f>"2015-07-01 00:00:00.0"</f>
        <v>2015-07-01 00:00:00.0</v>
      </c>
      <c r="K1798" t="s">
        <v>834</v>
      </c>
      <c r="L1798" t="s">
        <v>0</v>
      </c>
      <c r="M1798" t="str">
        <f t="shared" si="509"/>
        <v>048314</v>
      </c>
      <c r="N1798">
        <v>1</v>
      </c>
      <c r="O1798">
        <v>1</v>
      </c>
      <c r="P1798" t="str">
        <f>"01"</f>
        <v>01</v>
      </c>
      <c r="Q1798" t="s">
        <v>835</v>
      </c>
      <c r="S1798" t="s">
        <v>836</v>
      </c>
      <c r="T1798" t="s">
        <v>836</v>
      </c>
      <c r="U1798" t="str">
        <f t="shared" si="513"/>
        <v>2500-12-31 00:00:00.0</v>
      </c>
      <c r="V1798" t="s">
        <v>837</v>
      </c>
      <c r="W1798" t="str">
        <f t="shared" si="511"/>
        <v>048314-038430-**-**</v>
      </c>
      <c r="X1798" t="s">
        <v>838</v>
      </c>
      <c r="Y1798">
        <v>1206.25</v>
      </c>
      <c r="Z1798">
        <v>1206.25</v>
      </c>
      <c r="AA1798" t="str">
        <f t="shared" si="508"/>
        <v>06/08/2016</v>
      </c>
    </row>
    <row r="1799" spans="1:27" x14ac:dyDescent="0.3">
      <c r="A1799" t="str">
        <f t="shared" si="512"/>
        <v>048314</v>
      </c>
      <c r="B1799" t="str">
        <f t="shared" si="503"/>
        <v>038430</v>
      </c>
      <c r="C1799" t="s">
        <v>3276</v>
      </c>
      <c r="D1799" t="s">
        <v>3839</v>
      </c>
      <c r="E1799" t="s">
        <v>3840</v>
      </c>
      <c r="F1799" t="s">
        <v>3841</v>
      </c>
      <c r="G1799" t="s">
        <v>3842</v>
      </c>
      <c r="H1799" t="str">
        <f t="shared" si="506"/>
        <v>048314</v>
      </c>
      <c r="I1799" t="s">
        <v>833</v>
      </c>
      <c r="J1799" t="str">
        <f>"2015-07-01 00:00:00.0"</f>
        <v>2015-07-01 00:00:00.0</v>
      </c>
      <c r="K1799" t="s">
        <v>834</v>
      </c>
      <c r="L1799" t="s">
        <v>0</v>
      </c>
      <c r="M1799" t="str">
        <f t="shared" si="509"/>
        <v>048314</v>
      </c>
      <c r="N1799">
        <v>1</v>
      </c>
      <c r="O1799">
        <v>1</v>
      </c>
      <c r="P1799" t="str">
        <f>"05"</f>
        <v>05</v>
      </c>
      <c r="Q1799" t="s">
        <v>835</v>
      </c>
      <c r="S1799" t="s">
        <v>836</v>
      </c>
      <c r="T1799" t="s">
        <v>836</v>
      </c>
      <c r="U1799" t="str">
        <f t="shared" si="513"/>
        <v>2500-12-31 00:00:00.0</v>
      </c>
      <c r="V1799" t="s">
        <v>837</v>
      </c>
      <c r="W1799" t="str">
        <f>"048314-070417-**-**"</f>
        <v>048314-070417-**-**</v>
      </c>
      <c r="X1799" t="s">
        <v>838</v>
      </c>
      <c r="Y1799">
        <v>1125</v>
      </c>
      <c r="Z1799">
        <v>1125</v>
      </c>
      <c r="AA1799" t="str">
        <f t="shared" si="508"/>
        <v>06/08/2016</v>
      </c>
    </row>
    <row r="1800" spans="1:27" x14ac:dyDescent="0.3">
      <c r="A1800" t="str">
        <f t="shared" si="512"/>
        <v>048314</v>
      </c>
      <c r="B1800" t="str">
        <f t="shared" si="503"/>
        <v>038430</v>
      </c>
      <c r="C1800" t="s">
        <v>2538</v>
      </c>
      <c r="D1800" t="s">
        <v>3839</v>
      </c>
      <c r="E1800" t="s">
        <v>3840</v>
      </c>
      <c r="F1800" t="s">
        <v>3841</v>
      </c>
      <c r="G1800" t="s">
        <v>3842</v>
      </c>
      <c r="H1800" t="str">
        <f t="shared" si="506"/>
        <v>048314</v>
      </c>
      <c r="I1800" t="s">
        <v>833</v>
      </c>
      <c r="J1800" t="str">
        <f>"2015-07-01 00:00:00.0"</f>
        <v>2015-07-01 00:00:00.0</v>
      </c>
      <c r="K1800" t="s">
        <v>834</v>
      </c>
      <c r="L1800" t="s">
        <v>0</v>
      </c>
      <c r="M1800" t="str">
        <f t="shared" si="509"/>
        <v>048314</v>
      </c>
      <c r="N1800">
        <v>1</v>
      </c>
      <c r="O1800">
        <v>1</v>
      </c>
      <c r="P1800" t="str">
        <f>"01"</f>
        <v>01</v>
      </c>
      <c r="Q1800" t="s">
        <v>835</v>
      </c>
      <c r="S1800" t="s">
        <v>836</v>
      </c>
      <c r="T1800" t="s">
        <v>836</v>
      </c>
      <c r="U1800" t="str">
        <f t="shared" si="513"/>
        <v>2500-12-31 00:00:00.0</v>
      </c>
      <c r="V1800" t="s">
        <v>837</v>
      </c>
      <c r="W1800" t="str">
        <f>"048314-038430-**-**"</f>
        <v>048314-038430-**-**</v>
      </c>
      <c r="X1800" t="s">
        <v>838</v>
      </c>
      <c r="Y1800">
        <v>1206.25</v>
      </c>
      <c r="Z1800">
        <v>1206.25</v>
      </c>
      <c r="AA1800" t="str">
        <f t="shared" si="508"/>
        <v>06/08/2016</v>
      </c>
    </row>
    <row r="1801" spans="1:27" x14ac:dyDescent="0.3">
      <c r="A1801" t="str">
        <f t="shared" si="512"/>
        <v>048314</v>
      </c>
      <c r="B1801" t="str">
        <f t="shared" si="503"/>
        <v>038430</v>
      </c>
      <c r="C1801" t="s">
        <v>3560</v>
      </c>
      <c r="D1801" t="s">
        <v>3839</v>
      </c>
      <c r="E1801" t="s">
        <v>3840</v>
      </c>
      <c r="F1801" t="s">
        <v>3841</v>
      </c>
      <c r="G1801" t="s">
        <v>3842</v>
      </c>
      <c r="H1801" t="str">
        <f>"046433"</f>
        <v>046433</v>
      </c>
      <c r="I1801" t="s">
        <v>833</v>
      </c>
      <c r="J1801" t="str">
        <f>"2015-07-01 00:00:00.0"</f>
        <v>2015-07-01 00:00:00.0</v>
      </c>
      <c r="K1801" t="s">
        <v>834</v>
      </c>
      <c r="L1801" t="s">
        <v>1</v>
      </c>
      <c r="M1801" t="str">
        <f t="shared" si="509"/>
        <v>048314</v>
      </c>
      <c r="N1801">
        <v>1</v>
      </c>
      <c r="O1801">
        <v>1</v>
      </c>
      <c r="P1801" t="str">
        <f>"03"</f>
        <v>03</v>
      </c>
      <c r="Q1801" t="s">
        <v>835</v>
      </c>
      <c r="S1801" t="s">
        <v>836</v>
      </c>
      <c r="T1801" t="s">
        <v>836</v>
      </c>
      <c r="U1801" t="str">
        <f t="shared" si="513"/>
        <v>2500-12-31 00:00:00.0</v>
      </c>
      <c r="V1801" t="s">
        <v>837</v>
      </c>
      <c r="W1801" t="str">
        <f>"046433-027003-**-**"</f>
        <v>046433-027003-**-**</v>
      </c>
      <c r="X1801" t="s">
        <v>838</v>
      </c>
      <c r="Y1801">
        <v>1114.4100000000001</v>
      </c>
      <c r="Z1801">
        <v>1114.4100000000001</v>
      </c>
      <c r="AA1801" t="str">
        <f>"05/26/2016"</f>
        <v>05/26/2016</v>
      </c>
    </row>
    <row r="1802" spans="1:27" x14ac:dyDescent="0.3">
      <c r="A1802" t="str">
        <f t="shared" si="512"/>
        <v>048314</v>
      </c>
      <c r="B1802" t="str">
        <f t="shared" si="503"/>
        <v>038430</v>
      </c>
      <c r="C1802" t="s">
        <v>2802</v>
      </c>
      <c r="D1802" t="s">
        <v>3839</v>
      </c>
      <c r="E1802" t="s">
        <v>3840</v>
      </c>
      <c r="F1802" t="s">
        <v>3841</v>
      </c>
      <c r="G1802" t="s">
        <v>3842</v>
      </c>
      <c r="H1802" t="str">
        <f>"048314"</f>
        <v>048314</v>
      </c>
      <c r="I1802" t="s">
        <v>833</v>
      </c>
      <c r="J1802" t="str">
        <f>"2015-07-01 00:00:00.0"</f>
        <v>2015-07-01 00:00:00.0</v>
      </c>
      <c r="K1802" t="s">
        <v>834</v>
      </c>
      <c r="L1802" t="s">
        <v>0</v>
      </c>
      <c r="M1802" t="str">
        <f t="shared" si="509"/>
        <v>048314</v>
      </c>
      <c r="N1802">
        <v>1</v>
      </c>
      <c r="O1802">
        <v>1</v>
      </c>
      <c r="P1802" t="str">
        <f>"04"</f>
        <v>04</v>
      </c>
      <c r="Q1802" t="str">
        <f>"05"</f>
        <v>05</v>
      </c>
      <c r="R1802" t="str">
        <f>"1"</f>
        <v>1</v>
      </c>
      <c r="S1802" t="s">
        <v>860</v>
      </c>
      <c r="T1802" t="s">
        <v>836</v>
      </c>
      <c r="U1802" t="str">
        <f t="shared" si="513"/>
        <v>2500-12-31 00:00:00.0</v>
      </c>
      <c r="V1802" t="s">
        <v>837</v>
      </c>
      <c r="W1802" t="str">
        <f>"048314-038430-**-**"</f>
        <v>048314-038430-**-**</v>
      </c>
      <c r="X1802" t="s">
        <v>838</v>
      </c>
      <c r="Y1802">
        <v>1206.25</v>
      </c>
      <c r="Z1802">
        <v>1206.25</v>
      </c>
      <c r="AA1802" t="str">
        <f>"06/08/2016"</f>
        <v>06/08/2016</v>
      </c>
    </row>
    <row r="1803" spans="1:27" x14ac:dyDescent="0.3">
      <c r="A1803" t="str">
        <f t="shared" si="512"/>
        <v>048314</v>
      </c>
      <c r="B1803" t="str">
        <f t="shared" si="503"/>
        <v>038430</v>
      </c>
      <c r="C1803" t="s">
        <v>2956</v>
      </c>
      <c r="D1803" t="s">
        <v>3839</v>
      </c>
      <c r="E1803" t="s">
        <v>3840</v>
      </c>
      <c r="F1803" t="s">
        <v>3841</v>
      </c>
      <c r="G1803" t="s">
        <v>3842</v>
      </c>
      <c r="H1803" t="str">
        <f>"046433"</f>
        <v>046433</v>
      </c>
      <c r="I1803" t="s">
        <v>833</v>
      </c>
      <c r="J1803" t="str">
        <f>"2015-08-01 00:00:00.0"</f>
        <v>2015-08-01 00:00:00.0</v>
      </c>
      <c r="K1803" t="s">
        <v>834</v>
      </c>
      <c r="L1803" t="s">
        <v>1</v>
      </c>
      <c r="M1803" t="str">
        <f t="shared" si="509"/>
        <v>048314</v>
      </c>
      <c r="N1803">
        <v>1</v>
      </c>
      <c r="O1803">
        <v>1</v>
      </c>
      <c r="P1803" t="s">
        <v>764</v>
      </c>
      <c r="Q1803" t="s">
        <v>835</v>
      </c>
      <c r="S1803" t="s">
        <v>836</v>
      </c>
      <c r="T1803" t="s">
        <v>836</v>
      </c>
      <c r="U1803" t="str">
        <f t="shared" si="513"/>
        <v>2500-12-31 00:00:00.0</v>
      </c>
      <c r="V1803" t="s">
        <v>837</v>
      </c>
      <c r="W1803" t="str">
        <f>"046433-027003-**-**"</f>
        <v>046433-027003-**-**</v>
      </c>
      <c r="X1803" t="s">
        <v>838</v>
      </c>
      <c r="Y1803">
        <v>1114.4100000000001</v>
      </c>
      <c r="Z1803">
        <v>1114.4100000000001</v>
      </c>
      <c r="AA1803" t="str">
        <f>"05/26/2016"</f>
        <v>05/26/2016</v>
      </c>
    </row>
    <row r="1804" spans="1:27" x14ac:dyDescent="0.3">
      <c r="A1804" t="str">
        <f t="shared" si="512"/>
        <v>048314</v>
      </c>
      <c r="B1804" t="str">
        <f t="shared" si="503"/>
        <v>038430</v>
      </c>
      <c r="C1804" t="s">
        <v>974</v>
      </c>
      <c r="D1804" t="s">
        <v>3839</v>
      </c>
      <c r="E1804" t="s">
        <v>3840</v>
      </c>
      <c r="F1804" t="s">
        <v>3841</v>
      </c>
      <c r="G1804" t="s">
        <v>3842</v>
      </c>
      <c r="H1804" t="str">
        <f>"046433"</f>
        <v>046433</v>
      </c>
      <c r="I1804" t="s">
        <v>833</v>
      </c>
      <c r="J1804" t="str">
        <f t="shared" ref="J1804:J1809" si="514">"2015-07-01 00:00:00.0"</f>
        <v>2015-07-01 00:00:00.0</v>
      </c>
      <c r="K1804" t="s">
        <v>834</v>
      </c>
      <c r="L1804" t="s">
        <v>1</v>
      </c>
      <c r="M1804" t="str">
        <f t="shared" si="509"/>
        <v>048314</v>
      </c>
      <c r="N1804">
        <v>1</v>
      </c>
      <c r="O1804">
        <v>1</v>
      </c>
      <c r="P1804" t="str">
        <f>"02"</f>
        <v>02</v>
      </c>
      <c r="Q1804" t="s">
        <v>835</v>
      </c>
      <c r="S1804" t="s">
        <v>836</v>
      </c>
      <c r="T1804" t="s">
        <v>836</v>
      </c>
      <c r="U1804" t="str">
        <f t="shared" si="513"/>
        <v>2500-12-31 00:00:00.0</v>
      </c>
      <c r="V1804" t="s">
        <v>837</v>
      </c>
      <c r="W1804" t="str">
        <f>"046433-027003-**-**"</f>
        <v>046433-027003-**-**</v>
      </c>
      <c r="X1804" t="s">
        <v>838</v>
      </c>
      <c r="Y1804">
        <v>1114.4100000000001</v>
      </c>
      <c r="Z1804">
        <v>1114.4100000000001</v>
      </c>
      <c r="AA1804" t="str">
        <f>"05/26/2016"</f>
        <v>05/26/2016</v>
      </c>
    </row>
    <row r="1805" spans="1:27" x14ac:dyDescent="0.3">
      <c r="A1805" t="str">
        <f t="shared" si="512"/>
        <v>048314</v>
      </c>
      <c r="B1805" t="str">
        <f t="shared" si="503"/>
        <v>038430</v>
      </c>
      <c r="C1805" t="s">
        <v>3327</v>
      </c>
      <c r="D1805" t="s">
        <v>3839</v>
      </c>
      <c r="E1805" t="s">
        <v>3840</v>
      </c>
      <c r="F1805" t="s">
        <v>3841</v>
      </c>
      <c r="G1805" t="s">
        <v>3842</v>
      </c>
      <c r="H1805" t="str">
        <f>"048314"</f>
        <v>048314</v>
      </c>
      <c r="I1805" t="s">
        <v>833</v>
      </c>
      <c r="J1805" t="str">
        <f t="shared" si="514"/>
        <v>2015-07-01 00:00:00.0</v>
      </c>
      <c r="K1805" t="s">
        <v>834</v>
      </c>
      <c r="L1805" t="s">
        <v>0</v>
      </c>
      <c r="M1805" t="str">
        <f t="shared" si="509"/>
        <v>048314</v>
      </c>
      <c r="N1805">
        <v>1</v>
      </c>
      <c r="O1805">
        <v>1</v>
      </c>
      <c r="P1805" t="str">
        <f>"04"</f>
        <v>04</v>
      </c>
      <c r="Q1805" t="s">
        <v>835</v>
      </c>
      <c r="S1805" t="s">
        <v>836</v>
      </c>
      <c r="T1805" t="s">
        <v>836</v>
      </c>
      <c r="U1805" t="str">
        <f t="shared" si="513"/>
        <v>2500-12-31 00:00:00.0</v>
      </c>
      <c r="V1805" t="s">
        <v>837</v>
      </c>
      <c r="W1805" t="str">
        <f>"048314-038430-**-**"</f>
        <v>048314-038430-**-**</v>
      </c>
      <c r="X1805" t="s">
        <v>838</v>
      </c>
      <c r="Y1805">
        <v>1206.25</v>
      </c>
      <c r="Z1805">
        <v>1206.25</v>
      </c>
      <c r="AA1805" t="str">
        <f>"06/08/2016"</f>
        <v>06/08/2016</v>
      </c>
    </row>
    <row r="1806" spans="1:27" x14ac:dyDescent="0.3">
      <c r="A1806" t="str">
        <f t="shared" si="512"/>
        <v>048314</v>
      </c>
      <c r="B1806" t="str">
        <f t="shared" si="503"/>
        <v>038430</v>
      </c>
      <c r="C1806" t="s">
        <v>3054</v>
      </c>
      <c r="D1806" t="s">
        <v>3839</v>
      </c>
      <c r="E1806" t="s">
        <v>3840</v>
      </c>
      <c r="F1806" t="s">
        <v>3841</v>
      </c>
      <c r="G1806" t="s">
        <v>3842</v>
      </c>
      <c r="H1806" t="str">
        <f>"048314"</f>
        <v>048314</v>
      </c>
      <c r="I1806" t="s">
        <v>833</v>
      </c>
      <c r="J1806" t="str">
        <f t="shared" si="514"/>
        <v>2015-07-01 00:00:00.0</v>
      </c>
      <c r="K1806" t="s">
        <v>834</v>
      </c>
      <c r="L1806" t="s">
        <v>0</v>
      </c>
      <c r="M1806" t="str">
        <f t="shared" si="509"/>
        <v>048314</v>
      </c>
      <c r="N1806">
        <v>1</v>
      </c>
      <c r="O1806">
        <v>1</v>
      </c>
      <c r="P1806" t="str">
        <f>"01"</f>
        <v>01</v>
      </c>
      <c r="Q1806" t="s">
        <v>835</v>
      </c>
      <c r="S1806" t="s">
        <v>836</v>
      </c>
      <c r="T1806" t="s">
        <v>836</v>
      </c>
      <c r="U1806" t="str">
        <f t="shared" si="513"/>
        <v>2500-12-31 00:00:00.0</v>
      </c>
      <c r="V1806" t="s">
        <v>837</v>
      </c>
      <c r="W1806" t="str">
        <f>"048314-038430-**-**"</f>
        <v>048314-038430-**-**</v>
      </c>
      <c r="X1806" t="s">
        <v>838</v>
      </c>
      <c r="Y1806">
        <v>1206.25</v>
      </c>
      <c r="Z1806">
        <v>1206.25</v>
      </c>
      <c r="AA1806" t="str">
        <f>"06/08/2016"</f>
        <v>06/08/2016</v>
      </c>
    </row>
    <row r="1807" spans="1:27" x14ac:dyDescent="0.3">
      <c r="A1807" t="str">
        <f t="shared" si="512"/>
        <v>048314</v>
      </c>
      <c r="B1807" t="str">
        <f t="shared" si="503"/>
        <v>038430</v>
      </c>
      <c r="C1807" t="s">
        <v>3545</v>
      </c>
      <c r="D1807" t="s">
        <v>3839</v>
      </c>
      <c r="E1807" t="s">
        <v>3840</v>
      </c>
      <c r="F1807" t="s">
        <v>3841</v>
      </c>
      <c r="G1807" t="s">
        <v>3842</v>
      </c>
      <c r="H1807" t="str">
        <f>"048314"</f>
        <v>048314</v>
      </c>
      <c r="I1807" t="s">
        <v>833</v>
      </c>
      <c r="J1807" t="str">
        <f t="shared" si="514"/>
        <v>2015-07-01 00:00:00.0</v>
      </c>
      <c r="K1807" t="s">
        <v>834</v>
      </c>
      <c r="L1807" t="s">
        <v>0</v>
      </c>
      <c r="M1807" t="str">
        <f t="shared" si="509"/>
        <v>048314</v>
      </c>
      <c r="N1807">
        <v>1</v>
      </c>
      <c r="O1807">
        <v>1</v>
      </c>
      <c r="P1807" t="str">
        <f>"04"</f>
        <v>04</v>
      </c>
      <c r="Q1807" t="s">
        <v>835</v>
      </c>
      <c r="S1807" t="s">
        <v>836</v>
      </c>
      <c r="T1807" t="s">
        <v>836</v>
      </c>
      <c r="U1807" t="str">
        <f t="shared" si="513"/>
        <v>2500-12-31 00:00:00.0</v>
      </c>
      <c r="V1807" t="s">
        <v>837</v>
      </c>
      <c r="W1807" t="str">
        <f>"048314-038430-**-**"</f>
        <v>048314-038430-**-**</v>
      </c>
      <c r="X1807" t="s">
        <v>838</v>
      </c>
      <c r="Y1807">
        <v>1206.25</v>
      </c>
      <c r="Z1807">
        <v>1206.25</v>
      </c>
      <c r="AA1807" t="str">
        <f>"06/08/2016"</f>
        <v>06/08/2016</v>
      </c>
    </row>
    <row r="1808" spans="1:27" x14ac:dyDescent="0.3">
      <c r="A1808" t="str">
        <f t="shared" si="512"/>
        <v>048314</v>
      </c>
      <c r="B1808" t="str">
        <f t="shared" si="503"/>
        <v>038430</v>
      </c>
      <c r="C1808" t="s">
        <v>3723</v>
      </c>
      <c r="D1808" t="s">
        <v>3839</v>
      </c>
      <c r="E1808" t="s">
        <v>3840</v>
      </c>
      <c r="F1808" t="s">
        <v>3841</v>
      </c>
      <c r="G1808" t="s">
        <v>3842</v>
      </c>
      <c r="H1808" t="str">
        <f>"048280"</f>
        <v>048280</v>
      </c>
      <c r="I1808" t="s">
        <v>833</v>
      </c>
      <c r="J1808" t="str">
        <f t="shared" si="514"/>
        <v>2015-07-01 00:00:00.0</v>
      </c>
      <c r="K1808" t="s">
        <v>834</v>
      </c>
      <c r="L1808" t="s">
        <v>142</v>
      </c>
      <c r="M1808" t="str">
        <f t="shared" si="509"/>
        <v>048314</v>
      </c>
      <c r="N1808">
        <v>1</v>
      </c>
      <c r="O1808">
        <v>1</v>
      </c>
      <c r="P1808" t="s">
        <v>841</v>
      </c>
      <c r="Q1808" t="str">
        <f>"05"</f>
        <v>05</v>
      </c>
      <c r="R1808" t="str">
        <f>"1"</f>
        <v>1</v>
      </c>
      <c r="S1808" t="s">
        <v>836</v>
      </c>
      <c r="T1808" t="s">
        <v>836</v>
      </c>
      <c r="U1808" t="str">
        <f t="shared" si="513"/>
        <v>2500-12-31 00:00:00.0</v>
      </c>
      <c r="V1808" t="s">
        <v>837</v>
      </c>
      <c r="W1808" t="str">
        <f>"048280-048280-PS-IC"</f>
        <v>048280-048280-PS-IC</v>
      </c>
      <c r="X1808" t="s">
        <v>838</v>
      </c>
      <c r="Y1808">
        <v>39</v>
      </c>
      <c r="Z1808">
        <v>39</v>
      </c>
      <c r="AA1808" t="str">
        <f>"06/15/2016"</f>
        <v>06/15/2016</v>
      </c>
    </row>
    <row r="1809" spans="1:27" x14ac:dyDescent="0.3">
      <c r="A1809" t="str">
        <f t="shared" si="512"/>
        <v>048314</v>
      </c>
      <c r="B1809" t="str">
        <f t="shared" si="503"/>
        <v>038430</v>
      </c>
      <c r="C1809" t="s">
        <v>3563</v>
      </c>
      <c r="D1809" t="s">
        <v>3839</v>
      </c>
      <c r="E1809" t="s">
        <v>3840</v>
      </c>
      <c r="F1809" t="s">
        <v>3841</v>
      </c>
      <c r="G1809" t="s">
        <v>3842</v>
      </c>
      <c r="H1809" t="str">
        <f t="shared" ref="H1809:H1814" si="515">"048314"</f>
        <v>048314</v>
      </c>
      <c r="I1809" t="s">
        <v>833</v>
      </c>
      <c r="J1809" t="str">
        <f t="shared" si="514"/>
        <v>2015-07-01 00:00:00.0</v>
      </c>
      <c r="K1809" t="s">
        <v>834</v>
      </c>
      <c r="L1809" t="s">
        <v>0</v>
      </c>
      <c r="M1809" t="str">
        <f t="shared" si="509"/>
        <v>048314</v>
      </c>
      <c r="N1809">
        <v>0.34196900000000002</v>
      </c>
      <c r="O1809">
        <v>0.34196900000000002</v>
      </c>
      <c r="P1809" t="str">
        <f>"03"</f>
        <v>03</v>
      </c>
      <c r="Q1809" t="s">
        <v>835</v>
      </c>
      <c r="S1809" t="s">
        <v>836</v>
      </c>
      <c r="T1809" t="s">
        <v>836</v>
      </c>
      <c r="U1809" t="str">
        <f>"2015-12-03 00:00:00.0"</f>
        <v>2015-12-03 00:00:00.0</v>
      </c>
      <c r="V1809" t="s">
        <v>837</v>
      </c>
      <c r="W1809" t="str">
        <f>"048314-038430-**-**"</f>
        <v>048314-038430-**-**</v>
      </c>
      <c r="X1809" t="s">
        <v>838</v>
      </c>
      <c r="Y1809">
        <v>412.5</v>
      </c>
      <c r="Z1809">
        <v>1206.25</v>
      </c>
      <c r="AA1809" t="str">
        <f t="shared" ref="AA1809:AA1814" si="516">"06/08/2016"</f>
        <v>06/08/2016</v>
      </c>
    </row>
    <row r="1810" spans="1:27" x14ac:dyDescent="0.3">
      <c r="A1810" t="str">
        <f t="shared" si="512"/>
        <v>048314</v>
      </c>
      <c r="B1810" t="str">
        <f t="shared" si="503"/>
        <v>038430</v>
      </c>
      <c r="C1810" t="s">
        <v>3563</v>
      </c>
      <c r="D1810" t="s">
        <v>3839</v>
      </c>
      <c r="E1810" t="s">
        <v>3840</v>
      </c>
      <c r="F1810" t="s">
        <v>3841</v>
      </c>
      <c r="G1810" t="s">
        <v>3842</v>
      </c>
      <c r="H1810" t="str">
        <f t="shared" si="515"/>
        <v>048314</v>
      </c>
      <c r="I1810" t="s">
        <v>833</v>
      </c>
      <c r="J1810" t="str">
        <f>"2015-12-04 00:00:00.0"</f>
        <v>2015-12-04 00:00:00.0</v>
      </c>
      <c r="K1810" t="s">
        <v>834</v>
      </c>
      <c r="L1810" t="s">
        <v>0</v>
      </c>
      <c r="M1810" t="str">
        <f t="shared" si="509"/>
        <v>048314</v>
      </c>
      <c r="N1810">
        <v>0.65803100000000003</v>
      </c>
      <c r="O1810">
        <v>0.65803100000000003</v>
      </c>
      <c r="P1810" t="str">
        <f>"03"</f>
        <v>03</v>
      </c>
      <c r="Q1810" t="s">
        <v>835</v>
      </c>
      <c r="S1810" t="s">
        <v>860</v>
      </c>
      <c r="T1810" t="s">
        <v>836</v>
      </c>
      <c r="U1810" t="str">
        <f>"2500-12-31 00:00:00.0"</f>
        <v>2500-12-31 00:00:00.0</v>
      </c>
      <c r="V1810" t="s">
        <v>837</v>
      </c>
      <c r="W1810" t="str">
        <f>"048314-038430-**-**"</f>
        <v>048314-038430-**-**</v>
      </c>
      <c r="X1810" t="s">
        <v>838</v>
      </c>
      <c r="Y1810">
        <v>793.75</v>
      </c>
      <c r="Z1810">
        <v>1206.25</v>
      </c>
      <c r="AA1810" t="str">
        <f t="shared" si="516"/>
        <v>06/08/2016</v>
      </c>
    </row>
    <row r="1811" spans="1:27" x14ac:dyDescent="0.3">
      <c r="A1811" t="str">
        <f t="shared" si="512"/>
        <v>048314</v>
      </c>
      <c r="B1811" t="str">
        <f t="shared" si="503"/>
        <v>038430</v>
      </c>
      <c r="C1811" t="s">
        <v>2962</v>
      </c>
      <c r="D1811" t="s">
        <v>3839</v>
      </c>
      <c r="E1811" t="s">
        <v>3840</v>
      </c>
      <c r="F1811" t="s">
        <v>3841</v>
      </c>
      <c r="G1811" t="s">
        <v>3842</v>
      </c>
      <c r="H1811" t="str">
        <f t="shared" si="515"/>
        <v>048314</v>
      </c>
      <c r="I1811" t="s">
        <v>833</v>
      </c>
      <c r="J1811" t="str">
        <f>"2015-07-01 00:00:00.0"</f>
        <v>2015-07-01 00:00:00.0</v>
      </c>
      <c r="K1811" t="s">
        <v>834</v>
      </c>
      <c r="L1811" t="s">
        <v>0</v>
      </c>
      <c r="M1811" t="str">
        <f t="shared" si="509"/>
        <v>048314</v>
      </c>
      <c r="N1811">
        <v>0.34196900000000002</v>
      </c>
      <c r="O1811">
        <v>0.34196900000000002</v>
      </c>
      <c r="P1811" t="str">
        <f>"02"</f>
        <v>02</v>
      </c>
      <c r="Q1811" t="str">
        <f>"06"</f>
        <v>06</v>
      </c>
      <c r="R1811" t="str">
        <f>"5"</f>
        <v>5</v>
      </c>
      <c r="S1811" t="s">
        <v>836</v>
      </c>
      <c r="T1811" t="s">
        <v>836</v>
      </c>
      <c r="U1811" t="str">
        <f>"2015-12-03 00:00:00.0"</f>
        <v>2015-12-03 00:00:00.0</v>
      </c>
      <c r="V1811" t="s">
        <v>837</v>
      </c>
      <c r="W1811" t="str">
        <f>"048314-038430-**-**"</f>
        <v>048314-038430-**-**</v>
      </c>
      <c r="X1811" t="s">
        <v>838</v>
      </c>
      <c r="Y1811">
        <v>412.5</v>
      </c>
      <c r="Z1811">
        <v>1206.25</v>
      </c>
      <c r="AA1811" t="str">
        <f t="shared" si="516"/>
        <v>06/08/2016</v>
      </c>
    </row>
    <row r="1812" spans="1:27" x14ac:dyDescent="0.3">
      <c r="A1812" t="str">
        <f t="shared" si="512"/>
        <v>048314</v>
      </c>
      <c r="B1812" t="str">
        <f t="shared" si="503"/>
        <v>038430</v>
      </c>
      <c r="C1812" t="s">
        <v>2962</v>
      </c>
      <c r="D1812" t="s">
        <v>3839</v>
      </c>
      <c r="E1812" t="s">
        <v>3840</v>
      </c>
      <c r="F1812" t="s">
        <v>3841</v>
      </c>
      <c r="G1812" t="s">
        <v>3842</v>
      </c>
      <c r="H1812" t="str">
        <f t="shared" si="515"/>
        <v>048314</v>
      </c>
      <c r="I1812" t="s">
        <v>833</v>
      </c>
      <c r="J1812" t="str">
        <f>"2015-12-04 00:00:00.0"</f>
        <v>2015-12-04 00:00:00.0</v>
      </c>
      <c r="K1812" t="s">
        <v>834</v>
      </c>
      <c r="L1812" t="s">
        <v>0</v>
      </c>
      <c r="M1812" t="str">
        <f t="shared" si="509"/>
        <v>048314</v>
      </c>
      <c r="N1812">
        <v>0.65803100000000003</v>
      </c>
      <c r="O1812">
        <v>0.65803100000000003</v>
      </c>
      <c r="P1812" t="str">
        <f>"02"</f>
        <v>02</v>
      </c>
      <c r="Q1812" t="str">
        <f>"06"</f>
        <v>06</v>
      </c>
      <c r="R1812" t="str">
        <f>"5"</f>
        <v>5</v>
      </c>
      <c r="S1812" t="s">
        <v>860</v>
      </c>
      <c r="T1812" t="s">
        <v>836</v>
      </c>
      <c r="U1812" t="str">
        <f t="shared" ref="U1812:U1839" si="517">"2500-12-31 00:00:00.0"</f>
        <v>2500-12-31 00:00:00.0</v>
      </c>
      <c r="V1812" t="s">
        <v>837</v>
      </c>
      <c r="W1812" t="str">
        <f>"048314-038430-**-**"</f>
        <v>048314-038430-**-**</v>
      </c>
      <c r="X1812" t="s">
        <v>838</v>
      </c>
      <c r="Y1812">
        <v>793.75</v>
      </c>
      <c r="Z1812">
        <v>1206.25</v>
      </c>
      <c r="AA1812" t="str">
        <f t="shared" si="516"/>
        <v>06/08/2016</v>
      </c>
    </row>
    <row r="1813" spans="1:27" x14ac:dyDescent="0.3">
      <c r="A1813" t="str">
        <f t="shared" si="512"/>
        <v>048314</v>
      </c>
      <c r="B1813" t="str">
        <f t="shared" si="503"/>
        <v>038430</v>
      </c>
      <c r="C1813" t="s">
        <v>3100</v>
      </c>
      <c r="D1813" t="s">
        <v>3839</v>
      </c>
      <c r="E1813" t="s">
        <v>3840</v>
      </c>
      <c r="F1813" t="s">
        <v>3841</v>
      </c>
      <c r="G1813" t="s">
        <v>3842</v>
      </c>
      <c r="H1813" t="str">
        <f t="shared" si="515"/>
        <v>048314</v>
      </c>
      <c r="I1813" t="s">
        <v>833</v>
      </c>
      <c r="J1813" t="str">
        <f t="shared" ref="J1813:J1821" si="518">"2015-07-01 00:00:00.0"</f>
        <v>2015-07-01 00:00:00.0</v>
      </c>
      <c r="K1813" t="s">
        <v>834</v>
      </c>
      <c r="L1813" t="s">
        <v>0</v>
      </c>
      <c r="M1813" t="str">
        <f t="shared" si="509"/>
        <v>048314</v>
      </c>
      <c r="N1813">
        <v>1</v>
      </c>
      <c r="O1813">
        <v>1</v>
      </c>
      <c r="P1813" t="str">
        <f>"05"</f>
        <v>05</v>
      </c>
      <c r="Q1813" t="s">
        <v>835</v>
      </c>
      <c r="S1813" t="s">
        <v>836</v>
      </c>
      <c r="T1813" t="s">
        <v>836</v>
      </c>
      <c r="U1813" t="str">
        <f t="shared" si="517"/>
        <v>2500-12-31 00:00:00.0</v>
      </c>
      <c r="V1813" t="s">
        <v>837</v>
      </c>
      <c r="W1813" t="str">
        <f>"048314-070417-**-**"</f>
        <v>048314-070417-**-**</v>
      </c>
      <c r="X1813" t="s">
        <v>838</v>
      </c>
      <c r="Y1813">
        <v>1125</v>
      </c>
      <c r="Z1813">
        <v>1125</v>
      </c>
      <c r="AA1813" t="str">
        <f t="shared" si="516"/>
        <v>06/08/2016</v>
      </c>
    </row>
    <row r="1814" spans="1:27" x14ac:dyDescent="0.3">
      <c r="A1814" t="str">
        <f t="shared" si="512"/>
        <v>048314</v>
      </c>
      <c r="B1814" t="str">
        <f t="shared" si="503"/>
        <v>038430</v>
      </c>
      <c r="C1814" t="s">
        <v>3212</v>
      </c>
      <c r="D1814" t="s">
        <v>3839</v>
      </c>
      <c r="E1814" t="s">
        <v>3840</v>
      </c>
      <c r="F1814" t="s">
        <v>3841</v>
      </c>
      <c r="G1814" t="s">
        <v>3842</v>
      </c>
      <c r="H1814" t="str">
        <f t="shared" si="515"/>
        <v>048314</v>
      </c>
      <c r="I1814" t="s">
        <v>833</v>
      </c>
      <c r="J1814" t="str">
        <f t="shared" si="518"/>
        <v>2015-07-01 00:00:00.0</v>
      </c>
      <c r="K1814" t="s">
        <v>834</v>
      </c>
      <c r="L1814" t="s">
        <v>0</v>
      </c>
      <c r="M1814" t="str">
        <f t="shared" si="509"/>
        <v>048314</v>
      </c>
      <c r="N1814">
        <v>1</v>
      </c>
      <c r="O1814">
        <v>1</v>
      </c>
      <c r="P1814" t="str">
        <f>"03"</f>
        <v>03</v>
      </c>
      <c r="Q1814" t="s">
        <v>835</v>
      </c>
      <c r="S1814" t="s">
        <v>836</v>
      </c>
      <c r="T1814" t="s">
        <v>836</v>
      </c>
      <c r="U1814" t="str">
        <f t="shared" si="517"/>
        <v>2500-12-31 00:00:00.0</v>
      </c>
      <c r="V1814" t="s">
        <v>837</v>
      </c>
      <c r="W1814" t="str">
        <f>"048314-038430-**-**"</f>
        <v>048314-038430-**-**</v>
      </c>
      <c r="X1814" t="s">
        <v>838</v>
      </c>
      <c r="Y1814">
        <v>1206.25</v>
      </c>
      <c r="Z1814">
        <v>1206.25</v>
      </c>
      <c r="AA1814" t="str">
        <f t="shared" si="516"/>
        <v>06/08/2016</v>
      </c>
    </row>
    <row r="1815" spans="1:27" x14ac:dyDescent="0.3">
      <c r="A1815" t="str">
        <f t="shared" si="512"/>
        <v>048314</v>
      </c>
      <c r="B1815" t="str">
        <f t="shared" si="503"/>
        <v>038430</v>
      </c>
      <c r="C1815" t="s">
        <v>2075</v>
      </c>
      <c r="D1815" t="s">
        <v>3839</v>
      </c>
      <c r="E1815" t="s">
        <v>3840</v>
      </c>
      <c r="F1815" t="s">
        <v>3841</v>
      </c>
      <c r="G1815" t="s">
        <v>3842</v>
      </c>
      <c r="H1815" t="str">
        <f>"048280"</f>
        <v>048280</v>
      </c>
      <c r="I1815" t="s">
        <v>833</v>
      </c>
      <c r="J1815" t="str">
        <f t="shared" si="518"/>
        <v>2015-07-01 00:00:00.0</v>
      </c>
      <c r="K1815" t="s">
        <v>834</v>
      </c>
      <c r="L1815" t="s">
        <v>142</v>
      </c>
      <c r="M1815" t="str">
        <f t="shared" si="509"/>
        <v>048314</v>
      </c>
      <c r="N1815">
        <v>1</v>
      </c>
      <c r="O1815">
        <v>1</v>
      </c>
      <c r="P1815" t="s">
        <v>841</v>
      </c>
      <c r="Q1815" t="str">
        <f>"16"</f>
        <v>16</v>
      </c>
      <c r="R1815" t="str">
        <f>"2"</f>
        <v>2</v>
      </c>
      <c r="S1815" t="s">
        <v>836</v>
      </c>
      <c r="T1815" t="s">
        <v>836</v>
      </c>
      <c r="U1815" t="str">
        <f t="shared" si="517"/>
        <v>2500-12-31 00:00:00.0</v>
      </c>
      <c r="V1815" t="s">
        <v>837</v>
      </c>
      <c r="W1815" t="str">
        <f>"048280-048280-PS-GA"</f>
        <v>048280-048280-PS-GA</v>
      </c>
      <c r="X1815" t="s">
        <v>838</v>
      </c>
      <c r="Y1815">
        <v>145</v>
      </c>
      <c r="Z1815">
        <v>145</v>
      </c>
      <c r="AA1815" t="str">
        <f>"06/15/2016"</f>
        <v>06/15/2016</v>
      </c>
    </row>
    <row r="1816" spans="1:27" x14ac:dyDescent="0.3">
      <c r="A1816" t="str">
        <f t="shared" si="512"/>
        <v>048314</v>
      </c>
      <c r="B1816" t="str">
        <f t="shared" si="503"/>
        <v>038430</v>
      </c>
      <c r="C1816" t="s">
        <v>3649</v>
      </c>
      <c r="D1816" t="s">
        <v>3839</v>
      </c>
      <c r="E1816" t="s">
        <v>3840</v>
      </c>
      <c r="F1816" t="s">
        <v>3841</v>
      </c>
      <c r="G1816" t="s">
        <v>3842</v>
      </c>
      <c r="H1816" t="str">
        <f t="shared" ref="H1816:H1841" si="519">"048314"</f>
        <v>048314</v>
      </c>
      <c r="I1816" t="s">
        <v>833</v>
      </c>
      <c r="J1816" t="str">
        <f t="shared" si="518"/>
        <v>2015-07-01 00:00:00.0</v>
      </c>
      <c r="K1816" t="s">
        <v>834</v>
      </c>
      <c r="L1816" t="s">
        <v>0</v>
      </c>
      <c r="M1816" t="str">
        <f t="shared" si="509"/>
        <v>048314</v>
      </c>
      <c r="N1816">
        <v>1</v>
      </c>
      <c r="O1816">
        <v>1</v>
      </c>
      <c r="P1816" t="str">
        <f>"04"</f>
        <v>04</v>
      </c>
      <c r="Q1816" t="s">
        <v>835</v>
      </c>
      <c r="S1816" t="s">
        <v>836</v>
      </c>
      <c r="T1816" t="s">
        <v>836</v>
      </c>
      <c r="U1816" t="str">
        <f t="shared" si="517"/>
        <v>2500-12-31 00:00:00.0</v>
      </c>
      <c r="V1816" t="s">
        <v>837</v>
      </c>
      <c r="W1816" t="str">
        <f>"048314-038430-**-**"</f>
        <v>048314-038430-**-**</v>
      </c>
      <c r="X1816" t="s">
        <v>838</v>
      </c>
      <c r="Y1816">
        <v>1206.25</v>
      </c>
      <c r="Z1816">
        <v>1206.25</v>
      </c>
      <c r="AA1816" t="str">
        <f t="shared" ref="AA1816:AA1841" si="520">"06/08/2016"</f>
        <v>06/08/2016</v>
      </c>
    </row>
    <row r="1817" spans="1:27" x14ac:dyDescent="0.3">
      <c r="A1817" t="str">
        <f t="shared" si="512"/>
        <v>048314</v>
      </c>
      <c r="B1817" t="str">
        <f t="shared" si="503"/>
        <v>038430</v>
      </c>
      <c r="C1817" t="s">
        <v>913</v>
      </c>
      <c r="D1817" t="s">
        <v>3839</v>
      </c>
      <c r="E1817" t="s">
        <v>3840</v>
      </c>
      <c r="F1817" t="s">
        <v>3841</v>
      </c>
      <c r="G1817" t="s">
        <v>3842</v>
      </c>
      <c r="H1817" t="str">
        <f t="shared" si="519"/>
        <v>048314</v>
      </c>
      <c r="I1817" t="s">
        <v>833</v>
      </c>
      <c r="J1817" t="str">
        <f t="shared" si="518"/>
        <v>2015-07-01 00:00:00.0</v>
      </c>
      <c r="K1817" t="s">
        <v>834</v>
      </c>
      <c r="L1817" t="s">
        <v>0</v>
      </c>
      <c r="M1817" t="str">
        <f t="shared" si="509"/>
        <v>048314</v>
      </c>
      <c r="N1817">
        <v>1</v>
      </c>
      <c r="O1817">
        <v>1</v>
      </c>
      <c r="P1817" t="str">
        <f>"01"</f>
        <v>01</v>
      </c>
      <c r="Q1817" t="s">
        <v>835</v>
      </c>
      <c r="S1817" t="s">
        <v>836</v>
      </c>
      <c r="T1817" t="s">
        <v>836</v>
      </c>
      <c r="U1817" t="str">
        <f t="shared" si="517"/>
        <v>2500-12-31 00:00:00.0</v>
      </c>
      <c r="V1817" t="s">
        <v>837</v>
      </c>
      <c r="W1817" t="str">
        <f>"048314-038430-**-**"</f>
        <v>048314-038430-**-**</v>
      </c>
      <c r="X1817" t="s">
        <v>838</v>
      </c>
      <c r="Y1817">
        <v>1206.25</v>
      </c>
      <c r="Z1817">
        <v>1206.25</v>
      </c>
      <c r="AA1817" t="str">
        <f t="shared" si="520"/>
        <v>06/08/2016</v>
      </c>
    </row>
    <row r="1818" spans="1:27" x14ac:dyDescent="0.3">
      <c r="A1818" t="str">
        <f t="shared" si="512"/>
        <v>048314</v>
      </c>
      <c r="B1818" t="str">
        <f t="shared" si="503"/>
        <v>038430</v>
      </c>
      <c r="C1818" t="s">
        <v>3546</v>
      </c>
      <c r="D1818" t="s">
        <v>3839</v>
      </c>
      <c r="E1818" t="s">
        <v>3840</v>
      </c>
      <c r="F1818" t="s">
        <v>3841</v>
      </c>
      <c r="G1818" t="s">
        <v>3842</v>
      </c>
      <c r="H1818" t="str">
        <f t="shared" si="519"/>
        <v>048314</v>
      </c>
      <c r="I1818" t="s">
        <v>833</v>
      </c>
      <c r="J1818" t="str">
        <f t="shared" si="518"/>
        <v>2015-07-01 00:00:00.0</v>
      </c>
      <c r="K1818" t="s">
        <v>834</v>
      </c>
      <c r="L1818" t="s">
        <v>0</v>
      </c>
      <c r="M1818" t="str">
        <f t="shared" si="509"/>
        <v>048314</v>
      </c>
      <c r="N1818">
        <v>1</v>
      </c>
      <c r="O1818">
        <v>1</v>
      </c>
      <c r="P1818" t="str">
        <f>"03"</f>
        <v>03</v>
      </c>
      <c r="Q1818" t="s">
        <v>835</v>
      </c>
      <c r="S1818" t="s">
        <v>836</v>
      </c>
      <c r="T1818" t="s">
        <v>836</v>
      </c>
      <c r="U1818" t="str">
        <f t="shared" si="517"/>
        <v>2500-12-31 00:00:00.0</v>
      </c>
      <c r="V1818" t="s">
        <v>837</v>
      </c>
      <c r="W1818" t="str">
        <f>"048314-038430-**-**"</f>
        <v>048314-038430-**-**</v>
      </c>
      <c r="X1818" t="s">
        <v>838</v>
      </c>
      <c r="Y1818">
        <v>1206.25</v>
      </c>
      <c r="Z1818">
        <v>1206.25</v>
      </c>
      <c r="AA1818" t="str">
        <f t="shared" si="520"/>
        <v>06/08/2016</v>
      </c>
    </row>
    <row r="1819" spans="1:27" x14ac:dyDescent="0.3">
      <c r="A1819" t="str">
        <f t="shared" si="512"/>
        <v>048314</v>
      </c>
      <c r="B1819" t="str">
        <f t="shared" si="503"/>
        <v>038430</v>
      </c>
      <c r="C1819" t="s">
        <v>3368</v>
      </c>
      <c r="D1819" t="s">
        <v>3839</v>
      </c>
      <c r="E1819" t="s">
        <v>3840</v>
      </c>
      <c r="F1819" t="s">
        <v>3841</v>
      </c>
      <c r="G1819" t="s">
        <v>3842</v>
      </c>
      <c r="H1819" t="str">
        <f t="shared" si="519"/>
        <v>048314</v>
      </c>
      <c r="I1819" t="s">
        <v>833</v>
      </c>
      <c r="J1819" t="str">
        <f t="shared" si="518"/>
        <v>2015-07-01 00:00:00.0</v>
      </c>
      <c r="K1819" t="s">
        <v>834</v>
      </c>
      <c r="L1819" t="s">
        <v>0</v>
      </c>
      <c r="M1819" t="str">
        <f t="shared" si="509"/>
        <v>048314</v>
      </c>
      <c r="N1819">
        <v>1</v>
      </c>
      <c r="O1819">
        <v>1</v>
      </c>
      <c r="P1819" t="str">
        <f>"04"</f>
        <v>04</v>
      </c>
      <c r="Q1819" t="str">
        <f>"10"</f>
        <v>10</v>
      </c>
      <c r="R1819" t="str">
        <f>"2"</f>
        <v>2</v>
      </c>
      <c r="S1819" t="s">
        <v>836</v>
      </c>
      <c r="T1819" t="s">
        <v>836</v>
      </c>
      <c r="U1819" t="str">
        <f t="shared" si="517"/>
        <v>2500-12-31 00:00:00.0</v>
      </c>
      <c r="V1819" t="s">
        <v>837</v>
      </c>
      <c r="W1819" t="str">
        <f>"048314-038430-**-**"</f>
        <v>048314-038430-**-**</v>
      </c>
      <c r="X1819" t="s">
        <v>838</v>
      </c>
      <c r="Y1819">
        <v>1206.25</v>
      </c>
      <c r="Z1819">
        <v>1206.25</v>
      </c>
      <c r="AA1819" t="str">
        <f t="shared" si="520"/>
        <v>06/08/2016</v>
      </c>
    </row>
    <row r="1820" spans="1:27" x14ac:dyDescent="0.3">
      <c r="A1820" t="str">
        <f t="shared" si="512"/>
        <v>048314</v>
      </c>
      <c r="B1820" t="str">
        <f t="shared" si="503"/>
        <v>038430</v>
      </c>
      <c r="C1820" t="s">
        <v>2885</v>
      </c>
      <c r="D1820" t="s">
        <v>3839</v>
      </c>
      <c r="E1820" t="s">
        <v>3840</v>
      </c>
      <c r="F1820" t="s">
        <v>3841</v>
      </c>
      <c r="G1820" t="s">
        <v>3842</v>
      </c>
      <c r="H1820" t="str">
        <f t="shared" si="519"/>
        <v>048314</v>
      </c>
      <c r="I1820" t="s">
        <v>833</v>
      </c>
      <c r="J1820" t="str">
        <f t="shared" si="518"/>
        <v>2015-07-01 00:00:00.0</v>
      </c>
      <c r="K1820" t="s">
        <v>834</v>
      </c>
      <c r="L1820" t="s">
        <v>0</v>
      </c>
      <c r="M1820" t="str">
        <f t="shared" si="509"/>
        <v>048314</v>
      </c>
      <c r="N1820">
        <v>1</v>
      </c>
      <c r="O1820">
        <v>1</v>
      </c>
      <c r="P1820" t="str">
        <f>"05"</f>
        <v>05</v>
      </c>
      <c r="Q1820" t="s">
        <v>835</v>
      </c>
      <c r="S1820" t="s">
        <v>836</v>
      </c>
      <c r="T1820" t="s">
        <v>836</v>
      </c>
      <c r="U1820" t="str">
        <f t="shared" si="517"/>
        <v>2500-12-31 00:00:00.0</v>
      </c>
      <c r="V1820" t="s">
        <v>837</v>
      </c>
      <c r="W1820" t="str">
        <f>"048314-070417-**-**"</f>
        <v>048314-070417-**-**</v>
      </c>
      <c r="X1820" t="s">
        <v>838</v>
      </c>
      <c r="Y1820">
        <v>1125</v>
      </c>
      <c r="Z1820">
        <v>1125</v>
      </c>
      <c r="AA1820" t="str">
        <f t="shared" si="520"/>
        <v>06/08/2016</v>
      </c>
    </row>
    <row r="1821" spans="1:27" x14ac:dyDescent="0.3">
      <c r="A1821" t="str">
        <f t="shared" si="512"/>
        <v>048314</v>
      </c>
      <c r="B1821" t="str">
        <f t="shared" si="503"/>
        <v>038430</v>
      </c>
      <c r="C1821" t="s">
        <v>1025</v>
      </c>
      <c r="D1821" t="s">
        <v>3839</v>
      </c>
      <c r="E1821" t="s">
        <v>3840</v>
      </c>
      <c r="F1821" t="s">
        <v>3841</v>
      </c>
      <c r="G1821" t="s">
        <v>3842</v>
      </c>
      <c r="H1821" t="str">
        <f t="shared" si="519"/>
        <v>048314</v>
      </c>
      <c r="I1821" t="s">
        <v>833</v>
      </c>
      <c r="J1821" t="str">
        <f t="shared" si="518"/>
        <v>2015-07-01 00:00:00.0</v>
      </c>
      <c r="K1821" t="s">
        <v>834</v>
      </c>
      <c r="L1821" t="s">
        <v>0</v>
      </c>
      <c r="M1821" t="str">
        <f t="shared" si="509"/>
        <v>048314</v>
      </c>
      <c r="N1821">
        <v>1</v>
      </c>
      <c r="O1821">
        <v>1</v>
      </c>
      <c r="P1821" t="str">
        <f>"01"</f>
        <v>01</v>
      </c>
      <c r="Q1821" t="s">
        <v>835</v>
      </c>
      <c r="S1821" t="s">
        <v>836</v>
      </c>
      <c r="T1821" t="s">
        <v>836</v>
      </c>
      <c r="U1821" t="str">
        <f t="shared" si="517"/>
        <v>2500-12-31 00:00:00.0</v>
      </c>
      <c r="V1821" t="s">
        <v>837</v>
      </c>
      <c r="W1821" t="str">
        <f t="shared" ref="W1821:W1828" si="521">"048314-038430-**-**"</f>
        <v>048314-038430-**-**</v>
      </c>
      <c r="X1821" t="s">
        <v>838</v>
      </c>
      <c r="Y1821">
        <v>1206.25</v>
      </c>
      <c r="Z1821">
        <v>1206.25</v>
      </c>
      <c r="AA1821" t="str">
        <f t="shared" si="520"/>
        <v>06/08/2016</v>
      </c>
    </row>
    <row r="1822" spans="1:27" x14ac:dyDescent="0.3">
      <c r="A1822" t="str">
        <f t="shared" si="512"/>
        <v>048314</v>
      </c>
      <c r="B1822" t="str">
        <f t="shared" si="503"/>
        <v>038430</v>
      </c>
      <c r="C1822" t="s">
        <v>1314</v>
      </c>
      <c r="D1822" t="s">
        <v>3839</v>
      </c>
      <c r="E1822" t="s">
        <v>3840</v>
      </c>
      <c r="F1822" t="s">
        <v>3841</v>
      </c>
      <c r="G1822" t="s">
        <v>3842</v>
      </c>
      <c r="H1822" t="str">
        <f t="shared" si="519"/>
        <v>048314</v>
      </c>
      <c r="I1822" t="s">
        <v>833</v>
      </c>
      <c r="J1822" t="str">
        <f>"2015-08-01 00:00:00.0"</f>
        <v>2015-08-01 00:00:00.0</v>
      </c>
      <c r="K1822" t="s">
        <v>834</v>
      </c>
      <c r="L1822" t="s">
        <v>0</v>
      </c>
      <c r="M1822" t="str">
        <f t="shared" si="509"/>
        <v>048314</v>
      </c>
      <c r="N1822">
        <v>1</v>
      </c>
      <c r="O1822">
        <v>1</v>
      </c>
      <c r="P1822" t="s">
        <v>764</v>
      </c>
      <c r="Q1822" t="s">
        <v>835</v>
      </c>
      <c r="S1822" t="s">
        <v>836</v>
      </c>
      <c r="T1822" t="s">
        <v>836</v>
      </c>
      <c r="U1822" t="str">
        <f t="shared" si="517"/>
        <v>2500-12-31 00:00:00.0</v>
      </c>
      <c r="V1822" t="s">
        <v>837</v>
      </c>
      <c r="W1822" t="str">
        <f t="shared" si="521"/>
        <v>048314-038430-**-**</v>
      </c>
      <c r="X1822" t="s">
        <v>838</v>
      </c>
      <c r="Y1822">
        <v>1206.25</v>
      </c>
      <c r="Z1822">
        <v>1206.25</v>
      </c>
      <c r="AA1822" t="str">
        <f t="shared" si="520"/>
        <v>06/08/2016</v>
      </c>
    </row>
    <row r="1823" spans="1:27" x14ac:dyDescent="0.3">
      <c r="A1823" t="str">
        <f t="shared" si="512"/>
        <v>048314</v>
      </c>
      <c r="B1823" t="str">
        <f t="shared" si="503"/>
        <v>038430</v>
      </c>
      <c r="C1823" t="s">
        <v>3691</v>
      </c>
      <c r="D1823" t="s">
        <v>3839</v>
      </c>
      <c r="E1823" t="s">
        <v>3840</v>
      </c>
      <c r="F1823" t="s">
        <v>3841</v>
      </c>
      <c r="G1823" t="s">
        <v>3842</v>
      </c>
      <c r="H1823" t="str">
        <f t="shared" si="519"/>
        <v>048314</v>
      </c>
      <c r="I1823" t="s">
        <v>833</v>
      </c>
      <c r="J1823" t="str">
        <f>"2015-08-01 00:00:00.0"</f>
        <v>2015-08-01 00:00:00.0</v>
      </c>
      <c r="K1823" t="s">
        <v>834</v>
      </c>
      <c r="L1823" t="s">
        <v>0</v>
      </c>
      <c r="M1823" t="str">
        <f t="shared" si="509"/>
        <v>048314</v>
      </c>
      <c r="N1823">
        <v>1</v>
      </c>
      <c r="O1823">
        <v>1</v>
      </c>
      <c r="P1823" t="s">
        <v>764</v>
      </c>
      <c r="Q1823" t="s">
        <v>835</v>
      </c>
      <c r="S1823" t="s">
        <v>836</v>
      </c>
      <c r="T1823" t="s">
        <v>836</v>
      </c>
      <c r="U1823" t="str">
        <f t="shared" si="517"/>
        <v>2500-12-31 00:00:00.0</v>
      </c>
      <c r="V1823" t="s">
        <v>837</v>
      </c>
      <c r="W1823" t="str">
        <f t="shared" si="521"/>
        <v>048314-038430-**-**</v>
      </c>
      <c r="X1823" t="s">
        <v>838</v>
      </c>
      <c r="Y1823">
        <v>1206.25</v>
      </c>
      <c r="Z1823">
        <v>1206.25</v>
      </c>
      <c r="AA1823" t="str">
        <f t="shared" si="520"/>
        <v>06/08/2016</v>
      </c>
    </row>
    <row r="1824" spans="1:27" x14ac:dyDescent="0.3">
      <c r="A1824" t="str">
        <f t="shared" si="512"/>
        <v>048314</v>
      </c>
      <c r="B1824" t="str">
        <f t="shared" si="503"/>
        <v>038430</v>
      </c>
      <c r="C1824" t="s">
        <v>3646</v>
      </c>
      <c r="D1824" t="s">
        <v>3839</v>
      </c>
      <c r="E1824" t="s">
        <v>3840</v>
      </c>
      <c r="F1824" t="s">
        <v>3841</v>
      </c>
      <c r="G1824" t="s">
        <v>3842</v>
      </c>
      <c r="H1824" t="str">
        <f t="shared" si="519"/>
        <v>048314</v>
      </c>
      <c r="I1824" t="s">
        <v>833</v>
      </c>
      <c r="J1824" t="str">
        <f t="shared" ref="J1824:J1829" si="522">"2015-07-01 00:00:00.0"</f>
        <v>2015-07-01 00:00:00.0</v>
      </c>
      <c r="K1824" t="s">
        <v>834</v>
      </c>
      <c r="L1824" t="s">
        <v>0</v>
      </c>
      <c r="M1824" t="str">
        <f t="shared" si="509"/>
        <v>048314</v>
      </c>
      <c r="N1824">
        <v>1</v>
      </c>
      <c r="O1824">
        <v>1</v>
      </c>
      <c r="P1824" t="str">
        <f>"03"</f>
        <v>03</v>
      </c>
      <c r="Q1824" t="s">
        <v>835</v>
      </c>
      <c r="S1824" t="s">
        <v>860</v>
      </c>
      <c r="T1824" t="s">
        <v>836</v>
      </c>
      <c r="U1824" t="str">
        <f t="shared" si="517"/>
        <v>2500-12-31 00:00:00.0</v>
      </c>
      <c r="V1824" t="s">
        <v>837</v>
      </c>
      <c r="W1824" t="str">
        <f t="shared" si="521"/>
        <v>048314-038430-**-**</v>
      </c>
      <c r="X1824" t="s">
        <v>838</v>
      </c>
      <c r="Y1824">
        <v>1206.25</v>
      </c>
      <c r="Z1824">
        <v>1206.25</v>
      </c>
      <c r="AA1824" t="str">
        <f t="shared" si="520"/>
        <v>06/08/2016</v>
      </c>
    </row>
    <row r="1825" spans="1:27" x14ac:dyDescent="0.3">
      <c r="A1825" t="str">
        <f t="shared" si="512"/>
        <v>048314</v>
      </c>
      <c r="B1825" t="str">
        <f t="shared" si="503"/>
        <v>038430</v>
      </c>
      <c r="C1825" t="s">
        <v>3213</v>
      </c>
      <c r="D1825" t="s">
        <v>3839</v>
      </c>
      <c r="E1825" t="s">
        <v>3840</v>
      </c>
      <c r="F1825" t="s">
        <v>3841</v>
      </c>
      <c r="G1825" t="s">
        <v>3842</v>
      </c>
      <c r="H1825" t="str">
        <f t="shared" si="519"/>
        <v>048314</v>
      </c>
      <c r="I1825" t="s">
        <v>833</v>
      </c>
      <c r="J1825" t="str">
        <f t="shared" si="522"/>
        <v>2015-07-01 00:00:00.0</v>
      </c>
      <c r="K1825" t="s">
        <v>834</v>
      </c>
      <c r="L1825" t="s">
        <v>0</v>
      </c>
      <c r="M1825" t="str">
        <f t="shared" si="509"/>
        <v>048314</v>
      </c>
      <c r="N1825">
        <v>1</v>
      </c>
      <c r="O1825">
        <v>1</v>
      </c>
      <c r="P1825" t="str">
        <f>"03"</f>
        <v>03</v>
      </c>
      <c r="Q1825" t="s">
        <v>835</v>
      </c>
      <c r="S1825" t="s">
        <v>836</v>
      </c>
      <c r="T1825" t="s">
        <v>836</v>
      </c>
      <c r="U1825" t="str">
        <f t="shared" si="517"/>
        <v>2500-12-31 00:00:00.0</v>
      </c>
      <c r="V1825" t="s">
        <v>837</v>
      </c>
      <c r="W1825" t="str">
        <f t="shared" si="521"/>
        <v>048314-038430-**-**</v>
      </c>
      <c r="X1825" t="s">
        <v>838</v>
      </c>
      <c r="Y1825">
        <v>1206.25</v>
      </c>
      <c r="Z1825">
        <v>1206.25</v>
      </c>
      <c r="AA1825" t="str">
        <f t="shared" si="520"/>
        <v>06/08/2016</v>
      </c>
    </row>
    <row r="1826" spans="1:27" x14ac:dyDescent="0.3">
      <c r="A1826" t="str">
        <f t="shared" si="512"/>
        <v>048314</v>
      </c>
      <c r="B1826" t="str">
        <f t="shared" si="503"/>
        <v>038430</v>
      </c>
      <c r="C1826" t="s">
        <v>950</v>
      </c>
      <c r="D1826" t="s">
        <v>3839</v>
      </c>
      <c r="E1826" t="s">
        <v>3840</v>
      </c>
      <c r="F1826" t="s">
        <v>3841</v>
      </c>
      <c r="G1826" t="s">
        <v>3842</v>
      </c>
      <c r="H1826" t="str">
        <f t="shared" si="519"/>
        <v>048314</v>
      </c>
      <c r="I1826" t="s">
        <v>833</v>
      </c>
      <c r="J1826" t="str">
        <f t="shared" si="522"/>
        <v>2015-07-01 00:00:00.0</v>
      </c>
      <c r="K1826" t="s">
        <v>834</v>
      </c>
      <c r="L1826" t="s">
        <v>0</v>
      </c>
      <c r="M1826" t="str">
        <f t="shared" si="509"/>
        <v>048314</v>
      </c>
      <c r="N1826">
        <v>1</v>
      </c>
      <c r="O1826">
        <v>1</v>
      </c>
      <c r="P1826" t="str">
        <f>"01"</f>
        <v>01</v>
      </c>
      <c r="Q1826" t="s">
        <v>835</v>
      </c>
      <c r="S1826" t="s">
        <v>836</v>
      </c>
      <c r="T1826" t="s">
        <v>836</v>
      </c>
      <c r="U1826" t="str">
        <f t="shared" si="517"/>
        <v>2500-12-31 00:00:00.0</v>
      </c>
      <c r="V1826" t="s">
        <v>837</v>
      </c>
      <c r="W1826" t="str">
        <f t="shared" si="521"/>
        <v>048314-038430-**-**</v>
      </c>
      <c r="X1826" t="s">
        <v>838</v>
      </c>
      <c r="Y1826">
        <v>1206.25</v>
      </c>
      <c r="Z1826">
        <v>1206.25</v>
      </c>
      <c r="AA1826" t="str">
        <f t="shared" si="520"/>
        <v>06/08/2016</v>
      </c>
    </row>
    <row r="1827" spans="1:27" x14ac:dyDescent="0.3">
      <c r="A1827" t="str">
        <f t="shared" si="512"/>
        <v>048314</v>
      </c>
      <c r="B1827" t="str">
        <f t="shared" si="503"/>
        <v>038430</v>
      </c>
      <c r="C1827" t="s">
        <v>2763</v>
      </c>
      <c r="D1827" t="s">
        <v>3839</v>
      </c>
      <c r="E1827" t="s">
        <v>3840</v>
      </c>
      <c r="F1827" t="s">
        <v>3841</v>
      </c>
      <c r="G1827" t="s">
        <v>3842</v>
      </c>
      <c r="H1827" t="str">
        <f t="shared" si="519"/>
        <v>048314</v>
      </c>
      <c r="I1827" t="s">
        <v>833</v>
      </c>
      <c r="J1827" t="str">
        <f t="shared" si="522"/>
        <v>2015-07-01 00:00:00.0</v>
      </c>
      <c r="K1827" t="s">
        <v>834</v>
      </c>
      <c r="L1827" t="s">
        <v>0</v>
      </c>
      <c r="M1827" t="str">
        <f t="shared" si="509"/>
        <v>048314</v>
      </c>
      <c r="N1827">
        <v>1</v>
      </c>
      <c r="O1827">
        <v>1</v>
      </c>
      <c r="P1827" t="str">
        <f>"04"</f>
        <v>04</v>
      </c>
      <c r="Q1827" t="s">
        <v>835</v>
      </c>
      <c r="S1827" t="s">
        <v>860</v>
      </c>
      <c r="T1827" t="s">
        <v>836</v>
      </c>
      <c r="U1827" t="str">
        <f t="shared" si="517"/>
        <v>2500-12-31 00:00:00.0</v>
      </c>
      <c r="V1827" t="s">
        <v>837</v>
      </c>
      <c r="W1827" t="str">
        <f t="shared" si="521"/>
        <v>048314-038430-**-**</v>
      </c>
      <c r="X1827" t="s">
        <v>838</v>
      </c>
      <c r="Y1827">
        <v>1206.25</v>
      </c>
      <c r="Z1827">
        <v>1206.25</v>
      </c>
      <c r="AA1827" t="str">
        <f t="shared" si="520"/>
        <v>06/08/2016</v>
      </c>
    </row>
    <row r="1828" spans="1:27" x14ac:dyDescent="0.3">
      <c r="A1828" t="str">
        <f t="shared" si="512"/>
        <v>048314</v>
      </c>
      <c r="B1828" t="str">
        <f t="shared" ref="B1828:B1891" si="523">"038430"</f>
        <v>038430</v>
      </c>
      <c r="C1828" t="s">
        <v>1055</v>
      </c>
      <c r="D1828" t="s">
        <v>3839</v>
      </c>
      <c r="E1828" t="s">
        <v>3840</v>
      </c>
      <c r="F1828" t="s">
        <v>3841</v>
      </c>
      <c r="G1828" t="s">
        <v>3842</v>
      </c>
      <c r="H1828" t="str">
        <f t="shared" si="519"/>
        <v>048314</v>
      </c>
      <c r="I1828" t="s">
        <v>833</v>
      </c>
      <c r="J1828" t="str">
        <f t="shared" si="522"/>
        <v>2015-07-01 00:00:00.0</v>
      </c>
      <c r="K1828" t="s">
        <v>834</v>
      </c>
      <c r="L1828" t="s">
        <v>0</v>
      </c>
      <c r="M1828" t="str">
        <f t="shared" si="509"/>
        <v>048314</v>
      </c>
      <c r="N1828">
        <v>1</v>
      </c>
      <c r="O1828">
        <v>1</v>
      </c>
      <c r="P1828" t="str">
        <f>"01"</f>
        <v>01</v>
      </c>
      <c r="Q1828" t="s">
        <v>835</v>
      </c>
      <c r="S1828" t="s">
        <v>860</v>
      </c>
      <c r="T1828" t="s">
        <v>836</v>
      </c>
      <c r="U1828" t="str">
        <f t="shared" si="517"/>
        <v>2500-12-31 00:00:00.0</v>
      </c>
      <c r="V1828" t="s">
        <v>837</v>
      </c>
      <c r="W1828" t="str">
        <f t="shared" si="521"/>
        <v>048314-038430-**-**</v>
      </c>
      <c r="X1828" t="s">
        <v>838</v>
      </c>
      <c r="Y1828">
        <v>1206.25</v>
      </c>
      <c r="Z1828">
        <v>1206.25</v>
      </c>
      <c r="AA1828" t="str">
        <f t="shared" si="520"/>
        <v>06/08/2016</v>
      </c>
    </row>
    <row r="1829" spans="1:27" x14ac:dyDescent="0.3">
      <c r="A1829" t="str">
        <f t="shared" si="512"/>
        <v>048314</v>
      </c>
      <c r="B1829" t="str">
        <f t="shared" si="523"/>
        <v>038430</v>
      </c>
      <c r="C1829" t="s">
        <v>2806</v>
      </c>
      <c r="D1829" t="s">
        <v>3839</v>
      </c>
      <c r="E1829" t="s">
        <v>3840</v>
      </c>
      <c r="F1829" t="s">
        <v>3841</v>
      </c>
      <c r="G1829" t="s">
        <v>3842</v>
      </c>
      <c r="H1829" t="str">
        <f t="shared" si="519"/>
        <v>048314</v>
      </c>
      <c r="I1829" t="s">
        <v>833</v>
      </c>
      <c r="J1829" t="str">
        <f t="shared" si="522"/>
        <v>2015-07-01 00:00:00.0</v>
      </c>
      <c r="K1829" t="s">
        <v>834</v>
      </c>
      <c r="L1829" t="s">
        <v>0</v>
      </c>
      <c r="M1829" t="str">
        <f t="shared" si="509"/>
        <v>048314</v>
      </c>
      <c r="N1829">
        <v>1</v>
      </c>
      <c r="O1829">
        <v>1</v>
      </c>
      <c r="P1829" t="str">
        <f>"05"</f>
        <v>05</v>
      </c>
      <c r="Q1829" t="s">
        <v>835</v>
      </c>
      <c r="S1829" t="s">
        <v>836</v>
      </c>
      <c r="T1829" t="s">
        <v>836</v>
      </c>
      <c r="U1829" t="str">
        <f t="shared" si="517"/>
        <v>2500-12-31 00:00:00.0</v>
      </c>
      <c r="V1829" t="s">
        <v>837</v>
      </c>
      <c r="W1829" t="str">
        <f>"048314-070417-**-**"</f>
        <v>048314-070417-**-**</v>
      </c>
      <c r="X1829" t="s">
        <v>838</v>
      </c>
      <c r="Y1829">
        <v>1125</v>
      </c>
      <c r="Z1829">
        <v>1125</v>
      </c>
      <c r="AA1829" t="str">
        <f t="shared" si="520"/>
        <v>06/08/2016</v>
      </c>
    </row>
    <row r="1830" spans="1:27" x14ac:dyDescent="0.3">
      <c r="A1830" t="str">
        <f t="shared" si="512"/>
        <v>048314</v>
      </c>
      <c r="B1830" t="str">
        <f t="shared" si="523"/>
        <v>038430</v>
      </c>
      <c r="C1830" t="s">
        <v>1024</v>
      </c>
      <c r="D1830" t="s">
        <v>3839</v>
      </c>
      <c r="E1830" t="s">
        <v>3840</v>
      </c>
      <c r="F1830" t="s">
        <v>3841</v>
      </c>
      <c r="G1830" t="s">
        <v>3842</v>
      </c>
      <c r="H1830" t="str">
        <f t="shared" si="519"/>
        <v>048314</v>
      </c>
      <c r="I1830" t="s">
        <v>833</v>
      </c>
      <c r="J1830" t="str">
        <f>"2015-08-01 00:00:00.0"</f>
        <v>2015-08-01 00:00:00.0</v>
      </c>
      <c r="K1830" t="s">
        <v>834</v>
      </c>
      <c r="L1830" t="s">
        <v>0</v>
      </c>
      <c r="M1830" t="str">
        <f t="shared" si="509"/>
        <v>048314</v>
      </c>
      <c r="N1830">
        <v>1</v>
      </c>
      <c r="O1830">
        <v>1</v>
      </c>
      <c r="P1830" t="s">
        <v>764</v>
      </c>
      <c r="Q1830" t="s">
        <v>835</v>
      </c>
      <c r="S1830" t="s">
        <v>836</v>
      </c>
      <c r="T1830" t="s">
        <v>836</v>
      </c>
      <c r="U1830" t="str">
        <f t="shared" si="517"/>
        <v>2500-12-31 00:00:00.0</v>
      </c>
      <c r="V1830" t="s">
        <v>837</v>
      </c>
      <c r="W1830" t="str">
        <f>"048314-038430-**-**"</f>
        <v>048314-038430-**-**</v>
      </c>
      <c r="X1830" t="s">
        <v>838</v>
      </c>
      <c r="Y1830">
        <v>1206.25</v>
      </c>
      <c r="Z1830">
        <v>1206.25</v>
      </c>
      <c r="AA1830" t="str">
        <f t="shared" si="520"/>
        <v>06/08/2016</v>
      </c>
    </row>
    <row r="1831" spans="1:27" x14ac:dyDescent="0.3">
      <c r="A1831" t="str">
        <f t="shared" si="512"/>
        <v>048314</v>
      </c>
      <c r="B1831" t="str">
        <f t="shared" si="523"/>
        <v>038430</v>
      </c>
      <c r="C1831" t="s">
        <v>3718</v>
      </c>
      <c r="D1831" t="s">
        <v>3839</v>
      </c>
      <c r="E1831" t="s">
        <v>3840</v>
      </c>
      <c r="F1831" t="s">
        <v>3841</v>
      </c>
      <c r="G1831" t="s">
        <v>3842</v>
      </c>
      <c r="H1831" t="str">
        <f t="shared" si="519"/>
        <v>048314</v>
      </c>
      <c r="I1831" t="s">
        <v>833</v>
      </c>
      <c r="J1831" t="str">
        <f>"2015-07-01 00:00:00.0"</f>
        <v>2015-07-01 00:00:00.0</v>
      </c>
      <c r="K1831" t="s">
        <v>834</v>
      </c>
      <c r="L1831" t="s">
        <v>0</v>
      </c>
      <c r="M1831" t="str">
        <f t="shared" si="509"/>
        <v>048314</v>
      </c>
      <c r="N1831">
        <v>1</v>
      </c>
      <c r="O1831">
        <v>1</v>
      </c>
      <c r="P1831" t="str">
        <f>"02"</f>
        <v>02</v>
      </c>
      <c r="Q1831" t="str">
        <f>"15"</f>
        <v>15</v>
      </c>
      <c r="R1831" t="str">
        <f>"2"</f>
        <v>2</v>
      </c>
      <c r="S1831" t="s">
        <v>836</v>
      </c>
      <c r="T1831" t="s">
        <v>836</v>
      </c>
      <c r="U1831" t="str">
        <f t="shared" si="517"/>
        <v>2500-12-31 00:00:00.0</v>
      </c>
      <c r="V1831" t="s">
        <v>837</v>
      </c>
      <c r="W1831" t="str">
        <f>"048314-038430-**-**"</f>
        <v>048314-038430-**-**</v>
      </c>
      <c r="X1831" t="s">
        <v>838</v>
      </c>
      <c r="Y1831">
        <v>1206.25</v>
      </c>
      <c r="Z1831">
        <v>1206.25</v>
      </c>
      <c r="AA1831" t="str">
        <f t="shared" si="520"/>
        <v>06/08/2016</v>
      </c>
    </row>
    <row r="1832" spans="1:27" x14ac:dyDescent="0.3">
      <c r="A1832" t="str">
        <f t="shared" si="512"/>
        <v>048314</v>
      </c>
      <c r="B1832" t="str">
        <f t="shared" si="523"/>
        <v>038430</v>
      </c>
      <c r="C1832" t="s">
        <v>3116</v>
      </c>
      <c r="D1832" t="s">
        <v>3839</v>
      </c>
      <c r="E1832" t="s">
        <v>3840</v>
      </c>
      <c r="F1832" t="s">
        <v>3841</v>
      </c>
      <c r="G1832" t="s">
        <v>3842</v>
      </c>
      <c r="H1832" t="str">
        <f t="shared" si="519"/>
        <v>048314</v>
      </c>
      <c r="I1832" t="s">
        <v>833</v>
      </c>
      <c r="J1832" t="str">
        <f>"2015-07-01 00:00:00.0"</f>
        <v>2015-07-01 00:00:00.0</v>
      </c>
      <c r="K1832" t="s">
        <v>834</v>
      </c>
      <c r="L1832" t="s">
        <v>0</v>
      </c>
      <c r="M1832" t="str">
        <f t="shared" si="509"/>
        <v>048314</v>
      </c>
      <c r="N1832">
        <v>1</v>
      </c>
      <c r="O1832">
        <v>1</v>
      </c>
      <c r="P1832" t="str">
        <f>"03"</f>
        <v>03</v>
      </c>
      <c r="Q1832" t="s">
        <v>835</v>
      </c>
      <c r="S1832" t="s">
        <v>860</v>
      </c>
      <c r="T1832" t="s">
        <v>836</v>
      </c>
      <c r="U1832" t="str">
        <f t="shared" si="517"/>
        <v>2500-12-31 00:00:00.0</v>
      </c>
      <c r="V1832" t="s">
        <v>837</v>
      </c>
      <c r="W1832" t="str">
        <f>"048314-038430-**-**"</f>
        <v>048314-038430-**-**</v>
      </c>
      <c r="X1832" t="s">
        <v>838</v>
      </c>
      <c r="Y1832">
        <v>1206.25</v>
      </c>
      <c r="Z1832">
        <v>1206.25</v>
      </c>
      <c r="AA1832" t="str">
        <f t="shared" si="520"/>
        <v>06/08/2016</v>
      </c>
    </row>
    <row r="1833" spans="1:27" x14ac:dyDescent="0.3">
      <c r="A1833" t="str">
        <f t="shared" si="512"/>
        <v>048314</v>
      </c>
      <c r="B1833" t="str">
        <f t="shared" si="523"/>
        <v>038430</v>
      </c>
      <c r="C1833" t="s">
        <v>3532</v>
      </c>
      <c r="D1833" t="s">
        <v>3839</v>
      </c>
      <c r="E1833" t="s">
        <v>3840</v>
      </c>
      <c r="F1833" t="s">
        <v>3841</v>
      </c>
      <c r="G1833" t="s">
        <v>3842</v>
      </c>
      <c r="H1833" t="str">
        <f t="shared" si="519"/>
        <v>048314</v>
      </c>
      <c r="I1833" t="s">
        <v>833</v>
      </c>
      <c r="J1833" t="str">
        <f>"2015-07-01 00:00:00.0"</f>
        <v>2015-07-01 00:00:00.0</v>
      </c>
      <c r="K1833" t="s">
        <v>834</v>
      </c>
      <c r="L1833" t="s">
        <v>0</v>
      </c>
      <c r="M1833" t="str">
        <f t="shared" si="509"/>
        <v>048314</v>
      </c>
      <c r="N1833">
        <v>1</v>
      </c>
      <c r="O1833">
        <v>1</v>
      </c>
      <c r="P1833" t="str">
        <f>"03"</f>
        <v>03</v>
      </c>
      <c r="Q1833" t="s">
        <v>835</v>
      </c>
      <c r="S1833" t="s">
        <v>836</v>
      </c>
      <c r="T1833" t="s">
        <v>836</v>
      </c>
      <c r="U1833" t="str">
        <f t="shared" si="517"/>
        <v>2500-12-31 00:00:00.0</v>
      </c>
      <c r="V1833" t="s">
        <v>837</v>
      </c>
      <c r="W1833" t="str">
        <f>"048314-038430-**-**"</f>
        <v>048314-038430-**-**</v>
      </c>
      <c r="X1833" t="s">
        <v>838</v>
      </c>
      <c r="Y1833">
        <v>1206.25</v>
      </c>
      <c r="Z1833">
        <v>1206.25</v>
      </c>
      <c r="AA1833" t="str">
        <f t="shared" si="520"/>
        <v>06/08/2016</v>
      </c>
    </row>
    <row r="1834" spans="1:27" x14ac:dyDescent="0.3">
      <c r="A1834" t="str">
        <f t="shared" si="512"/>
        <v>048314</v>
      </c>
      <c r="B1834" t="str">
        <f t="shared" si="523"/>
        <v>038430</v>
      </c>
      <c r="C1834" t="s">
        <v>931</v>
      </c>
      <c r="D1834" t="s">
        <v>3839</v>
      </c>
      <c r="E1834" t="s">
        <v>3840</v>
      </c>
      <c r="F1834" t="s">
        <v>3841</v>
      </c>
      <c r="G1834" t="s">
        <v>3842</v>
      </c>
      <c r="H1834" t="str">
        <f t="shared" si="519"/>
        <v>048314</v>
      </c>
      <c r="I1834" t="s">
        <v>833</v>
      </c>
      <c r="J1834" t="str">
        <f>"2015-08-01 00:00:00.0"</f>
        <v>2015-08-01 00:00:00.0</v>
      </c>
      <c r="K1834" t="s">
        <v>834</v>
      </c>
      <c r="L1834" t="s">
        <v>0</v>
      </c>
      <c r="M1834" t="str">
        <f t="shared" si="509"/>
        <v>048314</v>
      </c>
      <c r="N1834">
        <v>1</v>
      </c>
      <c r="O1834">
        <v>1</v>
      </c>
      <c r="P1834" t="s">
        <v>764</v>
      </c>
      <c r="Q1834" t="s">
        <v>835</v>
      </c>
      <c r="S1834" t="s">
        <v>836</v>
      </c>
      <c r="T1834" t="s">
        <v>836</v>
      </c>
      <c r="U1834" t="str">
        <f t="shared" si="517"/>
        <v>2500-12-31 00:00:00.0</v>
      </c>
      <c r="V1834" t="s">
        <v>837</v>
      </c>
      <c r="W1834" t="str">
        <f>"048314-038430-**-**"</f>
        <v>048314-038430-**-**</v>
      </c>
      <c r="X1834" t="s">
        <v>838</v>
      </c>
      <c r="Y1834">
        <v>1206.25</v>
      </c>
      <c r="Z1834">
        <v>1206.25</v>
      </c>
      <c r="AA1834" t="str">
        <f t="shared" si="520"/>
        <v>06/08/2016</v>
      </c>
    </row>
    <row r="1835" spans="1:27" x14ac:dyDescent="0.3">
      <c r="A1835" t="str">
        <f t="shared" si="512"/>
        <v>048314</v>
      </c>
      <c r="B1835" t="str">
        <f t="shared" si="523"/>
        <v>038430</v>
      </c>
      <c r="C1835" t="s">
        <v>2889</v>
      </c>
      <c r="D1835" t="s">
        <v>3839</v>
      </c>
      <c r="E1835" t="s">
        <v>3840</v>
      </c>
      <c r="F1835" t="s">
        <v>3841</v>
      </c>
      <c r="G1835" t="s">
        <v>3842</v>
      </c>
      <c r="H1835" t="str">
        <f t="shared" si="519"/>
        <v>048314</v>
      </c>
      <c r="I1835" t="s">
        <v>833</v>
      </c>
      <c r="J1835" t="str">
        <f t="shared" ref="J1835:J1840" si="524">"2015-07-01 00:00:00.0"</f>
        <v>2015-07-01 00:00:00.0</v>
      </c>
      <c r="K1835" t="s">
        <v>834</v>
      </c>
      <c r="L1835" t="s">
        <v>0</v>
      </c>
      <c r="M1835" t="str">
        <f t="shared" si="509"/>
        <v>048314</v>
      </c>
      <c r="N1835">
        <v>1</v>
      </c>
      <c r="O1835">
        <v>1</v>
      </c>
      <c r="P1835" t="str">
        <f>"05"</f>
        <v>05</v>
      </c>
      <c r="Q1835" t="s">
        <v>835</v>
      </c>
      <c r="S1835" t="s">
        <v>836</v>
      </c>
      <c r="T1835" t="s">
        <v>836</v>
      </c>
      <c r="U1835" t="str">
        <f t="shared" si="517"/>
        <v>2500-12-31 00:00:00.0</v>
      </c>
      <c r="V1835" t="s">
        <v>837</v>
      </c>
      <c r="W1835" t="str">
        <f>"048314-070417-**-**"</f>
        <v>048314-070417-**-**</v>
      </c>
      <c r="X1835" t="s">
        <v>838</v>
      </c>
      <c r="Y1835">
        <v>1125</v>
      </c>
      <c r="Z1835">
        <v>1125</v>
      </c>
      <c r="AA1835" t="str">
        <f t="shared" si="520"/>
        <v>06/08/2016</v>
      </c>
    </row>
    <row r="1836" spans="1:27" x14ac:dyDescent="0.3">
      <c r="A1836" t="str">
        <f t="shared" si="512"/>
        <v>048314</v>
      </c>
      <c r="B1836" t="str">
        <f t="shared" si="523"/>
        <v>038430</v>
      </c>
      <c r="C1836" t="s">
        <v>3548</v>
      </c>
      <c r="D1836" t="s">
        <v>3839</v>
      </c>
      <c r="E1836" t="s">
        <v>3840</v>
      </c>
      <c r="F1836" t="s">
        <v>3841</v>
      </c>
      <c r="G1836" t="s">
        <v>3842</v>
      </c>
      <c r="H1836" t="str">
        <f t="shared" si="519"/>
        <v>048314</v>
      </c>
      <c r="I1836" t="s">
        <v>833</v>
      </c>
      <c r="J1836" t="str">
        <f t="shared" si="524"/>
        <v>2015-07-01 00:00:00.0</v>
      </c>
      <c r="K1836" t="s">
        <v>834</v>
      </c>
      <c r="L1836" t="s">
        <v>0</v>
      </c>
      <c r="M1836" t="str">
        <f t="shared" si="509"/>
        <v>048314</v>
      </c>
      <c r="N1836">
        <v>1</v>
      </c>
      <c r="O1836">
        <v>1</v>
      </c>
      <c r="P1836" t="str">
        <f>"03"</f>
        <v>03</v>
      </c>
      <c r="Q1836" t="s">
        <v>835</v>
      </c>
      <c r="S1836" t="s">
        <v>836</v>
      </c>
      <c r="T1836" t="s">
        <v>836</v>
      </c>
      <c r="U1836" t="str">
        <f t="shared" si="517"/>
        <v>2500-12-31 00:00:00.0</v>
      </c>
      <c r="V1836" t="s">
        <v>837</v>
      </c>
      <c r="W1836" t="str">
        <f>"048314-038430-**-**"</f>
        <v>048314-038430-**-**</v>
      </c>
      <c r="X1836" t="s">
        <v>838</v>
      </c>
      <c r="Y1836">
        <v>1206.25</v>
      </c>
      <c r="Z1836">
        <v>1206.25</v>
      </c>
      <c r="AA1836" t="str">
        <f t="shared" si="520"/>
        <v>06/08/2016</v>
      </c>
    </row>
    <row r="1837" spans="1:27" x14ac:dyDescent="0.3">
      <c r="A1837" t="str">
        <f t="shared" si="512"/>
        <v>048314</v>
      </c>
      <c r="B1837" t="str">
        <f t="shared" si="523"/>
        <v>038430</v>
      </c>
      <c r="C1837" t="s">
        <v>2890</v>
      </c>
      <c r="D1837" t="s">
        <v>3839</v>
      </c>
      <c r="E1837" t="s">
        <v>3840</v>
      </c>
      <c r="F1837" t="s">
        <v>3841</v>
      </c>
      <c r="G1837" t="s">
        <v>3842</v>
      </c>
      <c r="H1837" t="str">
        <f t="shared" si="519"/>
        <v>048314</v>
      </c>
      <c r="I1837" t="s">
        <v>833</v>
      </c>
      <c r="J1837" t="str">
        <f t="shared" si="524"/>
        <v>2015-07-01 00:00:00.0</v>
      </c>
      <c r="K1837" t="s">
        <v>834</v>
      </c>
      <c r="L1837" t="s">
        <v>0</v>
      </c>
      <c r="M1837" t="str">
        <f t="shared" si="509"/>
        <v>048314</v>
      </c>
      <c r="N1837">
        <v>1</v>
      </c>
      <c r="O1837">
        <v>1</v>
      </c>
      <c r="P1837" t="str">
        <f>"05"</f>
        <v>05</v>
      </c>
      <c r="Q1837" t="s">
        <v>835</v>
      </c>
      <c r="S1837" t="s">
        <v>836</v>
      </c>
      <c r="T1837" t="s">
        <v>836</v>
      </c>
      <c r="U1837" t="str">
        <f t="shared" si="517"/>
        <v>2500-12-31 00:00:00.0</v>
      </c>
      <c r="V1837" t="s">
        <v>837</v>
      </c>
      <c r="W1837" t="str">
        <f>"048314-070417-**-**"</f>
        <v>048314-070417-**-**</v>
      </c>
      <c r="X1837" t="s">
        <v>838</v>
      </c>
      <c r="Y1837">
        <v>1125</v>
      </c>
      <c r="Z1837">
        <v>1125</v>
      </c>
      <c r="AA1837" t="str">
        <f t="shared" si="520"/>
        <v>06/08/2016</v>
      </c>
    </row>
    <row r="1838" spans="1:27" x14ac:dyDescent="0.3">
      <c r="A1838" t="str">
        <f t="shared" si="512"/>
        <v>048314</v>
      </c>
      <c r="B1838" t="str">
        <f t="shared" si="523"/>
        <v>038430</v>
      </c>
      <c r="C1838" t="s">
        <v>2891</v>
      </c>
      <c r="D1838" t="s">
        <v>3839</v>
      </c>
      <c r="E1838" t="s">
        <v>3840</v>
      </c>
      <c r="F1838" t="s">
        <v>3841</v>
      </c>
      <c r="G1838" t="s">
        <v>3842</v>
      </c>
      <c r="H1838" t="str">
        <f t="shared" si="519"/>
        <v>048314</v>
      </c>
      <c r="I1838" t="s">
        <v>833</v>
      </c>
      <c r="J1838" t="str">
        <f t="shared" si="524"/>
        <v>2015-07-01 00:00:00.0</v>
      </c>
      <c r="K1838" t="s">
        <v>834</v>
      </c>
      <c r="L1838" t="s">
        <v>0</v>
      </c>
      <c r="M1838" t="str">
        <f t="shared" si="509"/>
        <v>048314</v>
      </c>
      <c r="N1838">
        <v>1</v>
      </c>
      <c r="O1838">
        <v>1</v>
      </c>
      <c r="P1838" t="str">
        <f>"05"</f>
        <v>05</v>
      </c>
      <c r="Q1838" t="s">
        <v>835</v>
      </c>
      <c r="S1838" t="s">
        <v>836</v>
      </c>
      <c r="T1838" t="s">
        <v>836</v>
      </c>
      <c r="U1838" t="str">
        <f t="shared" si="517"/>
        <v>2500-12-31 00:00:00.0</v>
      </c>
      <c r="V1838" t="s">
        <v>837</v>
      </c>
      <c r="W1838" t="str">
        <f>"048314-070417-**-**"</f>
        <v>048314-070417-**-**</v>
      </c>
      <c r="X1838" t="s">
        <v>838</v>
      </c>
      <c r="Y1838">
        <v>1125</v>
      </c>
      <c r="Z1838">
        <v>1125</v>
      </c>
      <c r="AA1838" t="str">
        <f t="shared" si="520"/>
        <v>06/08/2016</v>
      </c>
    </row>
    <row r="1839" spans="1:27" x14ac:dyDescent="0.3">
      <c r="A1839" t="str">
        <f t="shared" si="512"/>
        <v>048314</v>
      </c>
      <c r="B1839" t="str">
        <f t="shared" si="523"/>
        <v>038430</v>
      </c>
      <c r="C1839" t="s">
        <v>3325</v>
      </c>
      <c r="D1839" t="s">
        <v>3839</v>
      </c>
      <c r="E1839" t="s">
        <v>3840</v>
      </c>
      <c r="F1839" t="s">
        <v>3841</v>
      </c>
      <c r="G1839" t="s">
        <v>3842</v>
      </c>
      <c r="H1839" t="str">
        <f t="shared" si="519"/>
        <v>048314</v>
      </c>
      <c r="I1839" t="s">
        <v>833</v>
      </c>
      <c r="J1839" t="str">
        <f t="shared" si="524"/>
        <v>2015-07-01 00:00:00.0</v>
      </c>
      <c r="K1839" t="s">
        <v>834</v>
      </c>
      <c r="L1839" t="s">
        <v>0</v>
      </c>
      <c r="M1839" t="str">
        <f t="shared" si="509"/>
        <v>048314</v>
      </c>
      <c r="N1839">
        <v>1</v>
      </c>
      <c r="O1839">
        <v>1</v>
      </c>
      <c r="P1839" t="str">
        <f>"04"</f>
        <v>04</v>
      </c>
      <c r="Q1839" t="str">
        <f>"10"</f>
        <v>10</v>
      </c>
      <c r="R1839" t="str">
        <f>"2"</f>
        <v>2</v>
      </c>
      <c r="S1839" t="s">
        <v>836</v>
      </c>
      <c r="T1839" t="s">
        <v>836</v>
      </c>
      <c r="U1839" t="str">
        <f t="shared" si="517"/>
        <v>2500-12-31 00:00:00.0</v>
      </c>
      <c r="V1839" t="s">
        <v>837</v>
      </c>
      <c r="W1839" t="str">
        <f>"048314-038430-**-**"</f>
        <v>048314-038430-**-**</v>
      </c>
      <c r="X1839" t="s">
        <v>838</v>
      </c>
      <c r="Y1839">
        <v>1206.25</v>
      </c>
      <c r="Z1839">
        <v>1206.25</v>
      </c>
      <c r="AA1839" t="str">
        <f t="shared" si="520"/>
        <v>06/08/2016</v>
      </c>
    </row>
    <row r="1840" spans="1:27" x14ac:dyDescent="0.3">
      <c r="A1840" t="str">
        <f t="shared" si="512"/>
        <v>048314</v>
      </c>
      <c r="B1840" t="str">
        <f t="shared" si="523"/>
        <v>038430</v>
      </c>
      <c r="C1840" t="s">
        <v>1022</v>
      </c>
      <c r="D1840" t="s">
        <v>3839</v>
      </c>
      <c r="E1840" t="s">
        <v>3840</v>
      </c>
      <c r="F1840" t="s">
        <v>3841</v>
      </c>
      <c r="G1840" t="s">
        <v>3842</v>
      </c>
      <c r="H1840" t="str">
        <f t="shared" si="519"/>
        <v>048314</v>
      </c>
      <c r="I1840" t="s">
        <v>833</v>
      </c>
      <c r="J1840" t="str">
        <f t="shared" si="524"/>
        <v>2015-07-01 00:00:00.0</v>
      </c>
      <c r="K1840" t="s">
        <v>834</v>
      </c>
      <c r="L1840" t="s">
        <v>0</v>
      </c>
      <c r="M1840" t="str">
        <f t="shared" si="509"/>
        <v>048314</v>
      </c>
      <c r="N1840">
        <v>0.46632099999999999</v>
      </c>
      <c r="O1840">
        <v>0.46632099999999999</v>
      </c>
      <c r="P1840" t="str">
        <f>"02"</f>
        <v>02</v>
      </c>
      <c r="Q1840" t="str">
        <f>"05"</f>
        <v>05</v>
      </c>
      <c r="R1840" t="str">
        <f>"1"</f>
        <v>1</v>
      </c>
      <c r="S1840" t="s">
        <v>836</v>
      </c>
      <c r="T1840" t="s">
        <v>836</v>
      </c>
      <c r="U1840" t="str">
        <f>"2016-01-10 00:00:00.0"</f>
        <v>2016-01-10 00:00:00.0</v>
      </c>
      <c r="V1840" t="s">
        <v>837</v>
      </c>
      <c r="W1840" t="str">
        <f>"048314-038430-**-**"</f>
        <v>048314-038430-**-**</v>
      </c>
      <c r="X1840" t="s">
        <v>838</v>
      </c>
      <c r="Y1840">
        <v>562.5</v>
      </c>
      <c r="Z1840">
        <v>1206.25</v>
      </c>
      <c r="AA1840" t="str">
        <f t="shared" si="520"/>
        <v>06/08/2016</v>
      </c>
    </row>
    <row r="1841" spans="1:27" x14ac:dyDescent="0.3">
      <c r="A1841" t="str">
        <f t="shared" si="512"/>
        <v>048314</v>
      </c>
      <c r="B1841" t="str">
        <f t="shared" si="523"/>
        <v>038430</v>
      </c>
      <c r="C1841" t="s">
        <v>1022</v>
      </c>
      <c r="D1841" t="s">
        <v>3839</v>
      </c>
      <c r="E1841" t="s">
        <v>3840</v>
      </c>
      <c r="F1841" t="s">
        <v>3841</v>
      </c>
      <c r="G1841" t="s">
        <v>3842</v>
      </c>
      <c r="H1841" t="str">
        <f t="shared" si="519"/>
        <v>048314</v>
      </c>
      <c r="I1841" t="s">
        <v>833</v>
      </c>
      <c r="J1841" t="str">
        <f>"2016-01-11 00:00:00.0"</f>
        <v>2016-01-11 00:00:00.0</v>
      </c>
      <c r="K1841" t="s">
        <v>834</v>
      </c>
      <c r="L1841" t="s">
        <v>0</v>
      </c>
      <c r="M1841" t="str">
        <f t="shared" si="509"/>
        <v>048314</v>
      </c>
      <c r="N1841">
        <v>0.53367900000000001</v>
      </c>
      <c r="O1841">
        <v>0.53367900000000001</v>
      </c>
      <c r="P1841" t="str">
        <f>"02"</f>
        <v>02</v>
      </c>
      <c r="Q1841" t="s">
        <v>835</v>
      </c>
      <c r="S1841" t="s">
        <v>836</v>
      </c>
      <c r="T1841" t="s">
        <v>836</v>
      </c>
      <c r="U1841" t="str">
        <f t="shared" ref="U1841:U1861" si="525">"2500-12-31 00:00:00.0"</f>
        <v>2500-12-31 00:00:00.0</v>
      </c>
      <c r="V1841" t="s">
        <v>837</v>
      </c>
      <c r="W1841" t="str">
        <f>"048314-038430-**-**"</f>
        <v>048314-038430-**-**</v>
      </c>
      <c r="X1841" t="s">
        <v>838</v>
      </c>
      <c r="Y1841">
        <v>643.75</v>
      </c>
      <c r="Z1841">
        <v>1206.25</v>
      </c>
      <c r="AA1841" t="str">
        <f t="shared" si="520"/>
        <v>06/08/2016</v>
      </c>
    </row>
    <row r="1842" spans="1:27" x14ac:dyDescent="0.3">
      <c r="A1842" t="str">
        <f t="shared" si="512"/>
        <v>048314</v>
      </c>
      <c r="B1842" t="str">
        <f t="shared" si="523"/>
        <v>038430</v>
      </c>
      <c r="C1842" t="s">
        <v>3201</v>
      </c>
      <c r="D1842" t="s">
        <v>3839</v>
      </c>
      <c r="E1842" t="s">
        <v>3840</v>
      </c>
      <c r="F1842" t="s">
        <v>3841</v>
      </c>
      <c r="G1842" t="s">
        <v>3842</v>
      </c>
      <c r="H1842" t="str">
        <f>"048363"</f>
        <v>048363</v>
      </c>
      <c r="I1842" t="s">
        <v>833</v>
      </c>
      <c r="J1842" t="str">
        <f>"2015-07-01 00:00:00.0"</f>
        <v>2015-07-01 00:00:00.0</v>
      </c>
      <c r="K1842" t="s">
        <v>834</v>
      </c>
      <c r="L1842" t="s">
        <v>1</v>
      </c>
      <c r="M1842" t="str">
        <f t="shared" si="509"/>
        <v>048314</v>
      </c>
      <c r="N1842">
        <v>1</v>
      </c>
      <c r="O1842">
        <v>1</v>
      </c>
      <c r="P1842" t="str">
        <f>"02"</f>
        <v>02</v>
      </c>
      <c r="Q1842" t="s">
        <v>835</v>
      </c>
      <c r="S1842" t="s">
        <v>836</v>
      </c>
      <c r="T1842" t="s">
        <v>836</v>
      </c>
      <c r="U1842" t="str">
        <f t="shared" si="525"/>
        <v>2500-12-31 00:00:00.0</v>
      </c>
      <c r="V1842" t="s">
        <v>837</v>
      </c>
      <c r="W1842" t="str">
        <f>"048363-026211-**-**"</f>
        <v>048363-026211-**-**</v>
      </c>
      <c r="X1842" t="s">
        <v>838</v>
      </c>
      <c r="Y1842">
        <v>1127</v>
      </c>
      <c r="Z1842">
        <v>1127</v>
      </c>
      <c r="AA1842" t="str">
        <f>"06/15/2016"</f>
        <v>06/15/2016</v>
      </c>
    </row>
    <row r="1843" spans="1:27" x14ac:dyDescent="0.3">
      <c r="A1843" t="str">
        <f t="shared" si="512"/>
        <v>048314</v>
      </c>
      <c r="B1843" t="str">
        <f t="shared" si="523"/>
        <v>038430</v>
      </c>
      <c r="C1843" t="s">
        <v>3544</v>
      </c>
      <c r="D1843" t="s">
        <v>3839</v>
      </c>
      <c r="E1843" t="s">
        <v>3840</v>
      </c>
      <c r="F1843" t="s">
        <v>3841</v>
      </c>
      <c r="G1843" t="s">
        <v>3842</v>
      </c>
      <c r="H1843" t="str">
        <f>"048363"</f>
        <v>048363</v>
      </c>
      <c r="I1843" t="s">
        <v>833</v>
      </c>
      <c r="J1843" t="str">
        <f>"2015-07-01 00:00:00.0"</f>
        <v>2015-07-01 00:00:00.0</v>
      </c>
      <c r="K1843" t="s">
        <v>834</v>
      </c>
      <c r="L1843" t="s">
        <v>1</v>
      </c>
      <c r="M1843" t="str">
        <f t="shared" si="509"/>
        <v>048314</v>
      </c>
      <c r="N1843">
        <v>1</v>
      </c>
      <c r="O1843">
        <v>1</v>
      </c>
      <c r="P1843" t="str">
        <f>"04"</f>
        <v>04</v>
      </c>
      <c r="Q1843" t="s">
        <v>835</v>
      </c>
      <c r="S1843" t="s">
        <v>836</v>
      </c>
      <c r="T1843" t="s">
        <v>836</v>
      </c>
      <c r="U1843" t="str">
        <f t="shared" si="525"/>
        <v>2500-12-31 00:00:00.0</v>
      </c>
      <c r="V1843" t="s">
        <v>837</v>
      </c>
      <c r="W1843" t="str">
        <f>"048363-026211-**-**"</f>
        <v>048363-026211-**-**</v>
      </c>
      <c r="X1843" t="s">
        <v>838</v>
      </c>
      <c r="Y1843">
        <v>1127</v>
      </c>
      <c r="Z1843">
        <v>1127</v>
      </c>
      <c r="AA1843" t="str">
        <f>"06/15/2016"</f>
        <v>06/15/2016</v>
      </c>
    </row>
    <row r="1844" spans="1:27" x14ac:dyDescent="0.3">
      <c r="A1844" t="str">
        <f t="shared" si="512"/>
        <v>048314</v>
      </c>
      <c r="B1844" t="str">
        <f t="shared" si="523"/>
        <v>038430</v>
      </c>
      <c r="C1844" t="s">
        <v>870</v>
      </c>
      <c r="D1844" t="s">
        <v>3839</v>
      </c>
      <c r="E1844" t="s">
        <v>3840</v>
      </c>
      <c r="F1844" t="s">
        <v>3841</v>
      </c>
      <c r="G1844" t="s">
        <v>3842</v>
      </c>
      <c r="H1844" t="str">
        <f t="shared" ref="H1844:H1877" si="526">"048314"</f>
        <v>048314</v>
      </c>
      <c r="I1844" t="s">
        <v>833</v>
      </c>
      <c r="J1844" t="str">
        <f>"2015-08-31 00:00:00.0"</f>
        <v>2015-08-31 00:00:00.0</v>
      </c>
      <c r="K1844" t="s">
        <v>834</v>
      </c>
      <c r="L1844" t="s">
        <v>0</v>
      </c>
      <c r="M1844" t="str">
        <f t="shared" si="509"/>
        <v>048314</v>
      </c>
      <c r="N1844">
        <v>1</v>
      </c>
      <c r="O1844">
        <v>1</v>
      </c>
      <c r="P1844" t="s">
        <v>764</v>
      </c>
      <c r="Q1844" t="s">
        <v>835</v>
      </c>
      <c r="S1844" t="s">
        <v>860</v>
      </c>
      <c r="T1844" t="s">
        <v>836</v>
      </c>
      <c r="U1844" t="str">
        <f t="shared" si="525"/>
        <v>2500-12-31 00:00:00.0</v>
      </c>
      <c r="V1844" t="s">
        <v>837</v>
      </c>
      <c r="W1844" t="str">
        <f>"048314-038430-**-**"</f>
        <v>048314-038430-**-**</v>
      </c>
      <c r="X1844" t="s">
        <v>838</v>
      </c>
      <c r="Y1844">
        <v>1206.25</v>
      </c>
      <c r="Z1844">
        <v>1206.25</v>
      </c>
      <c r="AA1844" t="str">
        <f t="shared" ref="AA1844:AA1907" si="527">"06/08/2016"</f>
        <v>06/08/2016</v>
      </c>
    </row>
    <row r="1845" spans="1:27" x14ac:dyDescent="0.3">
      <c r="A1845" t="str">
        <f t="shared" si="512"/>
        <v>048314</v>
      </c>
      <c r="B1845" t="str">
        <f t="shared" si="523"/>
        <v>038430</v>
      </c>
      <c r="C1845" t="s">
        <v>1016</v>
      </c>
      <c r="D1845" t="s">
        <v>3839</v>
      </c>
      <c r="E1845" t="s">
        <v>3840</v>
      </c>
      <c r="F1845" t="s">
        <v>3841</v>
      </c>
      <c r="G1845" t="s">
        <v>3842</v>
      </c>
      <c r="H1845" t="str">
        <f t="shared" si="526"/>
        <v>048314</v>
      </c>
      <c r="I1845" t="s">
        <v>833</v>
      </c>
      <c r="J1845" t="str">
        <f t="shared" ref="J1845:J1860" si="528">"2015-07-01 00:00:00.0"</f>
        <v>2015-07-01 00:00:00.0</v>
      </c>
      <c r="K1845" t="s">
        <v>834</v>
      </c>
      <c r="L1845" t="s">
        <v>0</v>
      </c>
      <c r="M1845" t="str">
        <f t="shared" si="509"/>
        <v>048314</v>
      </c>
      <c r="N1845">
        <v>1</v>
      </c>
      <c r="O1845">
        <v>1</v>
      </c>
      <c r="P1845" t="str">
        <f>"02"</f>
        <v>02</v>
      </c>
      <c r="Q1845" t="s">
        <v>835</v>
      </c>
      <c r="S1845" t="s">
        <v>836</v>
      </c>
      <c r="T1845" t="s">
        <v>836</v>
      </c>
      <c r="U1845" t="str">
        <f t="shared" si="525"/>
        <v>2500-12-31 00:00:00.0</v>
      </c>
      <c r="V1845" t="s">
        <v>837</v>
      </c>
      <c r="W1845" t="str">
        <f>"048314-038430-**-**"</f>
        <v>048314-038430-**-**</v>
      </c>
      <c r="X1845" t="s">
        <v>838</v>
      </c>
      <c r="Y1845">
        <v>1206.25</v>
      </c>
      <c r="Z1845">
        <v>1206.25</v>
      </c>
      <c r="AA1845" t="str">
        <f t="shared" si="527"/>
        <v>06/08/2016</v>
      </c>
    </row>
    <row r="1846" spans="1:27" x14ac:dyDescent="0.3">
      <c r="A1846" t="str">
        <f t="shared" si="512"/>
        <v>048314</v>
      </c>
      <c r="B1846" t="str">
        <f t="shared" si="523"/>
        <v>038430</v>
      </c>
      <c r="C1846" t="s">
        <v>2893</v>
      </c>
      <c r="D1846" t="s">
        <v>3839</v>
      </c>
      <c r="E1846" t="s">
        <v>3840</v>
      </c>
      <c r="F1846" t="s">
        <v>3841</v>
      </c>
      <c r="G1846" t="s">
        <v>3842</v>
      </c>
      <c r="H1846" t="str">
        <f t="shared" si="526"/>
        <v>048314</v>
      </c>
      <c r="I1846" t="s">
        <v>833</v>
      </c>
      <c r="J1846" t="str">
        <f t="shared" si="528"/>
        <v>2015-07-01 00:00:00.0</v>
      </c>
      <c r="K1846" t="s">
        <v>834</v>
      </c>
      <c r="L1846" t="s">
        <v>0</v>
      </c>
      <c r="M1846" t="str">
        <f t="shared" ref="M1846:M1856" si="529">"048314"</f>
        <v>048314</v>
      </c>
      <c r="N1846">
        <v>1</v>
      </c>
      <c r="O1846">
        <v>1</v>
      </c>
      <c r="P1846" t="str">
        <f>"05"</f>
        <v>05</v>
      </c>
      <c r="Q1846" t="s">
        <v>835</v>
      </c>
      <c r="S1846" t="s">
        <v>836</v>
      </c>
      <c r="T1846" t="s">
        <v>836</v>
      </c>
      <c r="U1846" t="str">
        <f t="shared" si="525"/>
        <v>2500-12-31 00:00:00.0</v>
      </c>
      <c r="V1846" t="s">
        <v>837</v>
      </c>
      <c r="W1846" t="str">
        <f>"048314-070417-**-**"</f>
        <v>048314-070417-**-**</v>
      </c>
      <c r="X1846" t="s">
        <v>838</v>
      </c>
      <c r="Y1846">
        <v>1125</v>
      </c>
      <c r="Z1846">
        <v>1125</v>
      </c>
      <c r="AA1846" t="str">
        <f t="shared" si="527"/>
        <v>06/08/2016</v>
      </c>
    </row>
    <row r="1847" spans="1:27" x14ac:dyDescent="0.3">
      <c r="A1847" t="str">
        <f t="shared" si="512"/>
        <v>048314</v>
      </c>
      <c r="B1847" t="str">
        <f t="shared" si="523"/>
        <v>038430</v>
      </c>
      <c r="C1847" t="s">
        <v>2894</v>
      </c>
      <c r="D1847" t="s">
        <v>3839</v>
      </c>
      <c r="E1847" t="s">
        <v>3840</v>
      </c>
      <c r="F1847" t="s">
        <v>3841</v>
      </c>
      <c r="G1847" t="s">
        <v>3842</v>
      </c>
      <c r="H1847" t="str">
        <f t="shared" si="526"/>
        <v>048314</v>
      </c>
      <c r="I1847" t="s">
        <v>833</v>
      </c>
      <c r="J1847" t="str">
        <f t="shared" si="528"/>
        <v>2015-07-01 00:00:00.0</v>
      </c>
      <c r="K1847" t="s">
        <v>834</v>
      </c>
      <c r="L1847" t="s">
        <v>0</v>
      </c>
      <c r="M1847" t="str">
        <f t="shared" si="529"/>
        <v>048314</v>
      </c>
      <c r="N1847">
        <v>1</v>
      </c>
      <c r="O1847">
        <v>1</v>
      </c>
      <c r="P1847" t="str">
        <f>"05"</f>
        <v>05</v>
      </c>
      <c r="Q1847" t="s">
        <v>835</v>
      </c>
      <c r="S1847" t="s">
        <v>836</v>
      </c>
      <c r="T1847" t="s">
        <v>836</v>
      </c>
      <c r="U1847" t="str">
        <f t="shared" si="525"/>
        <v>2500-12-31 00:00:00.0</v>
      </c>
      <c r="V1847" t="s">
        <v>837</v>
      </c>
      <c r="W1847" t="str">
        <f>"048314-070417-**-**"</f>
        <v>048314-070417-**-**</v>
      </c>
      <c r="X1847" t="s">
        <v>838</v>
      </c>
      <c r="Y1847">
        <v>1125</v>
      </c>
      <c r="Z1847">
        <v>1125</v>
      </c>
      <c r="AA1847" t="str">
        <f t="shared" si="527"/>
        <v>06/08/2016</v>
      </c>
    </row>
    <row r="1848" spans="1:27" x14ac:dyDescent="0.3">
      <c r="A1848" t="str">
        <f t="shared" si="512"/>
        <v>048314</v>
      </c>
      <c r="B1848" t="str">
        <f t="shared" si="523"/>
        <v>038430</v>
      </c>
      <c r="C1848" t="s">
        <v>3501</v>
      </c>
      <c r="D1848" t="s">
        <v>3839</v>
      </c>
      <c r="E1848" t="s">
        <v>3840</v>
      </c>
      <c r="F1848" t="s">
        <v>3841</v>
      </c>
      <c r="G1848" t="s">
        <v>3842</v>
      </c>
      <c r="H1848" t="str">
        <f t="shared" si="526"/>
        <v>048314</v>
      </c>
      <c r="I1848" t="s">
        <v>833</v>
      </c>
      <c r="J1848" t="str">
        <f t="shared" si="528"/>
        <v>2015-07-01 00:00:00.0</v>
      </c>
      <c r="K1848" t="s">
        <v>834</v>
      </c>
      <c r="L1848" t="s">
        <v>0</v>
      </c>
      <c r="M1848" t="str">
        <f t="shared" si="529"/>
        <v>048314</v>
      </c>
      <c r="N1848">
        <v>1</v>
      </c>
      <c r="O1848">
        <v>1</v>
      </c>
      <c r="P1848" t="str">
        <f>"04"</f>
        <v>04</v>
      </c>
      <c r="Q1848" t="s">
        <v>835</v>
      </c>
      <c r="S1848" t="s">
        <v>836</v>
      </c>
      <c r="T1848" t="s">
        <v>836</v>
      </c>
      <c r="U1848" t="str">
        <f t="shared" si="525"/>
        <v>2500-12-31 00:00:00.0</v>
      </c>
      <c r="V1848" t="s">
        <v>837</v>
      </c>
      <c r="W1848" t="str">
        <f>"048314-038430-**-**"</f>
        <v>048314-038430-**-**</v>
      </c>
      <c r="X1848" t="s">
        <v>838</v>
      </c>
      <c r="Y1848">
        <v>1206.25</v>
      </c>
      <c r="Z1848">
        <v>1206.25</v>
      </c>
      <c r="AA1848" t="str">
        <f t="shared" si="527"/>
        <v>06/08/2016</v>
      </c>
    </row>
    <row r="1849" spans="1:27" x14ac:dyDescent="0.3">
      <c r="A1849" t="str">
        <f t="shared" si="512"/>
        <v>048314</v>
      </c>
      <c r="B1849" t="str">
        <f t="shared" si="523"/>
        <v>038430</v>
      </c>
      <c r="C1849" t="s">
        <v>3700</v>
      </c>
      <c r="D1849" t="s">
        <v>3839</v>
      </c>
      <c r="E1849" t="s">
        <v>3840</v>
      </c>
      <c r="F1849" t="s">
        <v>3841</v>
      </c>
      <c r="G1849" t="s">
        <v>3842</v>
      </c>
      <c r="H1849" t="str">
        <f t="shared" si="526"/>
        <v>048314</v>
      </c>
      <c r="I1849" t="s">
        <v>833</v>
      </c>
      <c r="J1849" t="str">
        <f t="shared" si="528"/>
        <v>2015-07-01 00:00:00.0</v>
      </c>
      <c r="K1849" t="s">
        <v>834</v>
      </c>
      <c r="L1849" t="s">
        <v>0</v>
      </c>
      <c r="M1849" t="str">
        <f t="shared" si="529"/>
        <v>048314</v>
      </c>
      <c r="N1849">
        <v>1</v>
      </c>
      <c r="O1849">
        <v>1</v>
      </c>
      <c r="P1849" t="str">
        <f>"02"</f>
        <v>02</v>
      </c>
      <c r="Q1849" t="s">
        <v>835</v>
      </c>
      <c r="S1849" t="s">
        <v>836</v>
      </c>
      <c r="T1849" t="s">
        <v>836</v>
      </c>
      <c r="U1849" t="str">
        <f t="shared" si="525"/>
        <v>2500-12-31 00:00:00.0</v>
      </c>
      <c r="V1849" t="s">
        <v>837</v>
      </c>
      <c r="W1849" t="str">
        <f>"048314-038430-**-**"</f>
        <v>048314-038430-**-**</v>
      </c>
      <c r="X1849" t="s">
        <v>838</v>
      </c>
      <c r="Y1849">
        <v>1206.25</v>
      </c>
      <c r="Z1849">
        <v>1206.25</v>
      </c>
      <c r="AA1849" t="str">
        <f t="shared" si="527"/>
        <v>06/08/2016</v>
      </c>
    </row>
    <row r="1850" spans="1:27" x14ac:dyDescent="0.3">
      <c r="A1850" t="str">
        <f t="shared" si="512"/>
        <v>048314</v>
      </c>
      <c r="B1850" t="str">
        <f t="shared" si="523"/>
        <v>038430</v>
      </c>
      <c r="C1850" t="s">
        <v>1779</v>
      </c>
      <c r="D1850" t="s">
        <v>3839</v>
      </c>
      <c r="E1850" t="s">
        <v>3840</v>
      </c>
      <c r="F1850" t="s">
        <v>3841</v>
      </c>
      <c r="G1850" t="s">
        <v>3842</v>
      </c>
      <c r="H1850" t="str">
        <f t="shared" si="526"/>
        <v>048314</v>
      </c>
      <c r="I1850" t="s">
        <v>833</v>
      </c>
      <c r="J1850" t="str">
        <f t="shared" si="528"/>
        <v>2015-07-01 00:00:00.0</v>
      </c>
      <c r="K1850" t="s">
        <v>834</v>
      </c>
      <c r="L1850" t="s">
        <v>0</v>
      </c>
      <c r="M1850" t="str">
        <f t="shared" si="529"/>
        <v>048314</v>
      </c>
      <c r="N1850">
        <v>1</v>
      </c>
      <c r="O1850">
        <v>1</v>
      </c>
      <c r="P1850" t="str">
        <f>"01"</f>
        <v>01</v>
      </c>
      <c r="Q1850" t="s">
        <v>835</v>
      </c>
      <c r="S1850" t="s">
        <v>836</v>
      </c>
      <c r="T1850" t="s">
        <v>836</v>
      </c>
      <c r="U1850" t="str">
        <f t="shared" si="525"/>
        <v>2500-12-31 00:00:00.0</v>
      </c>
      <c r="V1850" t="s">
        <v>837</v>
      </c>
      <c r="W1850" t="str">
        <f>"048314-038430-**-**"</f>
        <v>048314-038430-**-**</v>
      </c>
      <c r="X1850" t="s">
        <v>838</v>
      </c>
      <c r="Y1850">
        <v>1206.25</v>
      </c>
      <c r="Z1850">
        <v>1206.25</v>
      </c>
      <c r="AA1850" t="str">
        <f t="shared" si="527"/>
        <v>06/08/2016</v>
      </c>
    </row>
    <row r="1851" spans="1:27" x14ac:dyDescent="0.3">
      <c r="A1851" t="str">
        <f t="shared" si="512"/>
        <v>048314</v>
      </c>
      <c r="B1851" t="str">
        <f t="shared" si="523"/>
        <v>038430</v>
      </c>
      <c r="C1851" t="s">
        <v>3104</v>
      </c>
      <c r="D1851" t="s">
        <v>3839</v>
      </c>
      <c r="E1851" t="s">
        <v>3840</v>
      </c>
      <c r="F1851" t="s">
        <v>3841</v>
      </c>
      <c r="G1851" t="s">
        <v>3842</v>
      </c>
      <c r="H1851" t="str">
        <f t="shared" si="526"/>
        <v>048314</v>
      </c>
      <c r="I1851" t="s">
        <v>833</v>
      </c>
      <c r="J1851" t="str">
        <f t="shared" si="528"/>
        <v>2015-07-01 00:00:00.0</v>
      </c>
      <c r="K1851" t="s">
        <v>834</v>
      </c>
      <c r="L1851" t="s">
        <v>0</v>
      </c>
      <c r="M1851" t="str">
        <f t="shared" si="529"/>
        <v>048314</v>
      </c>
      <c r="N1851">
        <v>1</v>
      </c>
      <c r="O1851">
        <v>1</v>
      </c>
      <c r="P1851" t="str">
        <f>"05"</f>
        <v>05</v>
      </c>
      <c r="Q1851" t="s">
        <v>835</v>
      </c>
      <c r="S1851" t="s">
        <v>836</v>
      </c>
      <c r="T1851" t="s">
        <v>836</v>
      </c>
      <c r="U1851" t="str">
        <f t="shared" si="525"/>
        <v>2500-12-31 00:00:00.0</v>
      </c>
      <c r="V1851" t="s">
        <v>837</v>
      </c>
      <c r="W1851" t="str">
        <f>"048314-070417-**-**"</f>
        <v>048314-070417-**-**</v>
      </c>
      <c r="X1851" t="s">
        <v>838</v>
      </c>
      <c r="Y1851">
        <v>1125</v>
      </c>
      <c r="Z1851">
        <v>1125</v>
      </c>
      <c r="AA1851" t="str">
        <f t="shared" si="527"/>
        <v>06/08/2016</v>
      </c>
    </row>
    <row r="1852" spans="1:27" x14ac:dyDescent="0.3">
      <c r="A1852" t="str">
        <f t="shared" si="512"/>
        <v>048314</v>
      </c>
      <c r="B1852" t="str">
        <f t="shared" si="523"/>
        <v>038430</v>
      </c>
      <c r="C1852" t="s">
        <v>3706</v>
      </c>
      <c r="D1852" t="s">
        <v>3839</v>
      </c>
      <c r="E1852" t="s">
        <v>3840</v>
      </c>
      <c r="F1852" t="s">
        <v>3841</v>
      </c>
      <c r="G1852" t="s">
        <v>3842</v>
      </c>
      <c r="H1852" t="str">
        <f t="shared" si="526"/>
        <v>048314</v>
      </c>
      <c r="I1852" t="s">
        <v>833</v>
      </c>
      <c r="J1852" t="str">
        <f t="shared" si="528"/>
        <v>2015-07-01 00:00:00.0</v>
      </c>
      <c r="K1852" t="s">
        <v>834</v>
      </c>
      <c r="L1852" t="s">
        <v>0</v>
      </c>
      <c r="M1852" t="str">
        <f t="shared" si="529"/>
        <v>048314</v>
      </c>
      <c r="N1852">
        <v>1</v>
      </c>
      <c r="O1852">
        <v>1</v>
      </c>
      <c r="P1852" t="str">
        <f>"02"</f>
        <v>02</v>
      </c>
      <c r="Q1852" t="s">
        <v>835</v>
      </c>
      <c r="S1852" t="s">
        <v>836</v>
      </c>
      <c r="T1852" t="s">
        <v>836</v>
      </c>
      <c r="U1852" t="str">
        <f t="shared" si="525"/>
        <v>2500-12-31 00:00:00.0</v>
      </c>
      <c r="V1852" t="s">
        <v>837</v>
      </c>
      <c r="W1852" t="str">
        <f>"048314-038430-**-**"</f>
        <v>048314-038430-**-**</v>
      </c>
      <c r="X1852" t="s">
        <v>838</v>
      </c>
      <c r="Y1852">
        <v>1206.25</v>
      </c>
      <c r="Z1852">
        <v>1206.25</v>
      </c>
      <c r="AA1852" t="str">
        <f t="shared" si="527"/>
        <v>06/08/2016</v>
      </c>
    </row>
    <row r="1853" spans="1:27" x14ac:dyDescent="0.3">
      <c r="A1853" t="str">
        <f t="shared" si="512"/>
        <v>048314</v>
      </c>
      <c r="B1853" t="str">
        <f t="shared" si="523"/>
        <v>038430</v>
      </c>
      <c r="C1853" t="s">
        <v>3485</v>
      </c>
      <c r="D1853" t="s">
        <v>3839</v>
      </c>
      <c r="E1853" t="s">
        <v>3840</v>
      </c>
      <c r="F1853" t="s">
        <v>3841</v>
      </c>
      <c r="G1853" t="s">
        <v>3842</v>
      </c>
      <c r="H1853" t="str">
        <f t="shared" si="526"/>
        <v>048314</v>
      </c>
      <c r="I1853" t="s">
        <v>833</v>
      </c>
      <c r="J1853" t="str">
        <f t="shared" si="528"/>
        <v>2015-07-01 00:00:00.0</v>
      </c>
      <c r="K1853" t="s">
        <v>834</v>
      </c>
      <c r="L1853" t="s">
        <v>0</v>
      </c>
      <c r="M1853" t="str">
        <f t="shared" si="529"/>
        <v>048314</v>
      </c>
      <c r="N1853">
        <v>1</v>
      </c>
      <c r="O1853">
        <v>1</v>
      </c>
      <c r="P1853" t="str">
        <f>"01"</f>
        <v>01</v>
      </c>
      <c r="Q1853" t="s">
        <v>835</v>
      </c>
      <c r="S1853" t="s">
        <v>836</v>
      </c>
      <c r="T1853" t="s">
        <v>836</v>
      </c>
      <c r="U1853" t="str">
        <f t="shared" si="525"/>
        <v>2500-12-31 00:00:00.0</v>
      </c>
      <c r="V1853" t="s">
        <v>837</v>
      </c>
      <c r="W1853" t="str">
        <f>"048314-038430-**-**"</f>
        <v>048314-038430-**-**</v>
      </c>
      <c r="X1853" t="s">
        <v>838</v>
      </c>
      <c r="Y1853">
        <v>1206.25</v>
      </c>
      <c r="Z1853">
        <v>1206.25</v>
      </c>
      <c r="AA1853" t="str">
        <f t="shared" si="527"/>
        <v>06/08/2016</v>
      </c>
    </row>
    <row r="1854" spans="1:27" x14ac:dyDescent="0.3">
      <c r="A1854" t="str">
        <f t="shared" si="512"/>
        <v>048314</v>
      </c>
      <c r="B1854" t="str">
        <f t="shared" si="523"/>
        <v>038430</v>
      </c>
      <c r="C1854" t="s">
        <v>2897</v>
      </c>
      <c r="D1854" t="s">
        <v>3839</v>
      </c>
      <c r="E1854" t="s">
        <v>3840</v>
      </c>
      <c r="F1854" t="s">
        <v>3841</v>
      </c>
      <c r="G1854" t="s">
        <v>3842</v>
      </c>
      <c r="H1854" t="str">
        <f t="shared" si="526"/>
        <v>048314</v>
      </c>
      <c r="I1854" t="s">
        <v>833</v>
      </c>
      <c r="J1854" t="str">
        <f t="shared" si="528"/>
        <v>2015-07-01 00:00:00.0</v>
      </c>
      <c r="K1854" t="s">
        <v>834</v>
      </c>
      <c r="L1854" t="s">
        <v>0</v>
      </c>
      <c r="M1854" t="str">
        <f t="shared" si="529"/>
        <v>048314</v>
      </c>
      <c r="N1854">
        <v>1</v>
      </c>
      <c r="O1854">
        <v>1</v>
      </c>
      <c r="P1854" t="str">
        <f>"05"</f>
        <v>05</v>
      </c>
      <c r="Q1854" t="s">
        <v>835</v>
      </c>
      <c r="S1854" t="s">
        <v>836</v>
      </c>
      <c r="T1854" t="s">
        <v>836</v>
      </c>
      <c r="U1854" t="str">
        <f t="shared" si="525"/>
        <v>2500-12-31 00:00:00.0</v>
      </c>
      <c r="V1854" t="s">
        <v>837</v>
      </c>
      <c r="W1854" t="str">
        <f>"048314-070417-**-**"</f>
        <v>048314-070417-**-**</v>
      </c>
      <c r="X1854" t="s">
        <v>838</v>
      </c>
      <c r="Y1854">
        <v>1125</v>
      </c>
      <c r="Z1854">
        <v>1125</v>
      </c>
      <c r="AA1854" t="str">
        <f t="shared" si="527"/>
        <v>06/08/2016</v>
      </c>
    </row>
    <row r="1855" spans="1:27" x14ac:dyDescent="0.3">
      <c r="A1855" t="str">
        <f t="shared" si="512"/>
        <v>048314</v>
      </c>
      <c r="B1855" t="str">
        <f t="shared" si="523"/>
        <v>038430</v>
      </c>
      <c r="C1855" t="s">
        <v>3533</v>
      </c>
      <c r="D1855" t="s">
        <v>3839</v>
      </c>
      <c r="E1855" t="s">
        <v>3840</v>
      </c>
      <c r="F1855" t="s">
        <v>3841</v>
      </c>
      <c r="G1855" t="s">
        <v>3842</v>
      </c>
      <c r="H1855" t="str">
        <f t="shared" si="526"/>
        <v>048314</v>
      </c>
      <c r="I1855" t="s">
        <v>833</v>
      </c>
      <c r="J1855" t="str">
        <f t="shared" si="528"/>
        <v>2015-07-01 00:00:00.0</v>
      </c>
      <c r="K1855" t="s">
        <v>834</v>
      </c>
      <c r="L1855" t="s">
        <v>0</v>
      </c>
      <c r="M1855" t="str">
        <f t="shared" si="529"/>
        <v>048314</v>
      </c>
      <c r="N1855">
        <v>1</v>
      </c>
      <c r="O1855">
        <v>1</v>
      </c>
      <c r="P1855" t="str">
        <f>"03"</f>
        <v>03</v>
      </c>
      <c r="Q1855" t="s">
        <v>835</v>
      </c>
      <c r="S1855" t="s">
        <v>836</v>
      </c>
      <c r="T1855" t="s">
        <v>836</v>
      </c>
      <c r="U1855" t="str">
        <f t="shared" si="525"/>
        <v>2500-12-31 00:00:00.0</v>
      </c>
      <c r="V1855" t="s">
        <v>837</v>
      </c>
      <c r="W1855" t="str">
        <f t="shared" ref="W1855:W1875" si="530">"048314-038430-**-**"</f>
        <v>048314-038430-**-**</v>
      </c>
      <c r="X1855" t="s">
        <v>838</v>
      </c>
      <c r="Y1855">
        <v>1206.25</v>
      </c>
      <c r="Z1855">
        <v>1206.25</v>
      </c>
      <c r="AA1855" t="str">
        <f t="shared" si="527"/>
        <v>06/08/2016</v>
      </c>
    </row>
    <row r="1856" spans="1:27" x14ac:dyDescent="0.3">
      <c r="A1856" t="str">
        <f t="shared" si="512"/>
        <v>048314</v>
      </c>
      <c r="B1856" t="str">
        <f t="shared" si="523"/>
        <v>038430</v>
      </c>
      <c r="C1856" t="s">
        <v>2954</v>
      </c>
      <c r="D1856" t="s">
        <v>3839</v>
      </c>
      <c r="E1856" t="s">
        <v>3840</v>
      </c>
      <c r="F1856" t="s">
        <v>3841</v>
      </c>
      <c r="G1856" t="s">
        <v>3842</v>
      </c>
      <c r="H1856" t="str">
        <f t="shared" si="526"/>
        <v>048314</v>
      </c>
      <c r="I1856" t="s">
        <v>833</v>
      </c>
      <c r="J1856" t="str">
        <f t="shared" si="528"/>
        <v>2015-07-01 00:00:00.0</v>
      </c>
      <c r="K1856" t="s">
        <v>834</v>
      </c>
      <c r="L1856" t="s">
        <v>0</v>
      </c>
      <c r="M1856" t="str">
        <f t="shared" si="529"/>
        <v>048314</v>
      </c>
      <c r="N1856">
        <v>1</v>
      </c>
      <c r="O1856">
        <v>1</v>
      </c>
      <c r="P1856" t="str">
        <f>"01"</f>
        <v>01</v>
      </c>
      <c r="Q1856" t="s">
        <v>835</v>
      </c>
      <c r="S1856" t="s">
        <v>836</v>
      </c>
      <c r="T1856" t="s">
        <v>836</v>
      </c>
      <c r="U1856" t="str">
        <f t="shared" si="525"/>
        <v>2500-12-31 00:00:00.0</v>
      </c>
      <c r="V1856" t="s">
        <v>837</v>
      </c>
      <c r="W1856" t="str">
        <f t="shared" si="530"/>
        <v>048314-038430-**-**</v>
      </c>
      <c r="X1856" t="s">
        <v>838</v>
      </c>
      <c r="Y1856">
        <v>1206.25</v>
      </c>
      <c r="Z1856">
        <v>1206.25</v>
      </c>
      <c r="AA1856" t="str">
        <f t="shared" si="527"/>
        <v>06/08/2016</v>
      </c>
    </row>
    <row r="1857" spans="1:27" x14ac:dyDescent="0.3">
      <c r="A1857" t="str">
        <f t="shared" si="512"/>
        <v>048314</v>
      </c>
      <c r="B1857" t="str">
        <f t="shared" si="523"/>
        <v>038430</v>
      </c>
      <c r="C1857" t="s">
        <v>3394</v>
      </c>
      <c r="D1857" t="s">
        <v>3839</v>
      </c>
      <c r="E1857" t="s">
        <v>3840</v>
      </c>
      <c r="F1857" t="s">
        <v>3841</v>
      </c>
      <c r="G1857" t="s">
        <v>3842</v>
      </c>
      <c r="H1857" t="str">
        <f t="shared" si="526"/>
        <v>048314</v>
      </c>
      <c r="I1857" t="s">
        <v>833</v>
      </c>
      <c r="J1857" t="str">
        <f t="shared" si="528"/>
        <v>2015-07-01 00:00:00.0</v>
      </c>
      <c r="K1857" t="s">
        <v>834</v>
      </c>
      <c r="L1857" t="s">
        <v>0</v>
      </c>
      <c r="M1857" t="str">
        <f>"043497"</f>
        <v>043497</v>
      </c>
      <c r="N1857">
        <v>1</v>
      </c>
      <c r="O1857">
        <v>1</v>
      </c>
      <c r="P1857" t="str">
        <f>"03"</f>
        <v>03</v>
      </c>
      <c r="Q1857" t="str">
        <f>"05"</f>
        <v>05</v>
      </c>
      <c r="R1857" t="str">
        <f>"1"</f>
        <v>1</v>
      </c>
      <c r="S1857" t="s">
        <v>860</v>
      </c>
      <c r="T1857" t="s">
        <v>836</v>
      </c>
      <c r="U1857" t="str">
        <f t="shared" si="525"/>
        <v>2500-12-31 00:00:00.0</v>
      </c>
      <c r="V1857" t="s">
        <v>837</v>
      </c>
      <c r="W1857" t="str">
        <f t="shared" si="530"/>
        <v>048314-038430-**-**</v>
      </c>
      <c r="X1857" t="s">
        <v>838</v>
      </c>
      <c r="Y1857">
        <v>1206.25</v>
      </c>
      <c r="Z1857">
        <v>1206.25</v>
      </c>
      <c r="AA1857" t="str">
        <f t="shared" si="527"/>
        <v>06/08/2016</v>
      </c>
    </row>
    <row r="1858" spans="1:27" x14ac:dyDescent="0.3">
      <c r="A1858" t="str">
        <f t="shared" ref="A1858:A1921" si="531">"048314"</f>
        <v>048314</v>
      </c>
      <c r="B1858" t="str">
        <f t="shared" si="523"/>
        <v>038430</v>
      </c>
      <c r="C1858" t="s">
        <v>3384</v>
      </c>
      <c r="D1858" t="s">
        <v>3839</v>
      </c>
      <c r="E1858" t="s">
        <v>3840</v>
      </c>
      <c r="F1858" t="s">
        <v>3841</v>
      </c>
      <c r="G1858" t="s">
        <v>3842</v>
      </c>
      <c r="H1858" t="str">
        <f t="shared" si="526"/>
        <v>048314</v>
      </c>
      <c r="I1858" t="s">
        <v>833</v>
      </c>
      <c r="J1858" t="str">
        <f t="shared" si="528"/>
        <v>2015-07-01 00:00:00.0</v>
      </c>
      <c r="K1858" t="s">
        <v>834</v>
      </c>
      <c r="L1858" t="s">
        <v>0</v>
      </c>
      <c r="M1858" t="str">
        <f>"043497"</f>
        <v>043497</v>
      </c>
      <c r="N1858">
        <v>1</v>
      </c>
      <c r="O1858">
        <v>1</v>
      </c>
      <c r="P1858" t="str">
        <f>"03"</f>
        <v>03</v>
      </c>
      <c r="Q1858" t="str">
        <f>"05"</f>
        <v>05</v>
      </c>
      <c r="R1858" t="str">
        <f>"1"</f>
        <v>1</v>
      </c>
      <c r="S1858" t="s">
        <v>860</v>
      </c>
      <c r="T1858" t="s">
        <v>836</v>
      </c>
      <c r="U1858" t="str">
        <f t="shared" si="525"/>
        <v>2500-12-31 00:00:00.0</v>
      </c>
      <c r="V1858" t="s">
        <v>837</v>
      </c>
      <c r="W1858" t="str">
        <f t="shared" si="530"/>
        <v>048314-038430-**-**</v>
      </c>
      <c r="X1858" t="s">
        <v>838</v>
      </c>
      <c r="Y1858">
        <v>1206.25</v>
      </c>
      <c r="Z1858">
        <v>1206.25</v>
      </c>
      <c r="AA1858" t="str">
        <f t="shared" si="527"/>
        <v>06/08/2016</v>
      </c>
    </row>
    <row r="1859" spans="1:27" x14ac:dyDescent="0.3">
      <c r="A1859" t="str">
        <f t="shared" si="531"/>
        <v>048314</v>
      </c>
      <c r="B1859" t="str">
        <f t="shared" si="523"/>
        <v>038430</v>
      </c>
      <c r="C1859" t="s">
        <v>3529</v>
      </c>
      <c r="D1859" t="s">
        <v>3839</v>
      </c>
      <c r="E1859" t="s">
        <v>3840</v>
      </c>
      <c r="F1859" t="s">
        <v>3841</v>
      </c>
      <c r="G1859" t="s">
        <v>3842</v>
      </c>
      <c r="H1859" t="str">
        <f t="shared" si="526"/>
        <v>048314</v>
      </c>
      <c r="I1859" t="s">
        <v>833</v>
      </c>
      <c r="J1859" t="str">
        <f t="shared" si="528"/>
        <v>2015-07-01 00:00:00.0</v>
      </c>
      <c r="K1859" t="s">
        <v>834</v>
      </c>
      <c r="L1859" t="s">
        <v>0</v>
      </c>
      <c r="M1859" t="str">
        <f t="shared" ref="M1859:M1922" si="532">"048314"</f>
        <v>048314</v>
      </c>
      <c r="N1859">
        <v>1</v>
      </c>
      <c r="O1859">
        <v>1</v>
      </c>
      <c r="P1859" t="str">
        <f>"03"</f>
        <v>03</v>
      </c>
      <c r="Q1859" t="s">
        <v>835</v>
      </c>
      <c r="S1859" t="s">
        <v>836</v>
      </c>
      <c r="T1859" t="s">
        <v>836</v>
      </c>
      <c r="U1859" t="str">
        <f t="shared" si="525"/>
        <v>2500-12-31 00:00:00.0</v>
      </c>
      <c r="V1859" t="s">
        <v>837</v>
      </c>
      <c r="W1859" t="str">
        <f t="shared" si="530"/>
        <v>048314-038430-**-**</v>
      </c>
      <c r="X1859" t="s">
        <v>838</v>
      </c>
      <c r="Y1859">
        <v>1206.25</v>
      </c>
      <c r="Z1859">
        <v>1206.25</v>
      </c>
      <c r="AA1859" t="str">
        <f t="shared" si="527"/>
        <v>06/08/2016</v>
      </c>
    </row>
    <row r="1860" spans="1:27" x14ac:dyDescent="0.3">
      <c r="A1860" t="str">
        <f t="shared" si="531"/>
        <v>048314</v>
      </c>
      <c r="B1860" t="str">
        <f t="shared" si="523"/>
        <v>038430</v>
      </c>
      <c r="C1860" t="s">
        <v>3324</v>
      </c>
      <c r="D1860" t="s">
        <v>3839</v>
      </c>
      <c r="E1860" t="s">
        <v>3840</v>
      </c>
      <c r="F1860" t="s">
        <v>3841</v>
      </c>
      <c r="G1860" t="s">
        <v>3842</v>
      </c>
      <c r="H1860" t="str">
        <f t="shared" si="526"/>
        <v>048314</v>
      </c>
      <c r="I1860" t="s">
        <v>833</v>
      </c>
      <c r="J1860" t="str">
        <f t="shared" si="528"/>
        <v>2015-07-01 00:00:00.0</v>
      </c>
      <c r="K1860" t="s">
        <v>834</v>
      </c>
      <c r="L1860" t="s">
        <v>0</v>
      </c>
      <c r="M1860" t="str">
        <f t="shared" si="532"/>
        <v>048314</v>
      </c>
      <c r="N1860">
        <v>1</v>
      </c>
      <c r="O1860">
        <v>1</v>
      </c>
      <c r="P1860" t="str">
        <f>"04"</f>
        <v>04</v>
      </c>
      <c r="Q1860" t="str">
        <f>"15"</f>
        <v>15</v>
      </c>
      <c r="R1860" t="str">
        <f>"2"</f>
        <v>2</v>
      </c>
      <c r="S1860" t="s">
        <v>836</v>
      </c>
      <c r="T1860" t="s">
        <v>836</v>
      </c>
      <c r="U1860" t="str">
        <f t="shared" si="525"/>
        <v>2500-12-31 00:00:00.0</v>
      </c>
      <c r="V1860" t="s">
        <v>837</v>
      </c>
      <c r="W1860" t="str">
        <f t="shared" si="530"/>
        <v>048314-038430-**-**</v>
      </c>
      <c r="X1860" t="s">
        <v>838</v>
      </c>
      <c r="Y1860">
        <v>1206.25</v>
      </c>
      <c r="Z1860">
        <v>1206.25</v>
      </c>
      <c r="AA1860" t="str">
        <f t="shared" si="527"/>
        <v>06/08/2016</v>
      </c>
    </row>
    <row r="1861" spans="1:27" x14ac:dyDescent="0.3">
      <c r="A1861" t="str">
        <f t="shared" si="531"/>
        <v>048314</v>
      </c>
      <c r="B1861" t="str">
        <f t="shared" si="523"/>
        <v>038430</v>
      </c>
      <c r="C1861" t="s">
        <v>939</v>
      </c>
      <c r="D1861" t="s">
        <v>3839</v>
      </c>
      <c r="E1861" t="s">
        <v>3840</v>
      </c>
      <c r="F1861" t="s">
        <v>3841</v>
      </c>
      <c r="G1861" t="s">
        <v>3842</v>
      </c>
      <c r="H1861" t="str">
        <f t="shared" si="526"/>
        <v>048314</v>
      </c>
      <c r="I1861" t="s">
        <v>833</v>
      </c>
      <c r="J1861" t="str">
        <f>"2016-01-12 00:00:00.0"</f>
        <v>2016-01-12 00:00:00.0</v>
      </c>
      <c r="K1861" t="s">
        <v>834</v>
      </c>
      <c r="L1861" t="s">
        <v>0</v>
      </c>
      <c r="M1861" t="str">
        <f t="shared" si="532"/>
        <v>048314</v>
      </c>
      <c r="N1861">
        <v>0.52849699999999999</v>
      </c>
      <c r="O1861">
        <v>0.52849699999999999</v>
      </c>
      <c r="P1861" t="str">
        <f>"02"</f>
        <v>02</v>
      </c>
      <c r="Q1861" t="str">
        <f>"05"</f>
        <v>05</v>
      </c>
      <c r="R1861" t="str">
        <f>"1"</f>
        <v>1</v>
      </c>
      <c r="S1861" t="s">
        <v>836</v>
      </c>
      <c r="T1861" t="s">
        <v>836</v>
      </c>
      <c r="U1861" t="str">
        <f t="shared" si="525"/>
        <v>2500-12-31 00:00:00.0</v>
      </c>
      <c r="V1861" t="s">
        <v>837</v>
      </c>
      <c r="W1861" t="str">
        <f t="shared" si="530"/>
        <v>048314-038430-**-**</v>
      </c>
      <c r="X1861" t="s">
        <v>838</v>
      </c>
      <c r="Y1861">
        <v>637.5</v>
      </c>
      <c r="Z1861">
        <v>1206.25</v>
      </c>
      <c r="AA1861" t="str">
        <f t="shared" si="527"/>
        <v>06/08/2016</v>
      </c>
    </row>
    <row r="1862" spans="1:27" x14ac:dyDescent="0.3">
      <c r="A1862" t="str">
        <f t="shared" si="531"/>
        <v>048314</v>
      </c>
      <c r="B1862" t="str">
        <f t="shared" si="523"/>
        <v>038430</v>
      </c>
      <c r="C1862" t="s">
        <v>939</v>
      </c>
      <c r="D1862" t="s">
        <v>3839</v>
      </c>
      <c r="E1862" t="s">
        <v>3840</v>
      </c>
      <c r="F1862" t="s">
        <v>3841</v>
      </c>
      <c r="G1862" t="s">
        <v>3842</v>
      </c>
      <c r="H1862" t="str">
        <f t="shared" si="526"/>
        <v>048314</v>
      </c>
      <c r="I1862" t="s">
        <v>833</v>
      </c>
      <c r="J1862" t="str">
        <f>"2015-07-01 00:00:00.0"</f>
        <v>2015-07-01 00:00:00.0</v>
      </c>
      <c r="K1862" t="s">
        <v>834</v>
      </c>
      <c r="L1862" t="s">
        <v>0</v>
      </c>
      <c r="M1862" t="str">
        <f t="shared" si="532"/>
        <v>048314</v>
      </c>
      <c r="N1862">
        <v>0.47150300000000001</v>
      </c>
      <c r="O1862">
        <v>0.47150300000000001</v>
      </c>
      <c r="P1862" t="str">
        <f>"02"</f>
        <v>02</v>
      </c>
      <c r="Q1862" t="s">
        <v>835</v>
      </c>
      <c r="S1862" t="s">
        <v>836</v>
      </c>
      <c r="T1862" t="s">
        <v>836</v>
      </c>
      <c r="U1862" t="str">
        <f>"2016-01-11 00:00:00.0"</f>
        <v>2016-01-11 00:00:00.0</v>
      </c>
      <c r="V1862" t="s">
        <v>837</v>
      </c>
      <c r="W1862" t="str">
        <f t="shared" si="530"/>
        <v>048314-038430-**-**</v>
      </c>
      <c r="X1862" t="s">
        <v>838</v>
      </c>
      <c r="Y1862">
        <v>568.75</v>
      </c>
      <c r="Z1862">
        <v>1206.25</v>
      </c>
      <c r="AA1862" t="str">
        <f t="shared" si="527"/>
        <v>06/08/2016</v>
      </c>
    </row>
    <row r="1863" spans="1:27" x14ac:dyDescent="0.3">
      <c r="A1863" t="str">
        <f t="shared" si="531"/>
        <v>048314</v>
      </c>
      <c r="B1863" t="str">
        <f t="shared" si="523"/>
        <v>038430</v>
      </c>
      <c r="C1863" t="s">
        <v>3340</v>
      </c>
      <c r="D1863" t="s">
        <v>3839</v>
      </c>
      <c r="E1863" t="s">
        <v>3840</v>
      </c>
      <c r="F1863" t="s">
        <v>3841</v>
      </c>
      <c r="G1863" t="s">
        <v>3842</v>
      </c>
      <c r="H1863" t="str">
        <f t="shared" si="526"/>
        <v>048314</v>
      </c>
      <c r="I1863" t="s">
        <v>833</v>
      </c>
      <c r="J1863" t="str">
        <f>"2015-07-01 00:00:00.0"</f>
        <v>2015-07-01 00:00:00.0</v>
      </c>
      <c r="K1863" t="s">
        <v>834</v>
      </c>
      <c r="L1863" t="s">
        <v>0</v>
      </c>
      <c r="M1863" t="str">
        <f t="shared" si="532"/>
        <v>048314</v>
      </c>
      <c r="N1863">
        <v>1</v>
      </c>
      <c r="O1863">
        <v>1</v>
      </c>
      <c r="P1863" t="str">
        <f>"04"</f>
        <v>04</v>
      </c>
      <c r="Q1863" t="s">
        <v>835</v>
      </c>
      <c r="S1863" t="s">
        <v>836</v>
      </c>
      <c r="T1863" t="s">
        <v>836</v>
      </c>
      <c r="U1863" t="str">
        <f t="shared" ref="U1863:U1871" si="533">"2500-12-31 00:00:00.0"</f>
        <v>2500-12-31 00:00:00.0</v>
      </c>
      <c r="V1863" t="s">
        <v>837</v>
      </c>
      <c r="W1863" t="str">
        <f t="shared" si="530"/>
        <v>048314-038430-**-**</v>
      </c>
      <c r="X1863" t="s">
        <v>838</v>
      </c>
      <c r="Y1863">
        <v>1206.25</v>
      </c>
      <c r="Z1863">
        <v>1206.25</v>
      </c>
      <c r="AA1863" t="str">
        <f t="shared" si="527"/>
        <v>06/08/2016</v>
      </c>
    </row>
    <row r="1864" spans="1:27" x14ac:dyDescent="0.3">
      <c r="A1864" t="str">
        <f t="shared" si="531"/>
        <v>048314</v>
      </c>
      <c r="B1864" t="str">
        <f t="shared" si="523"/>
        <v>038430</v>
      </c>
      <c r="C1864" t="s">
        <v>2952</v>
      </c>
      <c r="D1864" t="s">
        <v>3839</v>
      </c>
      <c r="E1864" t="s">
        <v>3840</v>
      </c>
      <c r="F1864" t="s">
        <v>3841</v>
      </c>
      <c r="G1864" t="s">
        <v>3842</v>
      </c>
      <c r="H1864" t="str">
        <f t="shared" si="526"/>
        <v>048314</v>
      </c>
      <c r="I1864" t="s">
        <v>833</v>
      </c>
      <c r="J1864" t="str">
        <f>"2015-08-01 00:00:00.0"</f>
        <v>2015-08-01 00:00:00.0</v>
      </c>
      <c r="K1864" t="s">
        <v>834</v>
      </c>
      <c r="L1864" t="s">
        <v>0</v>
      </c>
      <c r="M1864" t="str">
        <f t="shared" si="532"/>
        <v>048314</v>
      </c>
      <c r="N1864">
        <v>1</v>
      </c>
      <c r="O1864">
        <v>1</v>
      </c>
      <c r="P1864" t="s">
        <v>764</v>
      </c>
      <c r="Q1864" t="s">
        <v>835</v>
      </c>
      <c r="S1864" t="s">
        <v>836</v>
      </c>
      <c r="T1864" t="s">
        <v>836</v>
      </c>
      <c r="U1864" t="str">
        <f t="shared" si="533"/>
        <v>2500-12-31 00:00:00.0</v>
      </c>
      <c r="V1864" t="s">
        <v>837</v>
      </c>
      <c r="W1864" t="str">
        <f t="shared" si="530"/>
        <v>048314-038430-**-**</v>
      </c>
      <c r="X1864" t="s">
        <v>838</v>
      </c>
      <c r="Y1864">
        <v>1206.25</v>
      </c>
      <c r="Z1864">
        <v>1206.25</v>
      </c>
      <c r="AA1864" t="str">
        <f t="shared" si="527"/>
        <v>06/08/2016</v>
      </c>
    </row>
    <row r="1865" spans="1:27" x14ac:dyDescent="0.3">
      <c r="A1865" t="str">
        <f t="shared" si="531"/>
        <v>048314</v>
      </c>
      <c r="B1865" t="str">
        <f t="shared" si="523"/>
        <v>038430</v>
      </c>
      <c r="C1865" t="s">
        <v>3385</v>
      </c>
      <c r="D1865" t="s">
        <v>3839</v>
      </c>
      <c r="E1865" t="s">
        <v>3840</v>
      </c>
      <c r="F1865" t="s">
        <v>3841</v>
      </c>
      <c r="G1865" t="s">
        <v>3842</v>
      </c>
      <c r="H1865" t="str">
        <f t="shared" si="526"/>
        <v>048314</v>
      </c>
      <c r="I1865" t="s">
        <v>833</v>
      </c>
      <c r="J1865" t="str">
        <f>"2015-08-31 00:00:00.0"</f>
        <v>2015-08-31 00:00:00.0</v>
      </c>
      <c r="K1865" t="s">
        <v>834</v>
      </c>
      <c r="L1865" t="s">
        <v>0</v>
      </c>
      <c r="M1865" t="str">
        <f t="shared" si="532"/>
        <v>048314</v>
      </c>
      <c r="N1865">
        <v>1</v>
      </c>
      <c r="O1865">
        <v>1</v>
      </c>
      <c r="P1865" t="str">
        <f>"01"</f>
        <v>01</v>
      </c>
      <c r="Q1865" t="s">
        <v>835</v>
      </c>
      <c r="S1865" t="s">
        <v>836</v>
      </c>
      <c r="T1865" t="s">
        <v>836</v>
      </c>
      <c r="U1865" t="str">
        <f t="shared" si="533"/>
        <v>2500-12-31 00:00:00.0</v>
      </c>
      <c r="V1865" t="s">
        <v>837</v>
      </c>
      <c r="W1865" t="str">
        <f t="shared" si="530"/>
        <v>048314-038430-**-**</v>
      </c>
      <c r="X1865" t="s">
        <v>838</v>
      </c>
      <c r="Y1865">
        <v>1206.25</v>
      </c>
      <c r="Z1865">
        <v>1206.25</v>
      </c>
      <c r="AA1865" t="str">
        <f t="shared" si="527"/>
        <v>06/08/2016</v>
      </c>
    </row>
    <row r="1866" spans="1:27" x14ac:dyDescent="0.3">
      <c r="A1866" t="str">
        <f t="shared" si="531"/>
        <v>048314</v>
      </c>
      <c r="B1866" t="str">
        <f t="shared" si="523"/>
        <v>038430</v>
      </c>
      <c r="C1866" t="s">
        <v>3317</v>
      </c>
      <c r="D1866" t="s">
        <v>3839</v>
      </c>
      <c r="E1866" t="s">
        <v>3840</v>
      </c>
      <c r="F1866" t="s">
        <v>3841</v>
      </c>
      <c r="G1866" t="s">
        <v>3842</v>
      </c>
      <c r="H1866" t="str">
        <f t="shared" si="526"/>
        <v>048314</v>
      </c>
      <c r="I1866" t="s">
        <v>833</v>
      </c>
      <c r="J1866" t="str">
        <f>"2015-07-01 00:00:00.0"</f>
        <v>2015-07-01 00:00:00.0</v>
      </c>
      <c r="K1866" t="s">
        <v>834</v>
      </c>
      <c r="L1866" t="s">
        <v>0</v>
      </c>
      <c r="M1866" t="str">
        <f t="shared" si="532"/>
        <v>048314</v>
      </c>
      <c r="N1866">
        <v>1</v>
      </c>
      <c r="O1866">
        <v>1</v>
      </c>
      <c r="P1866" t="str">
        <f>"04"</f>
        <v>04</v>
      </c>
      <c r="Q1866" t="s">
        <v>835</v>
      </c>
      <c r="S1866" t="s">
        <v>836</v>
      </c>
      <c r="T1866" t="s">
        <v>836</v>
      </c>
      <c r="U1866" t="str">
        <f t="shared" si="533"/>
        <v>2500-12-31 00:00:00.0</v>
      </c>
      <c r="V1866" t="s">
        <v>837</v>
      </c>
      <c r="W1866" t="str">
        <f t="shared" si="530"/>
        <v>048314-038430-**-**</v>
      </c>
      <c r="X1866" t="s">
        <v>838</v>
      </c>
      <c r="Y1866">
        <v>1206.25</v>
      </c>
      <c r="Z1866">
        <v>1206.25</v>
      </c>
      <c r="AA1866" t="str">
        <f t="shared" si="527"/>
        <v>06/08/2016</v>
      </c>
    </row>
    <row r="1867" spans="1:27" x14ac:dyDescent="0.3">
      <c r="A1867" t="str">
        <f t="shared" si="531"/>
        <v>048314</v>
      </c>
      <c r="B1867" t="str">
        <f t="shared" si="523"/>
        <v>038430</v>
      </c>
      <c r="C1867" t="s">
        <v>3183</v>
      </c>
      <c r="D1867" t="s">
        <v>3839</v>
      </c>
      <c r="E1867" t="s">
        <v>3840</v>
      </c>
      <c r="F1867" t="s">
        <v>3841</v>
      </c>
      <c r="G1867" t="s">
        <v>3842</v>
      </c>
      <c r="H1867" t="str">
        <f t="shared" si="526"/>
        <v>048314</v>
      </c>
      <c r="I1867" t="s">
        <v>833</v>
      </c>
      <c r="J1867" t="str">
        <f>"2015-07-01 00:00:00.0"</f>
        <v>2015-07-01 00:00:00.0</v>
      </c>
      <c r="K1867" t="s">
        <v>834</v>
      </c>
      <c r="L1867" t="s">
        <v>0</v>
      </c>
      <c r="M1867" t="str">
        <f t="shared" si="532"/>
        <v>048314</v>
      </c>
      <c r="N1867">
        <v>1</v>
      </c>
      <c r="O1867">
        <v>1</v>
      </c>
      <c r="P1867" t="str">
        <f>"03"</f>
        <v>03</v>
      </c>
      <c r="Q1867" t="s">
        <v>835</v>
      </c>
      <c r="S1867" t="s">
        <v>836</v>
      </c>
      <c r="T1867" t="s">
        <v>836</v>
      </c>
      <c r="U1867" t="str">
        <f t="shared" si="533"/>
        <v>2500-12-31 00:00:00.0</v>
      </c>
      <c r="V1867" t="s">
        <v>837</v>
      </c>
      <c r="W1867" t="str">
        <f t="shared" si="530"/>
        <v>048314-038430-**-**</v>
      </c>
      <c r="X1867" t="s">
        <v>838</v>
      </c>
      <c r="Y1867">
        <v>1206.25</v>
      </c>
      <c r="Z1867">
        <v>1206.25</v>
      </c>
      <c r="AA1867" t="str">
        <f t="shared" si="527"/>
        <v>06/08/2016</v>
      </c>
    </row>
    <row r="1868" spans="1:27" x14ac:dyDescent="0.3">
      <c r="A1868" t="str">
        <f t="shared" si="531"/>
        <v>048314</v>
      </c>
      <c r="B1868" t="str">
        <f t="shared" si="523"/>
        <v>038430</v>
      </c>
      <c r="C1868" t="s">
        <v>2990</v>
      </c>
      <c r="D1868" t="s">
        <v>3839</v>
      </c>
      <c r="E1868" t="s">
        <v>3840</v>
      </c>
      <c r="F1868" t="s">
        <v>3841</v>
      </c>
      <c r="G1868" t="s">
        <v>3842</v>
      </c>
      <c r="H1868" t="str">
        <f t="shared" si="526"/>
        <v>048314</v>
      </c>
      <c r="I1868" t="s">
        <v>833</v>
      </c>
      <c r="J1868" t="str">
        <f>"2015-07-01 00:00:00.0"</f>
        <v>2015-07-01 00:00:00.0</v>
      </c>
      <c r="K1868" t="s">
        <v>834</v>
      </c>
      <c r="L1868" t="s">
        <v>0</v>
      </c>
      <c r="M1868" t="str">
        <f t="shared" si="532"/>
        <v>048314</v>
      </c>
      <c r="N1868">
        <v>1</v>
      </c>
      <c r="O1868">
        <v>1</v>
      </c>
      <c r="P1868" t="str">
        <f>"01"</f>
        <v>01</v>
      </c>
      <c r="Q1868" t="s">
        <v>835</v>
      </c>
      <c r="S1868" t="s">
        <v>836</v>
      </c>
      <c r="T1868" t="s">
        <v>836</v>
      </c>
      <c r="U1868" t="str">
        <f t="shared" si="533"/>
        <v>2500-12-31 00:00:00.0</v>
      </c>
      <c r="V1868" t="s">
        <v>837</v>
      </c>
      <c r="W1868" t="str">
        <f t="shared" si="530"/>
        <v>048314-038430-**-**</v>
      </c>
      <c r="X1868" t="s">
        <v>838</v>
      </c>
      <c r="Y1868">
        <v>1206.25</v>
      </c>
      <c r="Z1868">
        <v>1206.25</v>
      </c>
      <c r="AA1868" t="str">
        <f t="shared" si="527"/>
        <v>06/08/2016</v>
      </c>
    </row>
    <row r="1869" spans="1:27" x14ac:dyDescent="0.3">
      <c r="A1869" t="str">
        <f t="shared" si="531"/>
        <v>048314</v>
      </c>
      <c r="B1869" t="str">
        <f t="shared" si="523"/>
        <v>038430</v>
      </c>
      <c r="C1869" t="s">
        <v>3224</v>
      </c>
      <c r="D1869" t="s">
        <v>3839</v>
      </c>
      <c r="E1869" t="s">
        <v>3840</v>
      </c>
      <c r="F1869" t="s">
        <v>3841</v>
      </c>
      <c r="G1869" t="s">
        <v>3842</v>
      </c>
      <c r="H1869" t="str">
        <f t="shared" si="526"/>
        <v>048314</v>
      </c>
      <c r="I1869" t="s">
        <v>833</v>
      </c>
      <c r="J1869" t="str">
        <f>"2015-07-01 00:00:00.0"</f>
        <v>2015-07-01 00:00:00.0</v>
      </c>
      <c r="K1869" t="s">
        <v>834</v>
      </c>
      <c r="L1869" t="s">
        <v>0</v>
      </c>
      <c r="M1869" t="str">
        <f t="shared" si="532"/>
        <v>048314</v>
      </c>
      <c r="N1869">
        <v>1</v>
      </c>
      <c r="O1869">
        <v>1</v>
      </c>
      <c r="P1869" t="str">
        <f>"02"</f>
        <v>02</v>
      </c>
      <c r="Q1869" t="s">
        <v>835</v>
      </c>
      <c r="S1869" t="s">
        <v>836</v>
      </c>
      <c r="T1869" t="s">
        <v>836</v>
      </c>
      <c r="U1869" t="str">
        <f t="shared" si="533"/>
        <v>2500-12-31 00:00:00.0</v>
      </c>
      <c r="V1869" t="s">
        <v>837</v>
      </c>
      <c r="W1869" t="str">
        <f t="shared" si="530"/>
        <v>048314-038430-**-**</v>
      </c>
      <c r="X1869" t="s">
        <v>838</v>
      </c>
      <c r="Y1869">
        <v>1206.25</v>
      </c>
      <c r="Z1869">
        <v>1206.25</v>
      </c>
      <c r="AA1869" t="str">
        <f t="shared" si="527"/>
        <v>06/08/2016</v>
      </c>
    </row>
    <row r="1870" spans="1:27" x14ac:dyDescent="0.3">
      <c r="A1870" t="str">
        <f t="shared" si="531"/>
        <v>048314</v>
      </c>
      <c r="B1870" t="str">
        <f t="shared" si="523"/>
        <v>038430</v>
      </c>
      <c r="C1870" t="s">
        <v>1406</v>
      </c>
      <c r="D1870" t="s">
        <v>3839</v>
      </c>
      <c r="E1870" t="s">
        <v>3840</v>
      </c>
      <c r="F1870" t="s">
        <v>3841</v>
      </c>
      <c r="G1870" t="s">
        <v>3842</v>
      </c>
      <c r="H1870" t="str">
        <f t="shared" si="526"/>
        <v>048314</v>
      </c>
      <c r="I1870" t="s">
        <v>833</v>
      </c>
      <c r="J1870" t="str">
        <f>"2015-08-01 00:00:00.0"</f>
        <v>2015-08-01 00:00:00.0</v>
      </c>
      <c r="K1870" t="s">
        <v>834</v>
      </c>
      <c r="L1870" t="s">
        <v>0</v>
      </c>
      <c r="M1870" t="str">
        <f t="shared" si="532"/>
        <v>048314</v>
      </c>
      <c r="N1870">
        <v>1</v>
      </c>
      <c r="O1870">
        <v>1</v>
      </c>
      <c r="P1870" t="s">
        <v>764</v>
      </c>
      <c r="Q1870" t="s">
        <v>835</v>
      </c>
      <c r="S1870" t="s">
        <v>836</v>
      </c>
      <c r="T1870" t="s">
        <v>836</v>
      </c>
      <c r="U1870" t="str">
        <f t="shared" si="533"/>
        <v>2500-12-31 00:00:00.0</v>
      </c>
      <c r="V1870" t="s">
        <v>837</v>
      </c>
      <c r="W1870" t="str">
        <f t="shared" si="530"/>
        <v>048314-038430-**-**</v>
      </c>
      <c r="X1870" t="s">
        <v>838</v>
      </c>
      <c r="Y1870">
        <v>1206.25</v>
      </c>
      <c r="Z1870">
        <v>1206.25</v>
      </c>
      <c r="AA1870" t="str">
        <f t="shared" si="527"/>
        <v>06/08/2016</v>
      </c>
    </row>
    <row r="1871" spans="1:27" x14ac:dyDescent="0.3">
      <c r="A1871" t="str">
        <f t="shared" si="531"/>
        <v>048314</v>
      </c>
      <c r="B1871" t="str">
        <f t="shared" si="523"/>
        <v>038430</v>
      </c>
      <c r="C1871" t="s">
        <v>3040</v>
      </c>
      <c r="D1871" t="s">
        <v>3839</v>
      </c>
      <c r="E1871" t="s">
        <v>3840</v>
      </c>
      <c r="F1871" t="s">
        <v>3841</v>
      </c>
      <c r="G1871" t="s">
        <v>3842</v>
      </c>
      <c r="H1871" t="str">
        <f t="shared" si="526"/>
        <v>048314</v>
      </c>
      <c r="I1871" t="s">
        <v>833</v>
      </c>
      <c r="J1871" t="str">
        <f>"2015-07-01 00:00:00.0"</f>
        <v>2015-07-01 00:00:00.0</v>
      </c>
      <c r="K1871" t="s">
        <v>834</v>
      </c>
      <c r="L1871" t="s">
        <v>0</v>
      </c>
      <c r="M1871" t="str">
        <f t="shared" si="532"/>
        <v>048314</v>
      </c>
      <c r="N1871">
        <v>1</v>
      </c>
      <c r="O1871">
        <v>1</v>
      </c>
      <c r="P1871" t="str">
        <f>"01"</f>
        <v>01</v>
      </c>
      <c r="Q1871" t="s">
        <v>835</v>
      </c>
      <c r="S1871" t="s">
        <v>836</v>
      </c>
      <c r="T1871" t="s">
        <v>836</v>
      </c>
      <c r="U1871" t="str">
        <f t="shared" si="533"/>
        <v>2500-12-31 00:00:00.0</v>
      </c>
      <c r="V1871" t="s">
        <v>837</v>
      </c>
      <c r="W1871" t="str">
        <f t="shared" si="530"/>
        <v>048314-038430-**-**</v>
      </c>
      <c r="X1871" t="s">
        <v>838</v>
      </c>
      <c r="Y1871">
        <v>1206.25</v>
      </c>
      <c r="Z1871">
        <v>1206.25</v>
      </c>
      <c r="AA1871" t="str">
        <f t="shared" si="527"/>
        <v>06/08/2016</v>
      </c>
    </row>
    <row r="1872" spans="1:27" x14ac:dyDescent="0.3">
      <c r="A1872" t="str">
        <f t="shared" si="531"/>
        <v>048314</v>
      </c>
      <c r="B1872" t="str">
        <f t="shared" si="523"/>
        <v>038430</v>
      </c>
      <c r="C1872" t="s">
        <v>3241</v>
      </c>
      <c r="D1872" t="s">
        <v>3839</v>
      </c>
      <c r="E1872" t="s">
        <v>3840</v>
      </c>
      <c r="F1872" t="s">
        <v>3841</v>
      </c>
      <c r="G1872" t="s">
        <v>3842</v>
      </c>
      <c r="H1872" t="str">
        <f t="shared" si="526"/>
        <v>048314</v>
      </c>
      <c r="I1872" t="s">
        <v>833</v>
      </c>
      <c r="J1872" t="str">
        <f>"2015-07-01 00:00:00.0"</f>
        <v>2015-07-01 00:00:00.0</v>
      </c>
      <c r="K1872" t="s">
        <v>834</v>
      </c>
      <c r="L1872" t="s">
        <v>0</v>
      </c>
      <c r="M1872" t="str">
        <f t="shared" si="532"/>
        <v>048314</v>
      </c>
      <c r="N1872">
        <v>0.28497400000000001</v>
      </c>
      <c r="O1872">
        <v>0.28497400000000001</v>
      </c>
      <c r="P1872" t="str">
        <f>"04"</f>
        <v>04</v>
      </c>
      <c r="Q1872" t="s">
        <v>835</v>
      </c>
      <c r="S1872" t="s">
        <v>836</v>
      </c>
      <c r="T1872" t="s">
        <v>836</v>
      </c>
      <c r="U1872" t="str">
        <f>"2015-11-16 00:00:00.0"</f>
        <v>2015-11-16 00:00:00.0</v>
      </c>
      <c r="V1872" t="s">
        <v>837</v>
      </c>
      <c r="W1872" t="str">
        <f t="shared" si="530"/>
        <v>048314-038430-**-**</v>
      </c>
      <c r="X1872" t="s">
        <v>838</v>
      </c>
      <c r="Y1872">
        <v>343.75</v>
      </c>
      <c r="Z1872">
        <v>1206.25</v>
      </c>
      <c r="AA1872" t="str">
        <f t="shared" si="527"/>
        <v>06/08/2016</v>
      </c>
    </row>
    <row r="1873" spans="1:27" x14ac:dyDescent="0.3">
      <c r="A1873" t="str">
        <f t="shared" si="531"/>
        <v>048314</v>
      </c>
      <c r="B1873" t="str">
        <f t="shared" si="523"/>
        <v>038430</v>
      </c>
      <c r="C1873" t="s">
        <v>3241</v>
      </c>
      <c r="D1873" t="s">
        <v>3839</v>
      </c>
      <c r="E1873" t="s">
        <v>3840</v>
      </c>
      <c r="F1873" t="s">
        <v>3841</v>
      </c>
      <c r="G1873" t="s">
        <v>3842</v>
      </c>
      <c r="H1873" t="str">
        <f t="shared" si="526"/>
        <v>048314</v>
      </c>
      <c r="I1873" t="s">
        <v>833</v>
      </c>
      <c r="J1873" t="str">
        <f>"2015-11-17 00:00:00.0"</f>
        <v>2015-11-17 00:00:00.0</v>
      </c>
      <c r="K1873" t="s">
        <v>834</v>
      </c>
      <c r="L1873" t="s">
        <v>0</v>
      </c>
      <c r="M1873" t="str">
        <f t="shared" si="532"/>
        <v>048314</v>
      </c>
      <c r="N1873">
        <v>0.71502600000000005</v>
      </c>
      <c r="O1873">
        <v>0.71502600000000005</v>
      </c>
      <c r="P1873" t="str">
        <f>"04"</f>
        <v>04</v>
      </c>
      <c r="Q1873" t="s">
        <v>835</v>
      </c>
      <c r="S1873" t="s">
        <v>860</v>
      </c>
      <c r="T1873" t="s">
        <v>836</v>
      </c>
      <c r="U1873" t="str">
        <f t="shared" ref="U1873:U1878" si="534">"2500-12-31 00:00:00.0"</f>
        <v>2500-12-31 00:00:00.0</v>
      </c>
      <c r="V1873" t="s">
        <v>837</v>
      </c>
      <c r="W1873" t="str">
        <f t="shared" si="530"/>
        <v>048314-038430-**-**</v>
      </c>
      <c r="X1873" t="s">
        <v>838</v>
      </c>
      <c r="Y1873">
        <v>862.5</v>
      </c>
      <c r="Z1873">
        <v>1206.25</v>
      </c>
      <c r="AA1873" t="str">
        <f t="shared" si="527"/>
        <v>06/08/2016</v>
      </c>
    </row>
    <row r="1874" spans="1:27" x14ac:dyDescent="0.3">
      <c r="A1874" t="str">
        <f t="shared" si="531"/>
        <v>048314</v>
      </c>
      <c r="B1874" t="str">
        <f t="shared" si="523"/>
        <v>038430</v>
      </c>
      <c r="C1874" t="s">
        <v>3389</v>
      </c>
      <c r="D1874" t="s">
        <v>3839</v>
      </c>
      <c r="E1874" t="s">
        <v>3840</v>
      </c>
      <c r="F1874" t="s">
        <v>3841</v>
      </c>
      <c r="G1874" t="s">
        <v>3842</v>
      </c>
      <c r="H1874" t="str">
        <f t="shared" si="526"/>
        <v>048314</v>
      </c>
      <c r="I1874" t="s">
        <v>833</v>
      </c>
      <c r="J1874" t="str">
        <f>"2015-07-01 00:00:00.0"</f>
        <v>2015-07-01 00:00:00.0</v>
      </c>
      <c r="K1874" t="s">
        <v>834</v>
      </c>
      <c r="L1874" t="s">
        <v>0</v>
      </c>
      <c r="M1874" t="str">
        <f t="shared" si="532"/>
        <v>048314</v>
      </c>
      <c r="N1874">
        <v>1</v>
      </c>
      <c r="O1874">
        <v>1</v>
      </c>
      <c r="P1874" t="str">
        <f>"04"</f>
        <v>04</v>
      </c>
      <c r="Q1874" t="s">
        <v>835</v>
      </c>
      <c r="S1874" t="s">
        <v>836</v>
      </c>
      <c r="T1874" t="s">
        <v>836</v>
      </c>
      <c r="U1874" t="str">
        <f t="shared" si="534"/>
        <v>2500-12-31 00:00:00.0</v>
      </c>
      <c r="V1874" t="s">
        <v>837</v>
      </c>
      <c r="W1874" t="str">
        <f t="shared" si="530"/>
        <v>048314-038430-**-**</v>
      </c>
      <c r="X1874" t="s">
        <v>838</v>
      </c>
      <c r="Y1874">
        <v>1206.25</v>
      </c>
      <c r="Z1874">
        <v>1206.25</v>
      </c>
      <c r="AA1874" t="str">
        <f t="shared" si="527"/>
        <v>06/08/2016</v>
      </c>
    </row>
    <row r="1875" spans="1:27" x14ac:dyDescent="0.3">
      <c r="A1875" t="str">
        <f t="shared" si="531"/>
        <v>048314</v>
      </c>
      <c r="B1875" t="str">
        <f t="shared" si="523"/>
        <v>038430</v>
      </c>
      <c r="C1875" t="s">
        <v>3026</v>
      </c>
      <c r="D1875" t="s">
        <v>3839</v>
      </c>
      <c r="E1875" t="s">
        <v>3840</v>
      </c>
      <c r="F1875" t="s">
        <v>3841</v>
      </c>
      <c r="G1875" t="s">
        <v>3842</v>
      </c>
      <c r="H1875" t="str">
        <f t="shared" si="526"/>
        <v>048314</v>
      </c>
      <c r="I1875" t="s">
        <v>833</v>
      </c>
      <c r="J1875" t="str">
        <f>"2015-08-01 00:00:00.0"</f>
        <v>2015-08-01 00:00:00.0</v>
      </c>
      <c r="K1875" t="s">
        <v>834</v>
      </c>
      <c r="L1875" t="s">
        <v>0</v>
      </c>
      <c r="M1875" t="str">
        <f t="shared" si="532"/>
        <v>048314</v>
      </c>
      <c r="N1875">
        <v>1</v>
      </c>
      <c r="O1875">
        <v>1</v>
      </c>
      <c r="P1875" t="s">
        <v>764</v>
      </c>
      <c r="Q1875" t="s">
        <v>835</v>
      </c>
      <c r="S1875" t="s">
        <v>836</v>
      </c>
      <c r="T1875" t="s">
        <v>836</v>
      </c>
      <c r="U1875" t="str">
        <f t="shared" si="534"/>
        <v>2500-12-31 00:00:00.0</v>
      </c>
      <c r="V1875" t="s">
        <v>837</v>
      </c>
      <c r="W1875" t="str">
        <f t="shared" si="530"/>
        <v>048314-038430-**-**</v>
      </c>
      <c r="X1875" t="s">
        <v>838</v>
      </c>
      <c r="Y1875">
        <v>1206.25</v>
      </c>
      <c r="Z1875">
        <v>1206.25</v>
      </c>
      <c r="AA1875" t="str">
        <f t="shared" si="527"/>
        <v>06/08/2016</v>
      </c>
    </row>
    <row r="1876" spans="1:27" x14ac:dyDescent="0.3">
      <c r="A1876" t="str">
        <f t="shared" si="531"/>
        <v>048314</v>
      </c>
      <c r="B1876" t="str">
        <f t="shared" si="523"/>
        <v>038430</v>
      </c>
      <c r="C1876" t="s">
        <v>3011</v>
      </c>
      <c r="D1876" t="s">
        <v>3839</v>
      </c>
      <c r="E1876" t="s">
        <v>3840</v>
      </c>
      <c r="F1876" t="s">
        <v>3841</v>
      </c>
      <c r="G1876" t="s">
        <v>3842</v>
      </c>
      <c r="H1876" t="str">
        <f t="shared" si="526"/>
        <v>048314</v>
      </c>
      <c r="I1876" t="s">
        <v>833</v>
      </c>
      <c r="J1876" t="str">
        <f>"2015-08-26 00:00:00.0"</f>
        <v>2015-08-26 00:00:00.0</v>
      </c>
      <c r="K1876" t="s">
        <v>834</v>
      </c>
      <c r="L1876" t="s">
        <v>0</v>
      </c>
      <c r="M1876" t="str">
        <f t="shared" si="532"/>
        <v>048314</v>
      </c>
      <c r="N1876">
        <v>1</v>
      </c>
      <c r="O1876">
        <v>1</v>
      </c>
      <c r="P1876" t="str">
        <f>"01"</f>
        <v>01</v>
      </c>
      <c r="Q1876" t="s">
        <v>835</v>
      </c>
      <c r="S1876" t="s">
        <v>860</v>
      </c>
      <c r="T1876" t="s">
        <v>836</v>
      </c>
      <c r="U1876" t="str">
        <f t="shared" si="534"/>
        <v>2500-12-31 00:00:00.0</v>
      </c>
      <c r="V1876" t="s">
        <v>837</v>
      </c>
      <c r="W1876" t="str">
        <f>"048314-004697-**-**"</f>
        <v>048314-004697-**-**</v>
      </c>
      <c r="X1876" t="s">
        <v>838</v>
      </c>
      <c r="Y1876">
        <v>1206.25</v>
      </c>
      <c r="Z1876">
        <v>1206.25</v>
      </c>
      <c r="AA1876" t="str">
        <f t="shared" si="527"/>
        <v>06/08/2016</v>
      </c>
    </row>
    <row r="1877" spans="1:27" x14ac:dyDescent="0.3">
      <c r="A1877" t="str">
        <f t="shared" si="531"/>
        <v>048314</v>
      </c>
      <c r="B1877" t="str">
        <f t="shared" si="523"/>
        <v>038430</v>
      </c>
      <c r="C1877" t="s">
        <v>2577</v>
      </c>
      <c r="D1877" t="s">
        <v>3839</v>
      </c>
      <c r="E1877" t="s">
        <v>3840</v>
      </c>
      <c r="F1877" t="s">
        <v>3841</v>
      </c>
      <c r="G1877" t="s">
        <v>3842</v>
      </c>
      <c r="H1877" t="str">
        <f t="shared" si="526"/>
        <v>048314</v>
      </c>
      <c r="I1877" t="s">
        <v>833</v>
      </c>
      <c r="J1877" t="str">
        <f>"2015-07-01 00:00:00.0"</f>
        <v>2015-07-01 00:00:00.0</v>
      </c>
      <c r="K1877" t="s">
        <v>834</v>
      </c>
      <c r="L1877" t="s">
        <v>0</v>
      </c>
      <c r="M1877" t="str">
        <f t="shared" si="532"/>
        <v>048314</v>
      </c>
      <c r="N1877">
        <v>1</v>
      </c>
      <c r="O1877">
        <v>1</v>
      </c>
      <c r="P1877" t="str">
        <f>"04"</f>
        <v>04</v>
      </c>
      <c r="Q1877" t="s">
        <v>835</v>
      </c>
      <c r="S1877" t="s">
        <v>836</v>
      </c>
      <c r="T1877" t="s">
        <v>836</v>
      </c>
      <c r="U1877" t="str">
        <f t="shared" si="534"/>
        <v>2500-12-31 00:00:00.0</v>
      </c>
      <c r="V1877" t="s">
        <v>837</v>
      </c>
      <c r="W1877" t="str">
        <f>"048314-038430-**-**"</f>
        <v>048314-038430-**-**</v>
      </c>
      <c r="X1877" t="s">
        <v>838</v>
      </c>
      <c r="Y1877">
        <v>1206.25</v>
      </c>
      <c r="Z1877">
        <v>1206.25</v>
      </c>
      <c r="AA1877" t="str">
        <f t="shared" si="527"/>
        <v>06/08/2016</v>
      </c>
    </row>
    <row r="1878" spans="1:27" x14ac:dyDescent="0.3">
      <c r="A1878" t="str">
        <f t="shared" si="531"/>
        <v>048314</v>
      </c>
      <c r="B1878" t="str">
        <f t="shared" si="523"/>
        <v>038430</v>
      </c>
      <c r="C1878" t="s">
        <v>3000</v>
      </c>
      <c r="D1878" t="s">
        <v>3839</v>
      </c>
      <c r="E1878" t="s">
        <v>3840</v>
      </c>
      <c r="F1878" t="s">
        <v>3841</v>
      </c>
      <c r="G1878" t="s">
        <v>3842</v>
      </c>
      <c r="H1878" t="str">
        <f>"048397"</f>
        <v>048397</v>
      </c>
      <c r="I1878" t="s">
        <v>833</v>
      </c>
      <c r="J1878" t="str">
        <f>"2015-07-01 00:00:00.0"</f>
        <v>2015-07-01 00:00:00.0</v>
      </c>
      <c r="K1878" t="s">
        <v>834</v>
      </c>
      <c r="L1878" t="s">
        <v>1</v>
      </c>
      <c r="M1878" t="str">
        <f t="shared" si="532"/>
        <v>048314</v>
      </c>
      <c r="N1878">
        <v>1</v>
      </c>
      <c r="O1878">
        <v>1</v>
      </c>
      <c r="P1878" t="str">
        <f>"03"</f>
        <v>03</v>
      </c>
      <c r="Q1878" t="s">
        <v>835</v>
      </c>
      <c r="S1878" t="s">
        <v>860</v>
      </c>
      <c r="T1878" t="s">
        <v>836</v>
      </c>
      <c r="U1878" t="str">
        <f t="shared" si="534"/>
        <v>2500-12-31 00:00:00.0</v>
      </c>
      <c r="V1878" t="s">
        <v>837</v>
      </c>
      <c r="W1878" t="str">
        <f>"048397-010298-**-**"</f>
        <v>048397-010298-**-**</v>
      </c>
      <c r="X1878" t="s">
        <v>838</v>
      </c>
      <c r="Y1878">
        <v>1113.0999999999999</v>
      </c>
      <c r="Z1878">
        <v>1113.0999999999999</v>
      </c>
      <c r="AA1878" t="str">
        <f t="shared" si="527"/>
        <v>06/08/2016</v>
      </c>
    </row>
    <row r="1879" spans="1:27" x14ac:dyDescent="0.3">
      <c r="A1879" t="str">
        <f t="shared" si="531"/>
        <v>048314</v>
      </c>
      <c r="B1879" t="str">
        <f t="shared" si="523"/>
        <v>038430</v>
      </c>
      <c r="C1879" t="s">
        <v>1516</v>
      </c>
      <c r="D1879" t="s">
        <v>3839</v>
      </c>
      <c r="E1879" t="s">
        <v>3840</v>
      </c>
      <c r="F1879" t="s">
        <v>3841</v>
      </c>
      <c r="G1879" t="s">
        <v>3842</v>
      </c>
      <c r="H1879" t="str">
        <f t="shared" ref="H1879:H1911" si="535">"048314"</f>
        <v>048314</v>
      </c>
      <c r="I1879" t="s">
        <v>833</v>
      </c>
      <c r="J1879" t="str">
        <f>"2015-07-01 00:00:00.0"</f>
        <v>2015-07-01 00:00:00.0</v>
      </c>
      <c r="K1879" t="s">
        <v>834</v>
      </c>
      <c r="L1879" t="s">
        <v>0</v>
      </c>
      <c r="M1879" t="str">
        <f t="shared" si="532"/>
        <v>048314</v>
      </c>
      <c r="N1879">
        <v>0.57513000000000003</v>
      </c>
      <c r="O1879">
        <v>0.57513000000000003</v>
      </c>
      <c r="P1879" t="str">
        <f>"01"</f>
        <v>01</v>
      </c>
      <c r="Q1879" t="s">
        <v>835</v>
      </c>
      <c r="S1879" t="s">
        <v>836</v>
      </c>
      <c r="T1879" t="s">
        <v>836</v>
      </c>
      <c r="U1879" t="str">
        <f>"2016-02-09 00:00:00.0"</f>
        <v>2016-02-09 00:00:00.0</v>
      </c>
      <c r="V1879" t="s">
        <v>837</v>
      </c>
      <c r="W1879" t="str">
        <f>"048314-038430-**-**"</f>
        <v>048314-038430-**-**</v>
      </c>
      <c r="X1879" t="s">
        <v>838</v>
      </c>
      <c r="Y1879">
        <v>693.75</v>
      </c>
      <c r="Z1879">
        <v>1206.25</v>
      </c>
      <c r="AA1879" t="str">
        <f t="shared" si="527"/>
        <v>06/08/2016</v>
      </c>
    </row>
    <row r="1880" spans="1:27" x14ac:dyDescent="0.3">
      <c r="A1880" t="str">
        <f t="shared" si="531"/>
        <v>048314</v>
      </c>
      <c r="B1880" t="str">
        <f t="shared" si="523"/>
        <v>038430</v>
      </c>
      <c r="C1880" t="s">
        <v>1516</v>
      </c>
      <c r="D1880" t="s">
        <v>3839</v>
      </c>
      <c r="E1880" t="s">
        <v>3840</v>
      </c>
      <c r="F1880" t="s">
        <v>3841</v>
      </c>
      <c r="G1880" t="s">
        <v>3842</v>
      </c>
      <c r="H1880" t="str">
        <f t="shared" si="535"/>
        <v>048314</v>
      </c>
      <c r="I1880" t="s">
        <v>833</v>
      </c>
      <c r="J1880" t="str">
        <f>"2016-02-10 00:00:00.0"</f>
        <v>2016-02-10 00:00:00.0</v>
      </c>
      <c r="K1880" t="s">
        <v>834</v>
      </c>
      <c r="L1880" t="s">
        <v>0</v>
      </c>
      <c r="M1880" t="str">
        <f t="shared" si="532"/>
        <v>048314</v>
      </c>
      <c r="N1880">
        <v>0.42487000000000003</v>
      </c>
      <c r="O1880">
        <v>0.42487000000000003</v>
      </c>
      <c r="P1880" t="str">
        <f>"01"</f>
        <v>01</v>
      </c>
      <c r="Q1880" t="str">
        <f>"10"</f>
        <v>10</v>
      </c>
      <c r="R1880" t="str">
        <f>"2"</f>
        <v>2</v>
      </c>
      <c r="S1880" t="s">
        <v>836</v>
      </c>
      <c r="T1880" t="s">
        <v>836</v>
      </c>
      <c r="U1880" t="str">
        <f t="shared" ref="U1880:U1894" si="536">"2500-12-31 00:00:00.0"</f>
        <v>2500-12-31 00:00:00.0</v>
      </c>
      <c r="V1880" t="s">
        <v>837</v>
      </c>
      <c r="W1880" t="str">
        <f>"048314-038430-**-**"</f>
        <v>048314-038430-**-**</v>
      </c>
      <c r="X1880" t="s">
        <v>838</v>
      </c>
      <c r="Y1880">
        <v>512.5</v>
      </c>
      <c r="Z1880">
        <v>1206.25</v>
      </c>
      <c r="AA1880" t="str">
        <f t="shared" si="527"/>
        <v>06/08/2016</v>
      </c>
    </row>
    <row r="1881" spans="1:27" x14ac:dyDescent="0.3">
      <c r="A1881" t="str">
        <f t="shared" si="531"/>
        <v>048314</v>
      </c>
      <c r="B1881" t="str">
        <f t="shared" si="523"/>
        <v>038430</v>
      </c>
      <c r="C1881" t="s">
        <v>3500</v>
      </c>
      <c r="D1881" t="s">
        <v>3839</v>
      </c>
      <c r="E1881" t="s">
        <v>3840</v>
      </c>
      <c r="F1881" t="s">
        <v>3841</v>
      </c>
      <c r="G1881" t="s">
        <v>3842</v>
      </c>
      <c r="H1881" t="str">
        <f t="shared" si="535"/>
        <v>048314</v>
      </c>
      <c r="I1881" t="s">
        <v>833</v>
      </c>
      <c r="J1881" t="str">
        <f t="shared" ref="J1881:J1886" si="537">"2015-07-01 00:00:00.0"</f>
        <v>2015-07-01 00:00:00.0</v>
      </c>
      <c r="K1881" t="s">
        <v>834</v>
      </c>
      <c r="L1881" t="s">
        <v>0</v>
      </c>
      <c r="M1881" t="str">
        <f t="shared" si="532"/>
        <v>048314</v>
      </c>
      <c r="N1881">
        <v>1</v>
      </c>
      <c r="O1881">
        <v>1</v>
      </c>
      <c r="P1881" t="str">
        <f>"03"</f>
        <v>03</v>
      </c>
      <c r="Q1881" t="s">
        <v>835</v>
      </c>
      <c r="S1881" t="s">
        <v>836</v>
      </c>
      <c r="T1881" t="s">
        <v>836</v>
      </c>
      <c r="U1881" t="str">
        <f t="shared" si="536"/>
        <v>2500-12-31 00:00:00.0</v>
      </c>
      <c r="V1881" t="s">
        <v>837</v>
      </c>
      <c r="W1881" t="str">
        <f>"048314-038430-**-**"</f>
        <v>048314-038430-**-**</v>
      </c>
      <c r="X1881" t="s">
        <v>838</v>
      </c>
      <c r="Y1881">
        <v>1206.25</v>
      </c>
      <c r="Z1881">
        <v>1206.25</v>
      </c>
      <c r="AA1881" t="str">
        <f t="shared" si="527"/>
        <v>06/08/2016</v>
      </c>
    </row>
    <row r="1882" spans="1:27" x14ac:dyDescent="0.3">
      <c r="A1882" t="str">
        <f t="shared" si="531"/>
        <v>048314</v>
      </c>
      <c r="B1882" t="str">
        <f t="shared" si="523"/>
        <v>038430</v>
      </c>
      <c r="C1882" t="s">
        <v>2899</v>
      </c>
      <c r="D1882" t="s">
        <v>3839</v>
      </c>
      <c r="E1882" t="s">
        <v>3840</v>
      </c>
      <c r="F1882" t="s">
        <v>3841</v>
      </c>
      <c r="G1882" t="s">
        <v>3842</v>
      </c>
      <c r="H1882" t="str">
        <f t="shared" si="535"/>
        <v>048314</v>
      </c>
      <c r="I1882" t="s">
        <v>833</v>
      </c>
      <c r="J1882" t="str">
        <f t="shared" si="537"/>
        <v>2015-07-01 00:00:00.0</v>
      </c>
      <c r="K1882" t="s">
        <v>834</v>
      </c>
      <c r="L1882" t="s">
        <v>0</v>
      </c>
      <c r="M1882" t="str">
        <f t="shared" si="532"/>
        <v>048314</v>
      </c>
      <c r="N1882">
        <v>1</v>
      </c>
      <c r="O1882">
        <v>1</v>
      </c>
      <c r="P1882" t="str">
        <f>"05"</f>
        <v>05</v>
      </c>
      <c r="Q1882" t="s">
        <v>835</v>
      </c>
      <c r="S1882" t="s">
        <v>836</v>
      </c>
      <c r="T1882" t="s">
        <v>836</v>
      </c>
      <c r="U1882" t="str">
        <f t="shared" si="536"/>
        <v>2500-12-31 00:00:00.0</v>
      </c>
      <c r="V1882" t="s">
        <v>837</v>
      </c>
      <c r="W1882" t="str">
        <f>"048314-070417-**-**"</f>
        <v>048314-070417-**-**</v>
      </c>
      <c r="X1882" t="s">
        <v>838</v>
      </c>
      <c r="Y1882">
        <v>1125</v>
      </c>
      <c r="Z1882">
        <v>1125</v>
      </c>
      <c r="AA1882" t="str">
        <f t="shared" si="527"/>
        <v>06/08/2016</v>
      </c>
    </row>
    <row r="1883" spans="1:27" x14ac:dyDescent="0.3">
      <c r="A1883" t="str">
        <f t="shared" si="531"/>
        <v>048314</v>
      </c>
      <c r="B1883" t="str">
        <f t="shared" si="523"/>
        <v>038430</v>
      </c>
      <c r="C1883" t="s">
        <v>3152</v>
      </c>
      <c r="D1883" t="s">
        <v>3839</v>
      </c>
      <c r="E1883" t="s">
        <v>3840</v>
      </c>
      <c r="F1883" t="s">
        <v>3841</v>
      </c>
      <c r="G1883" t="s">
        <v>3842</v>
      </c>
      <c r="H1883" t="str">
        <f t="shared" si="535"/>
        <v>048314</v>
      </c>
      <c r="I1883" t="s">
        <v>833</v>
      </c>
      <c r="J1883" t="str">
        <f t="shared" si="537"/>
        <v>2015-07-01 00:00:00.0</v>
      </c>
      <c r="K1883" t="s">
        <v>834</v>
      </c>
      <c r="L1883" t="s">
        <v>0</v>
      </c>
      <c r="M1883" t="str">
        <f t="shared" si="532"/>
        <v>048314</v>
      </c>
      <c r="N1883">
        <v>1</v>
      </c>
      <c r="O1883">
        <v>1</v>
      </c>
      <c r="P1883" t="str">
        <f>"02"</f>
        <v>02</v>
      </c>
      <c r="Q1883" t="s">
        <v>835</v>
      </c>
      <c r="S1883" t="s">
        <v>836</v>
      </c>
      <c r="T1883" t="s">
        <v>836</v>
      </c>
      <c r="U1883" t="str">
        <f t="shared" si="536"/>
        <v>2500-12-31 00:00:00.0</v>
      </c>
      <c r="V1883" t="s">
        <v>837</v>
      </c>
      <c r="W1883" t="str">
        <f>"048314-038430-**-**"</f>
        <v>048314-038430-**-**</v>
      </c>
      <c r="X1883" t="s">
        <v>838</v>
      </c>
      <c r="Y1883">
        <v>1206.25</v>
      </c>
      <c r="Z1883">
        <v>1206.25</v>
      </c>
      <c r="AA1883" t="str">
        <f t="shared" si="527"/>
        <v>06/08/2016</v>
      </c>
    </row>
    <row r="1884" spans="1:27" x14ac:dyDescent="0.3">
      <c r="A1884" t="str">
        <f t="shared" si="531"/>
        <v>048314</v>
      </c>
      <c r="B1884" t="str">
        <f t="shared" si="523"/>
        <v>038430</v>
      </c>
      <c r="C1884" t="s">
        <v>912</v>
      </c>
      <c r="D1884" t="s">
        <v>3839</v>
      </c>
      <c r="E1884" t="s">
        <v>3840</v>
      </c>
      <c r="F1884" t="s">
        <v>3841</v>
      </c>
      <c r="G1884" t="s">
        <v>3842</v>
      </c>
      <c r="H1884" t="str">
        <f t="shared" si="535"/>
        <v>048314</v>
      </c>
      <c r="I1884" t="s">
        <v>833</v>
      </c>
      <c r="J1884" t="str">
        <f t="shared" si="537"/>
        <v>2015-07-01 00:00:00.0</v>
      </c>
      <c r="K1884" t="s">
        <v>834</v>
      </c>
      <c r="L1884" t="s">
        <v>0</v>
      </c>
      <c r="M1884" t="str">
        <f t="shared" si="532"/>
        <v>048314</v>
      </c>
      <c r="N1884">
        <v>1</v>
      </c>
      <c r="O1884">
        <v>1</v>
      </c>
      <c r="P1884" t="str">
        <f>"02"</f>
        <v>02</v>
      </c>
      <c r="Q1884" t="s">
        <v>835</v>
      </c>
      <c r="S1884" t="s">
        <v>836</v>
      </c>
      <c r="T1884" t="s">
        <v>836</v>
      </c>
      <c r="U1884" t="str">
        <f t="shared" si="536"/>
        <v>2500-12-31 00:00:00.0</v>
      </c>
      <c r="V1884" t="s">
        <v>837</v>
      </c>
      <c r="W1884" t="str">
        <f>"048314-038430-**-**"</f>
        <v>048314-038430-**-**</v>
      </c>
      <c r="X1884" t="s">
        <v>838</v>
      </c>
      <c r="Y1884">
        <v>1206.25</v>
      </c>
      <c r="Z1884">
        <v>1206.25</v>
      </c>
      <c r="AA1884" t="str">
        <f t="shared" si="527"/>
        <v>06/08/2016</v>
      </c>
    </row>
    <row r="1885" spans="1:27" x14ac:dyDescent="0.3">
      <c r="A1885" t="str">
        <f t="shared" si="531"/>
        <v>048314</v>
      </c>
      <c r="B1885" t="str">
        <f t="shared" si="523"/>
        <v>038430</v>
      </c>
      <c r="C1885" t="s">
        <v>3460</v>
      </c>
      <c r="D1885" t="s">
        <v>3839</v>
      </c>
      <c r="E1885" t="s">
        <v>3840</v>
      </c>
      <c r="F1885" t="s">
        <v>3841</v>
      </c>
      <c r="G1885" t="s">
        <v>3842</v>
      </c>
      <c r="H1885" t="str">
        <f t="shared" si="535"/>
        <v>048314</v>
      </c>
      <c r="I1885" t="s">
        <v>833</v>
      </c>
      <c r="J1885" t="str">
        <f t="shared" si="537"/>
        <v>2015-07-01 00:00:00.0</v>
      </c>
      <c r="K1885" t="s">
        <v>834</v>
      </c>
      <c r="L1885" t="s">
        <v>0</v>
      </c>
      <c r="M1885" t="str">
        <f t="shared" si="532"/>
        <v>048314</v>
      </c>
      <c r="N1885">
        <v>1</v>
      </c>
      <c r="O1885">
        <v>1</v>
      </c>
      <c r="P1885" t="str">
        <f>"05"</f>
        <v>05</v>
      </c>
      <c r="Q1885" t="s">
        <v>835</v>
      </c>
      <c r="S1885" t="s">
        <v>836</v>
      </c>
      <c r="T1885" t="s">
        <v>836</v>
      </c>
      <c r="U1885" t="str">
        <f t="shared" si="536"/>
        <v>2500-12-31 00:00:00.0</v>
      </c>
      <c r="V1885" t="s">
        <v>837</v>
      </c>
      <c r="W1885" t="str">
        <f>"048314-070417-**-**"</f>
        <v>048314-070417-**-**</v>
      </c>
      <c r="X1885" t="s">
        <v>838</v>
      </c>
      <c r="Y1885">
        <v>1125</v>
      </c>
      <c r="Z1885">
        <v>1125</v>
      </c>
      <c r="AA1885" t="str">
        <f t="shared" si="527"/>
        <v>06/08/2016</v>
      </c>
    </row>
    <row r="1886" spans="1:27" x14ac:dyDescent="0.3">
      <c r="A1886" t="str">
        <f t="shared" si="531"/>
        <v>048314</v>
      </c>
      <c r="B1886" t="str">
        <f t="shared" si="523"/>
        <v>038430</v>
      </c>
      <c r="C1886" t="s">
        <v>3536</v>
      </c>
      <c r="D1886" t="s">
        <v>3839</v>
      </c>
      <c r="E1886" t="s">
        <v>3840</v>
      </c>
      <c r="F1886" t="s">
        <v>3841</v>
      </c>
      <c r="G1886" t="s">
        <v>3842</v>
      </c>
      <c r="H1886" t="str">
        <f t="shared" si="535"/>
        <v>048314</v>
      </c>
      <c r="I1886" t="s">
        <v>833</v>
      </c>
      <c r="J1886" t="str">
        <f t="shared" si="537"/>
        <v>2015-07-01 00:00:00.0</v>
      </c>
      <c r="K1886" t="s">
        <v>834</v>
      </c>
      <c r="L1886" t="s">
        <v>0</v>
      </c>
      <c r="M1886" t="str">
        <f t="shared" si="532"/>
        <v>048314</v>
      </c>
      <c r="N1886">
        <v>1</v>
      </c>
      <c r="O1886">
        <v>1</v>
      </c>
      <c r="P1886" t="str">
        <f>"03"</f>
        <v>03</v>
      </c>
      <c r="Q1886" t="s">
        <v>835</v>
      </c>
      <c r="S1886" t="s">
        <v>836</v>
      </c>
      <c r="T1886" t="s">
        <v>836</v>
      </c>
      <c r="U1886" t="str">
        <f t="shared" si="536"/>
        <v>2500-12-31 00:00:00.0</v>
      </c>
      <c r="V1886" t="s">
        <v>837</v>
      </c>
      <c r="W1886" t="str">
        <f t="shared" ref="W1886:W1892" si="538">"048314-038430-**-**"</f>
        <v>048314-038430-**-**</v>
      </c>
      <c r="X1886" t="s">
        <v>838</v>
      </c>
      <c r="Y1886">
        <v>1206.25</v>
      </c>
      <c r="Z1886">
        <v>1206.25</v>
      </c>
      <c r="AA1886" t="str">
        <f t="shared" si="527"/>
        <v>06/08/2016</v>
      </c>
    </row>
    <row r="1887" spans="1:27" x14ac:dyDescent="0.3">
      <c r="A1887" t="str">
        <f t="shared" si="531"/>
        <v>048314</v>
      </c>
      <c r="B1887" t="str">
        <f t="shared" si="523"/>
        <v>038430</v>
      </c>
      <c r="C1887" t="s">
        <v>1058</v>
      </c>
      <c r="D1887" t="s">
        <v>3839</v>
      </c>
      <c r="E1887" t="s">
        <v>3840</v>
      </c>
      <c r="F1887" t="s">
        <v>3841</v>
      </c>
      <c r="G1887" t="s">
        <v>3842</v>
      </c>
      <c r="H1887" t="str">
        <f t="shared" si="535"/>
        <v>048314</v>
      </c>
      <c r="I1887" t="s">
        <v>833</v>
      </c>
      <c r="J1887" t="str">
        <f>"2015-08-01 00:00:00.0"</f>
        <v>2015-08-01 00:00:00.0</v>
      </c>
      <c r="K1887" t="s">
        <v>834</v>
      </c>
      <c r="L1887" t="s">
        <v>0</v>
      </c>
      <c r="M1887" t="str">
        <f t="shared" si="532"/>
        <v>048314</v>
      </c>
      <c r="N1887">
        <v>1</v>
      </c>
      <c r="O1887">
        <v>1</v>
      </c>
      <c r="P1887" t="s">
        <v>764</v>
      </c>
      <c r="Q1887" t="s">
        <v>835</v>
      </c>
      <c r="S1887" t="s">
        <v>836</v>
      </c>
      <c r="T1887" t="s">
        <v>836</v>
      </c>
      <c r="U1887" t="str">
        <f t="shared" si="536"/>
        <v>2500-12-31 00:00:00.0</v>
      </c>
      <c r="V1887" t="s">
        <v>837</v>
      </c>
      <c r="W1887" t="str">
        <f t="shared" si="538"/>
        <v>048314-038430-**-**</v>
      </c>
      <c r="X1887" t="s">
        <v>838</v>
      </c>
      <c r="Y1887">
        <v>1206.25</v>
      </c>
      <c r="Z1887">
        <v>1206.25</v>
      </c>
      <c r="AA1887" t="str">
        <f t="shared" si="527"/>
        <v>06/08/2016</v>
      </c>
    </row>
    <row r="1888" spans="1:27" x14ac:dyDescent="0.3">
      <c r="A1888" t="str">
        <f t="shared" si="531"/>
        <v>048314</v>
      </c>
      <c r="B1888" t="str">
        <f t="shared" si="523"/>
        <v>038430</v>
      </c>
      <c r="C1888" t="s">
        <v>3426</v>
      </c>
      <c r="D1888" t="s">
        <v>3839</v>
      </c>
      <c r="E1888" t="s">
        <v>3840</v>
      </c>
      <c r="F1888" t="s">
        <v>3841</v>
      </c>
      <c r="G1888" t="s">
        <v>3842</v>
      </c>
      <c r="H1888" t="str">
        <f t="shared" si="535"/>
        <v>048314</v>
      </c>
      <c r="I1888" t="s">
        <v>833</v>
      </c>
      <c r="J1888" t="str">
        <f t="shared" ref="J1888:J1895" si="539">"2015-07-01 00:00:00.0"</f>
        <v>2015-07-01 00:00:00.0</v>
      </c>
      <c r="K1888" t="s">
        <v>834</v>
      </c>
      <c r="L1888" t="s">
        <v>0</v>
      </c>
      <c r="M1888" t="str">
        <f t="shared" si="532"/>
        <v>048314</v>
      </c>
      <c r="N1888">
        <v>1</v>
      </c>
      <c r="O1888">
        <v>1</v>
      </c>
      <c r="P1888" t="str">
        <f>"01"</f>
        <v>01</v>
      </c>
      <c r="Q1888" t="s">
        <v>835</v>
      </c>
      <c r="S1888" t="s">
        <v>836</v>
      </c>
      <c r="T1888" t="s">
        <v>836</v>
      </c>
      <c r="U1888" t="str">
        <f t="shared" si="536"/>
        <v>2500-12-31 00:00:00.0</v>
      </c>
      <c r="V1888" t="s">
        <v>837</v>
      </c>
      <c r="W1888" t="str">
        <f t="shared" si="538"/>
        <v>048314-038430-**-**</v>
      </c>
      <c r="X1888" t="s">
        <v>838</v>
      </c>
      <c r="Y1888">
        <v>1206.25</v>
      </c>
      <c r="Z1888">
        <v>1206.25</v>
      </c>
      <c r="AA1888" t="str">
        <f t="shared" si="527"/>
        <v>06/08/2016</v>
      </c>
    </row>
    <row r="1889" spans="1:27" x14ac:dyDescent="0.3">
      <c r="A1889" t="str">
        <f t="shared" si="531"/>
        <v>048314</v>
      </c>
      <c r="B1889" t="str">
        <f t="shared" si="523"/>
        <v>038430</v>
      </c>
      <c r="C1889" t="s">
        <v>3427</v>
      </c>
      <c r="D1889" t="s">
        <v>3839</v>
      </c>
      <c r="E1889" t="s">
        <v>3840</v>
      </c>
      <c r="F1889" t="s">
        <v>3841</v>
      </c>
      <c r="G1889" t="s">
        <v>3842</v>
      </c>
      <c r="H1889" t="str">
        <f t="shared" si="535"/>
        <v>048314</v>
      </c>
      <c r="I1889" t="s">
        <v>833</v>
      </c>
      <c r="J1889" t="str">
        <f t="shared" si="539"/>
        <v>2015-07-01 00:00:00.0</v>
      </c>
      <c r="K1889" t="s">
        <v>834</v>
      </c>
      <c r="L1889" t="s">
        <v>0</v>
      </c>
      <c r="M1889" t="str">
        <f t="shared" si="532"/>
        <v>048314</v>
      </c>
      <c r="N1889">
        <v>1</v>
      </c>
      <c r="O1889">
        <v>1</v>
      </c>
      <c r="P1889" t="str">
        <f>"03"</f>
        <v>03</v>
      </c>
      <c r="Q1889" t="s">
        <v>835</v>
      </c>
      <c r="S1889" t="s">
        <v>836</v>
      </c>
      <c r="T1889" t="s">
        <v>836</v>
      </c>
      <c r="U1889" t="str">
        <f t="shared" si="536"/>
        <v>2500-12-31 00:00:00.0</v>
      </c>
      <c r="V1889" t="s">
        <v>837</v>
      </c>
      <c r="W1889" t="str">
        <f t="shared" si="538"/>
        <v>048314-038430-**-**</v>
      </c>
      <c r="X1889" t="s">
        <v>838</v>
      </c>
      <c r="Y1889">
        <v>1206.25</v>
      </c>
      <c r="Z1889">
        <v>1206.25</v>
      </c>
      <c r="AA1889" t="str">
        <f t="shared" si="527"/>
        <v>06/08/2016</v>
      </c>
    </row>
    <row r="1890" spans="1:27" x14ac:dyDescent="0.3">
      <c r="A1890" t="str">
        <f t="shared" si="531"/>
        <v>048314</v>
      </c>
      <c r="B1890" t="str">
        <f t="shared" si="523"/>
        <v>038430</v>
      </c>
      <c r="C1890" t="s">
        <v>3316</v>
      </c>
      <c r="D1890" t="s">
        <v>3839</v>
      </c>
      <c r="E1890" t="s">
        <v>3840</v>
      </c>
      <c r="F1890" t="s">
        <v>3841</v>
      </c>
      <c r="G1890" t="s">
        <v>3842</v>
      </c>
      <c r="H1890" t="str">
        <f t="shared" si="535"/>
        <v>048314</v>
      </c>
      <c r="I1890" t="s">
        <v>833</v>
      </c>
      <c r="J1890" t="str">
        <f t="shared" si="539"/>
        <v>2015-07-01 00:00:00.0</v>
      </c>
      <c r="K1890" t="s">
        <v>834</v>
      </c>
      <c r="L1890" t="s">
        <v>0</v>
      </c>
      <c r="M1890" t="str">
        <f t="shared" si="532"/>
        <v>048314</v>
      </c>
      <c r="N1890">
        <v>1</v>
      </c>
      <c r="O1890">
        <v>1</v>
      </c>
      <c r="P1890" t="str">
        <f>"04"</f>
        <v>04</v>
      </c>
      <c r="Q1890" t="s">
        <v>835</v>
      </c>
      <c r="S1890" t="s">
        <v>836</v>
      </c>
      <c r="T1890" t="s">
        <v>836</v>
      </c>
      <c r="U1890" t="str">
        <f t="shared" si="536"/>
        <v>2500-12-31 00:00:00.0</v>
      </c>
      <c r="V1890" t="s">
        <v>837</v>
      </c>
      <c r="W1890" t="str">
        <f t="shared" si="538"/>
        <v>048314-038430-**-**</v>
      </c>
      <c r="X1890" t="s">
        <v>838</v>
      </c>
      <c r="Y1890">
        <v>1206.25</v>
      </c>
      <c r="Z1890">
        <v>1206.25</v>
      </c>
      <c r="AA1890" t="str">
        <f t="shared" si="527"/>
        <v>06/08/2016</v>
      </c>
    </row>
    <row r="1891" spans="1:27" x14ac:dyDescent="0.3">
      <c r="A1891" t="str">
        <f t="shared" si="531"/>
        <v>048314</v>
      </c>
      <c r="B1891" t="str">
        <f t="shared" si="523"/>
        <v>038430</v>
      </c>
      <c r="C1891" t="s">
        <v>1701</v>
      </c>
      <c r="D1891" t="s">
        <v>3839</v>
      </c>
      <c r="E1891" t="s">
        <v>3840</v>
      </c>
      <c r="F1891" t="s">
        <v>3841</v>
      </c>
      <c r="G1891" t="s">
        <v>3842</v>
      </c>
      <c r="H1891" t="str">
        <f t="shared" si="535"/>
        <v>048314</v>
      </c>
      <c r="I1891" t="s">
        <v>833</v>
      </c>
      <c r="J1891" t="str">
        <f t="shared" si="539"/>
        <v>2015-07-01 00:00:00.0</v>
      </c>
      <c r="K1891" t="s">
        <v>834</v>
      </c>
      <c r="L1891" t="s">
        <v>0</v>
      </c>
      <c r="M1891" t="str">
        <f t="shared" si="532"/>
        <v>048314</v>
      </c>
      <c r="N1891">
        <v>1</v>
      </c>
      <c r="O1891">
        <v>1</v>
      </c>
      <c r="P1891" t="str">
        <f>"01"</f>
        <v>01</v>
      </c>
      <c r="Q1891" t="s">
        <v>835</v>
      </c>
      <c r="S1891" t="s">
        <v>836</v>
      </c>
      <c r="T1891" t="s">
        <v>836</v>
      </c>
      <c r="U1891" t="str">
        <f t="shared" si="536"/>
        <v>2500-12-31 00:00:00.0</v>
      </c>
      <c r="V1891" t="s">
        <v>837</v>
      </c>
      <c r="W1891" t="str">
        <f t="shared" si="538"/>
        <v>048314-038430-**-**</v>
      </c>
      <c r="X1891" t="s">
        <v>838</v>
      </c>
      <c r="Y1891">
        <v>1206.25</v>
      </c>
      <c r="Z1891">
        <v>1206.25</v>
      </c>
      <c r="AA1891" t="str">
        <f t="shared" si="527"/>
        <v>06/08/2016</v>
      </c>
    </row>
    <row r="1892" spans="1:27" x14ac:dyDescent="0.3">
      <c r="A1892" t="str">
        <f t="shared" si="531"/>
        <v>048314</v>
      </c>
      <c r="B1892" t="str">
        <f t="shared" ref="B1892:B1955" si="540">"038430"</f>
        <v>038430</v>
      </c>
      <c r="C1892" t="s">
        <v>1042</v>
      </c>
      <c r="D1892" t="s">
        <v>3839</v>
      </c>
      <c r="E1892" t="s">
        <v>3840</v>
      </c>
      <c r="F1892" t="s">
        <v>3841</v>
      </c>
      <c r="G1892" t="s">
        <v>3842</v>
      </c>
      <c r="H1892" t="str">
        <f t="shared" si="535"/>
        <v>048314</v>
      </c>
      <c r="I1892" t="s">
        <v>833</v>
      </c>
      <c r="J1892" t="str">
        <f t="shared" si="539"/>
        <v>2015-07-01 00:00:00.0</v>
      </c>
      <c r="K1892" t="s">
        <v>834</v>
      </c>
      <c r="L1892" t="s">
        <v>0</v>
      </c>
      <c r="M1892" t="str">
        <f t="shared" si="532"/>
        <v>048314</v>
      </c>
      <c r="N1892">
        <v>1</v>
      </c>
      <c r="O1892">
        <v>1</v>
      </c>
      <c r="P1892" t="str">
        <f>"02"</f>
        <v>02</v>
      </c>
      <c r="Q1892" t="s">
        <v>835</v>
      </c>
      <c r="S1892" t="s">
        <v>836</v>
      </c>
      <c r="T1892" t="s">
        <v>836</v>
      </c>
      <c r="U1892" t="str">
        <f t="shared" si="536"/>
        <v>2500-12-31 00:00:00.0</v>
      </c>
      <c r="V1892" t="s">
        <v>837</v>
      </c>
      <c r="W1892" t="str">
        <f t="shared" si="538"/>
        <v>048314-038430-**-**</v>
      </c>
      <c r="X1892" t="s">
        <v>838</v>
      </c>
      <c r="Y1892">
        <v>1206.25</v>
      </c>
      <c r="Z1892">
        <v>1206.25</v>
      </c>
      <c r="AA1892" t="str">
        <f t="shared" si="527"/>
        <v>06/08/2016</v>
      </c>
    </row>
    <row r="1893" spans="1:27" x14ac:dyDescent="0.3">
      <c r="A1893" t="str">
        <f t="shared" si="531"/>
        <v>048314</v>
      </c>
      <c r="B1893" t="str">
        <f t="shared" si="540"/>
        <v>038430</v>
      </c>
      <c r="C1893" t="s">
        <v>2900</v>
      </c>
      <c r="D1893" t="s">
        <v>3839</v>
      </c>
      <c r="E1893" t="s">
        <v>3840</v>
      </c>
      <c r="F1893" t="s">
        <v>3841</v>
      </c>
      <c r="G1893" t="s">
        <v>3842</v>
      </c>
      <c r="H1893" t="str">
        <f t="shared" si="535"/>
        <v>048314</v>
      </c>
      <c r="I1893" t="s">
        <v>833</v>
      </c>
      <c r="J1893" t="str">
        <f t="shared" si="539"/>
        <v>2015-07-01 00:00:00.0</v>
      </c>
      <c r="K1893" t="s">
        <v>834</v>
      </c>
      <c r="L1893" t="s">
        <v>0</v>
      </c>
      <c r="M1893" t="str">
        <f t="shared" si="532"/>
        <v>048314</v>
      </c>
      <c r="N1893">
        <v>1</v>
      </c>
      <c r="O1893">
        <v>1</v>
      </c>
      <c r="P1893" t="str">
        <f>"05"</f>
        <v>05</v>
      </c>
      <c r="Q1893" t="s">
        <v>835</v>
      </c>
      <c r="S1893" t="s">
        <v>836</v>
      </c>
      <c r="T1893" t="s">
        <v>836</v>
      </c>
      <c r="U1893" t="str">
        <f t="shared" si="536"/>
        <v>2500-12-31 00:00:00.0</v>
      </c>
      <c r="V1893" t="s">
        <v>837</v>
      </c>
      <c r="W1893" t="str">
        <f>"048314-070417-**-**"</f>
        <v>048314-070417-**-**</v>
      </c>
      <c r="X1893" t="s">
        <v>838</v>
      </c>
      <c r="Y1893">
        <v>1125</v>
      </c>
      <c r="Z1893">
        <v>1125</v>
      </c>
      <c r="AA1893" t="str">
        <f t="shared" si="527"/>
        <v>06/08/2016</v>
      </c>
    </row>
    <row r="1894" spans="1:27" x14ac:dyDescent="0.3">
      <c r="A1894" t="str">
        <f t="shared" si="531"/>
        <v>048314</v>
      </c>
      <c r="B1894" t="str">
        <f t="shared" si="540"/>
        <v>038430</v>
      </c>
      <c r="C1894" t="s">
        <v>986</v>
      </c>
      <c r="D1894" t="s">
        <v>3839</v>
      </c>
      <c r="E1894" t="s">
        <v>3840</v>
      </c>
      <c r="F1894" t="s">
        <v>3841</v>
      </c>
      <c r="G1894" t="s">
        <v>3842</v>
      </c>
      <c r="H1894" t="str">
        <f t="shared" si="535"/>
        <v>048314</v>
      </c>
      <c r="I1894" t="s">
        <v>833</v>
      </c>
      <c r="J1894" t="str">
        <f t="shared" si="539"/>
        <v>2015-07-01 00:00:00.0</v>
      </c>
      <c r="K1894" t="s">
        <v>834</v>
      </c>
      <c r="L1894" t="s">
        <v>0</v>
      </c>
      <c r="M1894" t="str">
        <f t="shared" si="532"/>
        <v>048314</v>
      </c>
      <c r="N1894">
        <v>1</v>
      </c>
      <c r="O1894">
        <v>1</v>
      </c>
      <c r="P1894" t="str">
        <f>"02"</f>
        <v>02</v>
      </c>
      <c r="Q1894" t="s">
        <v>835</v>
      </c>
      <c r="S1894" t="s">
        <v>836</v>
      </c>
      <c r="T1894" t="s">
        <v>836</v>
      </c>
      <c r="U1894" t="str">
        <f t="shared" si="536"/>
        <v>2500-12-31 00:00:00.0</v>
      </c>
      <c r="V1894" t="s">
        <v>837</v>
      </c>
      <c r="W1894" t="str">
        <f>"048314-038430-**-**"</f>
        <v>048314-038430-**-**</v>
      </c>
      <c r="X1894" t="s">
        <v>838</v>
      </c>
      <c r="Y1894">
        <v>1206.25</v>
      </c>
      <c r="Z1894">
        <v>1206.25</v>
      </c>
      <c r="AA1894" t="str">
        <f t="shared" si="527"/>
        <v>06/08/2016</v>
      </c>
    </row>
    <row r="1895" spans="1:27" x14ac:dyDescent="0.3">
      <c r="A1895" t="str">
        <f t="shared" si="531"/>
        <v>048314</v>
      </c>
      <c r="B1895" t="str">
        <f t="shared" si="540"/>
        <v>038430</v>
      </c>
      <c r="C1895" t="s">
        <v>3526</v>
      </c>
      <c r="D1895" t="s">
        <v>3839</v>
      </c>
      <c r="E1895" t="s">
        <v>3840</v>
      </c>
      <c r="F1895" t="s">
        <v>3841</v>
      </c>
      <c r="G1895" t="s">
        <v>3842</v>
      </c>
      <c r="H1895" t="str">
        <f t="shared" si="535"/>
        <v>048314</v>
      </c>
      <c r="I1895" t="s">
        <v>833</v>
      </c>
      <c r="J1895" t="str">
        <f t="shared" si="539"/>
        <v>2015-07-01 00:00:00.0</v>
      </c>
      <c r="K1895" t="s">
        <v>834</v>
      </c>
      <c r="L1895" t="s">
        <v>0</v>
      </c>
      <c r="M1895" t="str">
        <f t="shared" si="532"/>
        <v>048314</v>
      </c>
      <c r="N1895">
        <v>0.26424900000000001</v>
      </c>
      <c r="O1895">
        <v>0.26424900000000001</v>
      </c>
      <c r="P1895" t="str">
        <f>"03"</f>
        <v>03</v>
      </c>
      <c r="Q1895" t="str">
        <f>"05"</f>
        <v>05</v>
      </c>
      <c r="R1895" t="str">
        <f>"1"</f>
        <v>1</v>
      </c>
      <c r="S1895" t="s">
        <v>836</v>
      </c>
      <c r="T1895" t="s">
        <v>836</v>
      </c>
      <c r="U1895" t="str">
        <f>"2015-11-10 00:00:00.0"</f>
        <v>2015-11-10 00:00:00.0</v>
      </c>
      <c r="V1895" t="s">
        <v>837</v>
      </c>
      <c r="W1895" t="str">
        <f>"048314-038430-**-**"</f>
        <v>048314-038430-**-**</v>
      </c>
      <c r="X1895" t="s">
        <v>838</v>
      </c>
      <c r="Y1895">
        <v>318.75</v>
      </c>
      <c r="Z1895">
        <v>1206.25</v>
      </c>
      <c r="AA1895" t="str">
        <f t="shared" si="527"/>
        <v>06/08/2016</v>
      </c>
    </row>
    <row r="1896" spans="1:27" x14ac:dyDescent="0.3">
      <c r="A1896" t="str">
        <f t="shared" si="531"/>
        <v>048314</v>
      </c>
      <c r="B1896" t="str">
        <f t="shared" si="540"/>
        <v>038430</v>
      </c>
      <c r="C1896" t="s">
        <v>3526</v>
      </c>
      <c r="D1896" t="s">
        <v>3839</v>
      </c>
      <c r="E1896" t="s">
        <v>3840</v>
      </c>
      <c r="F1896" t="s">
        <v>3841</v>
      </c>
      <c r="G1896" t="s">
        <v>3842</v>
      </c>
      <c r="H1896" t="str">
        <f t="shared" si="535"/>
        <v>048314</v>
      </c>
      <c r="I1896" t="s">
        <v>833</v>
      </c>
      <c r="J1896" t="str">
        <f>"2015-11-11 00:00:00.0"</f>
        <v>2015-11-11 00:00:00.0</v>
      </c>
      <c r="K1896" t="s">
        <v>834</v>
      </c>
      <c r="L1896" t="s">
        <v>0</v>
      </c>
      <c r="M1896" t="str">
        <f t="shared" si="532"/>
        <v>048314</v>
      </c>
      <c r="N1896">
        <v>0.73575100000000004</v>
      </c>
      <c r="O1896">
        <v>0.73575100000000004</v>
      </c>
      <c r="P1896" t="str">
        <f>"03"</f>
        <v>03</v>
      </c>
      <c r="Q1896" t="s">
        <v>835</v>
      </c>
      <c r="S1896" t="s">
        <v>836</v>
      </c>
      <c r="T1896" t="s">
        <v>836</v>
      </c>
      <c r="U1896" t="str">
        <f t="shared" ref="U1896:U1927" si="541">"2500-12-31 00:00:00.0"</f>
        <v>2500-12-31 00:00:00.0</v>
      </c>
      <c r="V1896" t="s">
        <v>837</v>
      </c>
      <c r="W1896" t="str">
        <f>"048314-038430-**-**"</f>
        <v>048314-038430-**-**</v>
      </c>
      <c r="X1896" t="s">
        <v>838</v>
      </c>
      <c r="Y1896">
        <v>887.5</v>
      </c>
      <c r="Z1896">
        <v>1206.25</v>
      </c>
      <c r="AA1896" t="str">
        <f t="shared" si="527"/>
        <v>06/08/2016</v>
      </c>
    </row>
    <row r="1897" spans="1:27" x14ac:dyDescent="0.3">
      <c r="A1897" t="str">
        <f t="shared" si="531"/>
        <v>048314</v>
      </c>
      <c r="B1897" t="str">
        <f t="shared" si="540"/>
        <v>038430</v>
      </c>
      <c r="C1897" t="s">
        <v>3279</v>
      </c>
      <c r="D1897" t="s">
        <v>3839</v>
      </c>
      <c r="E1897" t="s">
        <v>3840</v>
      </c>
      <c r="F1897" t="s">
        <v>3841</v>
      </c>
      <c r="G1897" t="s">
        <v>3842</v>
      </c>
      <c r="H1897" t="str">
        <f t="shared" si="535"/>
        <v>048314</v>
      </c>
      <c r="I1897" t="s">
        <v>833</v>
      </c>
      <c r="J1897" t="str">
        <f t="shared" ref="J1897:J1904" si="542">"2015-07-01 00:00:00.0"</f>
        <v>2015-07-01 00:00:00.0</v>
      </c>
      <c r="K1897" t="s">
        <v>834</v>
      </c>
      <c r="L1897" t="s">
        <v>0</v>
      </c>
      <c r="M1897" t="str">
        <f t="shared" si="532"/>
        <v>048314</v>
      </c>
      <c r="N1897">
        <v>1</v>
      </c>
      <c r="O1897">
        <v>1</v>
      </c>
      <c r="P1897" t="str">
        <f>"05"</f>
        <v>05</v>
      </c>
      <c r="Q1897" t="s">
        <v>835</v>
      </c>
      <c r="S1897" t="s">
        <v>836</v>
      </c>
      <c r="T1897" t="s">
        <v>836</v>
      </c>
      <c r="U1897" t="str">
        <f t="shared" si="541"/>
        <v>2500-12-31 00:00:00.0</v>
      </c>
      <c r="V1897" t="s">
        <v>837</v>
      </c>
      <c r="W1897" t="str">
        <f>"048314-070417-**-**"</f>
        <v>048314-070417-**-**</v>
      </c>
      <c r="X1897" t="s">
        <v>838</v>
      </c>
      <c r="Y1897">
        <v>1125</v>
      </c>
      <c r="Z1897">
        <v>1125</v>
      </c>
      <c r="AA1897" t="str">
        <f t="shared" si="527"/>
        <v>06/08/2016</v>
      </c>
    </row>
    <row r="1898" spans="1:27" x14ac:dyDescent="0.3">
      <c r="A1898" t="str">
        <f t="shared" si="531"/>
        <v>048314</v>
      </c>
      <c r="B1898" t="str">
        <f t="shared" si="540"/>
        <v>038430</v>
      </c>
      <c r="C1898" t="s">
        <v>3549</v>
      </c>
      <c r="D1898" t="s">
        <v>3839</v>
      </c>
      <c r="E1898" t="s">
        <v>3840</v>
      </c>
      <c r="F1898" t="s">
        <v>3841</v>
      </c>
      <c r="G1898" t="s">
        <v>3842</v>
      </c>
      <c r="H1898" t="str">
        <f t="shared" si="535"/>
        <v>048314</v>
      </c>
      <c r="I1898" t="s">
        <v>833</v>
      </c>
      <c r="J1898" t="str">
        <f t="shared" si="542"/>
        <v>2015-07-01 00:00:00.0</v>
      </c>
      <c r="K1898" t="s">
        <v>834</v>
      </c>
      <c r="L1898" t="s">
        <v>0</v>
      </c>
      <c r="M1898" t="str">
        <f t="shared" si="532"/>
        <v>048314</v>
      </c>
      <c r="N1898">
        <v>1</v>
      </c>
      <c r="O1898">
        <v>1</v>
      </c>
      <c r="P1898" t="str">
        <f>"04"</f>
        <v>04</v>
      </c>
      <c r="Q1898" t="s">
        <v>835</v>
      </c>
      <c r="S1898" t="s">
        <v>836</v>
      </c>
      <c r="T1898" t="s">
        <v>836</v>
      </c>
      <c r="U1898" t="str">
        <f t="shared" si="541"/>
        <v>2500-12-31 00:00:00.0</v>
      </c>
      <c r="V1898" t="s">
        <v>837</v>
      </c>
      <c r="W1898" t="str">
        <f>"048314-038430-**-**"</f>
        <v>048314-038430-**-**</v>
      </c>
      <c r="X1898" t="s">
        <v>838</v>
      </c>
      <c r="Y1898">
        <v>1206.25</v>
      </c>
      <c r="Z1898">
        <v>1206.25</v>
      </c>
      <c r="AA1898" t="str">
        <f t="shared" si="527"/>
        <v>06/08/2016</v>
      </c>
    </row>
    <row r="1899" spans="1:27" x14ac:dyDescent="0.3">
      <c r="A1899" t="str">
        <f t="shared" si="531"/>
        <v>048314</v>
      </c>
      <c r="B1899" t="str">
        <f t="shared" si="540"/>
        <v>038430</v>
      </c>
      <c r="C1899" t="s">
        <v>941</v>
      </c>
      <c r="D1899" t="s">
        <v>3839</v>
      </c>
      <c r="E1899" t="s">
        <v>3840</v>
      </c>
      <c r="F1899" t="s">
        <v>3841</v>
      </c>
      <c r="G1899" t="s">
        <v>3842</v>
      </c>
      <c r="H1899" t="str">
        <f t="shared" si="535"/>
        <v>048314</v>
      </c>
      <c r="I1899" t="s">
        <v>833</v>
      </c>
      <c r="J1899" t="str">
        <f t="shared" si="542"/>
        <v>2015-07-01 00:00:00.0</v>
      </c>
      <c r="K1899" t="s">
        <v>834</v>
      </c>
      <c r="L1899" t="s">
        <v>0</v>
      </c>
      <c r="M1899" t="str">
        <f t="shared" si="532"/>
        <v>048314</v>
      </c>
      <c r="N1899">
        <v>1</v>
      </c>
      <c r="O1899">
        <v>1</v>
      </c>
      <c r="P1899" t="str">
        <f>"02"</f>
        <v>02</v>
      </c>
      <c r="Q1899" t="s">
        <v>835</v>
      </c>
      <c r="S1899" t="s">
        <v>836</v>
      </c>
      <c r="T1899" t="s">
        <v>836</v>
      </c>
      <c r="U1899" t="str">
        <f t="shared" si="541"/>
        <v>2500-12-31 00:00:00.0</v>
      </c>
      <c r="V1899" t="s">
        <v>837</v>
      </c>
      <c r="W1899" t="str">
        <f>"048314-038430-**-**"</f>
        <v>048314-038430-**-**</v>
      </c>
      <c r="X1899" t="s">
        <v>838</v>
      </c>
      <c r="Y1899">
        <v>1206.25</v>
      </c>
      <c r="Z1899">
        <v>1206.25</v>
      </c>
      <c r="AA1899" t="str">
        <f t="shared" si="527"/>
        <v>06/08/2016</v>
      </c>
    </row>
    <row r="1900" spans="1:27" x14ac:dyDescent="0.3">
      <c r="A1900" t="str">
        <f t="shared" si="531"/>
        <v>048314</v>
      </c>
      <c r="B1900" t="str">
        <f t="shared" si="540"/>
        <v>038430</v>
      </c>
      <c r="C1900" t="s">
        <v>3653</v>
      </c>
      <c r="D1900" t="s">
        <v>3839</v>
      </c>
      <c r="E1900" t="s">
        <v>3840</v>
      </c>
      <c r="F1900" t="s">
        <v>3841</v>
      </c>
      <c r="G1900" t="s">
        <v>3842</v>
      </c>
      <c r="H1900" t="str">
        <f t="shared" si="535"/>
        <v>048314</v>
      </c>
      <c r="I1900" t="s">
        <v>833</v>
      </c>
      <c r="J1900" t="str">
        <f t="shared" si="542"/>
        <v>2015-07-01 00:00:00.0</v>
      </c>
      <c r="K1900" t="s">
        <v>834</v>
      </c>
      <c r="L1900" t="s">
        <v>0</v>
      </c>
      <c r="M1900" t="str">
        <f t="shared" si="532"/>
        <v>048314</v>
      </c>
      <c r="N1900">
        <v>1</v>
      </c>
      <c r="O1900">
        <v>1</v>
      </c>
      <c r="P1900" t="str">
        <f>"05"</f>
        <v>05</v>
      </c>
      <c r="Q1900" t="s">
        <v>835</v>
      </c>
      <c r="S1900" t="s">
        <v>836</v>
      </c>
      <c r="T1900" t="s">
        <v>836</v>
      </c>
      <c r="U1900" t="str">
        <f t="shared" si="541"/>
        <v>2500-12-31 00:00:00.0</v>
      </c>
      <c r="V1900" t="s">
        <v>837</v>
      </c>
      <c r="W1900" t="str">
        <f>"048314-070417-**-**"</f>
        <v>048314-070417-**-**</v>
      </c>
      <c r="X1900" t="s">
        <v>838</v>
      </c>
      <c r="Y1900">
        <v>1125</v>
      </c>
      <c r="Z1900">
        <v>1125</v>
      </c>
      <c r="AA1900" t="str">
        <f t="shared" si="527"/>
        <v>06/08/2016</v>
      </c>
    </row>
    <row r="1901" spans="1:27" x14ac:dyDescent="0.3">
      <c r="A1901" t="str">
        <f t="shared" si="531"/>
        <v>048314</v>
      </c>
      <c r="B1901" t="str">
        <f t="shared" si="540"/>
        <v>038430</v>
      </c>
      <c r="C1901" t="s">
        <v>3185</v>
      </c>
      <c r="D1901" t="s">
        <v>3839</v>
      </c>
      <c r="E1901" t="s">
        <v>3840</v>
      </c>
      <c r="F1901" t="s">
        <v>3841</v>
      </c>
      <c r="G1901" t="s">
        <v>3842</v>
      </c>
      <c r="H1901" t="str">
        <f t="shared" si="535"/>
        <v>048314</v>
      </c>
      <c r="I1901" t="s">
        <v>833</v>
      </c>
      <c r="J1901" t="str">
        <f t="shared" si="542"/>
        <v>2015-07-01 00:00:00.0</v>
      </c>
      <c r="K1901" t="s">
        <v>834</v>
      </c>
      <c r="L1901" t="s">
        <v>0</v>
      </c>
      <c r="M1901" t="str">
        <f t="shared" si="532"/>
        <v>048314</v>
      </c>
      <c r="N1901">
        <v>1</v>
      </c>
      <c r="O1901">
        <v>1</v>
      </c>
      <c r="P1901" t="str">
        <f>"04"</f>
        <v>04</v>
      </c>
      <c r="Q1901" t="str">
        <f>"10"</f>
        <v>10</v>
      </c>
      <c r="R1901" t="str">
        <f>"2"</f>
        <v>2</v>
      </c>
      <c r="S1901" t="s">
        <v>836</v>
      </c>
      <c r="T1901" t="s">
        <v>836</v>
      </c>
      <c r="U1901" t="str">
        <f t="shared" si="541"/>
        <v>2500-12-31 00:00:00.0</v>
      </c>
      <c r="V1901" t="s">
        <v>837</v>
      </c>
      <c r="W1901" t="str">
        <f>"048314-038430-**-**"</f>
        <v>048314-038430-**-**</v>
      </c>
      <c r="X1901" t="s">
        <v>838</v>
      </c>
      <c r="Y1901">
        <v>1206.25</v>
      </c>
      <c r="Z1901">
        <v>1206.25</v>
      </c>
      <c r="AA1901" t="str">
        <f t="shared" si="527"/>
        <v>06/08/2016</v>
      </c>
    </row>
    <row r="1902" spans="1:27" x14ac:dyDescent="0.3">
      <c r="A1902" t="str">
        <f t="shared" si="531"/>
        <v>048314</v>
      </c>
      <c r="B1902" t="str">
        <f t="shared" si="540"/>
        <v>038430</v>
      </c>
      <c r="C1902" t="s">
        <v>3159</v>
      </c>
      <c r="D1902" t="s">
        <v>3839</v>
      </c>
      <c r="E1902" t="s">
        <v>3840</v>
      </c>
      <c r="F1902" t="s">
        <v>3841</v>
      </c>
      <c r="G1902" t="s">
        <v>3842</v>
      </c>
      <c r="H1902" t="str">
        <f t="shared" si="535"/>
        <v>048314</v>
      </c>
      <c r="I1902" t="s">
        <v>833</v>
      </c>
      <c r="J1902" t="str">
        <f t="shared" si="542"/>
        <v>2015-07-01 00:00:00.0</v>
      </c>
      <c r="K1902" t="s">
        <v>834</v>
      </c>
      <c r="L1902" t="s">
        <v>0</v>
      </c>
      <c r="M1902" t="str">
        <f t="shared" si="532"/>
        <v>048314</v>
      </c>
      <c r="N1902">
        <v>1</v>
      </c>
      <c r="O1902">
        <v>1</v>
      </c>
      <c r="P1902" t="str">
        <f>"05"</f>
        <v>05</v>
      </c>
      <c r="Q1902" t="s">
        <v>835</v>
      </c>
      <c r="S1902" t="s">
        <v>836</v>
      </c>
      <c r="T1902" t="s">
        <v>836</v>
      </c>
      <c r="U1902" t="str">
        <f t="shared" si="541"/>
        <v>2500-12-31 00:00:00.0</v>
      </c>
      <c r="V1902" t="s">
        <v>837</v>
      </c>
      <c r="W1902" t="str">
        <f>"048314-070417-**-**"</f>
        <v>048314-070417-**-**</v>
      </c>
      <c r="X1902" t="s">
        <v>838</v>
      </c>
      <c r="Y1902">
        <v>1125</v>
      </c>
      <c r="Z1902">
        <v>1125</v>
      </c>
      <c r="AA1902" t="str">
        <f t="shared" si="527"/>
        <v>06/08/2016</v>
      </c>
    </row>
    <row r="1903" spans="1:27" x14ac:dyDescent="0.3">
      <c r="A1903" t="str">
        <f t="shared" si="531"/>
        <v>048314</v>
      </c>
      <c r="B1903" t="str">
        <f t="shared" si="540"/>
        <v>038430</v>
      </c>
      <c r="C1903" t="s">
        <v>3012</v>
      </c>
      <c r="D1903" t="s">
        <v>3839</v>
      </c>
      <c r="E1903" t="s">
        <v>3840</v>
      </c>
      <c r="F1903" t="s">
        <v>3841</v>
      </c>
      <c r="G1903" t="s">
        <v>3842</v>
      </c>
      <c r="H1903" t="str">
        <f t="shared" si="535"/>
        <v>048314</v>
      </c>
      <c r="I1903" t="s">
        <v>833</v>
      </c>
      <c r="J1903" t="str">
        <f t="shared" si="542"/>
        <v>2015-07-01 00:00:00.0</v>
      </c>
      <c r="K1903" t="s">
        <v>834</v>
      </c>
      <c r="L1903" t="s">
        <v>0</v>
      </c>
      <c r="M1903" t="str">
        <f t="shared" si="532"/>
        <v>048314</v>
      </c>
      <c r="N1903">
        <v>1</v>
      </c>
      <c r="O1903">
        <v>1</v>
      </c>
      <c r="P1903" t="str">
        <f>"01"</f>
        <v>01</v>
      </c>
      <c r="Q1903" t="s">
        <v>835</v>
      </c>
      <c r="S1903" t="s">
        <v>836</v>
      </c>
      <c r="T1903" t="s">
        <v>836</v>
      </c>
      <c r="U1903" t="str">
        <f t="shared" si="541"/>
        <v>2500-12-31 00:00:00.0</v>
      </c>
      <c r="V1903" t="s">
        <v>837</v>
      </c>
      <c r="W1903" t="str">
        <f>"048314-038430-**-**"</f>
        <v>048314-038430-**-**</v>
      </c>
      <c r="X1903" t="s">
        <v>838</v>
      </c>
      <c r="Y1903">
        <v>1206.25</v>
      </c>
      <c r="Z1903">
        <v>1206.25</v>
      </c>
      <c r="AA1903" t="str">
        <f t="shared" si="527"/>
        <v>06/08/2016</v>
      </c>
    </row>
    <row r="1904" spans="1:27" x14ac:dyDescent="0.3">
      <c r="A1904" t="str">
        <f t="shared" si="531"/>
        <v>048314</v>
      </c>
      <c r="B1904" t="str">
        <f t="shared" si="540"/>
        <v>038430</v>
      </c>
      <c r="C1904" t="s">
        <v>2992</v>
      </c>
      <c r="D1904" t="s">
        <v>3839</v>
      </c>
      <c r="E1904" t="s">
        <v>3840</v>
      </c>
      <c r="F1904" t="s">
        <v>3841</v>
      </c>
      <c r="G1904" t="s">
        <v>3842</v>
      </c>
      <c r="H1904" t="str">
        <f t="shared" si="535"/>
        <v>048314</v>
      </c>
      <c r="I1904" t="s">
        <v>833</v>
      </c>
      <c r="J1904" t="str">
        <f t="shared" si="542"/>
        <v>2015-07-01 00:00:00.0</v>
      </c>
      <c r="K1904" t="s">
        <v>834</v>
      </c>
      <c r="L1904" t="s">
        <v>0</v>
      </c>
      <c r="M1904" t="str">
        <f t="shared" si="532"/>
        <v>048314</v>
      </c>
      <c r="N1904">
        <v>1</v>
      </c>
      <c r="O1904">
        <v>1</v>
      </c>
      <c r="P1904" t="str">
        <f>"01"</f>
        <v>01</v>
      </c>
      <c r="Q1904" t="s">
        <v>835</v>
      </c>
      <c r="S1904" t="s">
        <v>836</v>
      </c>
      <c r="T1904" t="s">
        <v>836</v>
      </c>
      <c r="U1904" t="str">
        <f t="shared" si="541"/>
        <v>2500-12-31 00:00:00.0</v>
      </c>
      <c r="V1904" t="s">
        <v>837</v>
      </c>
      <c r="W1904" t="str">
        <f>"048314-038430-**-**"</f>
        <v>048314-038430-**-**</v>
      </c>
      <c r="X1904" t="s">
        <v>838</v>
      </c>
      <c r="Y1904">
        <v>1206.25</v>
      </c>
      <c r="Z1904">
        <v>1206.25</v>
      </c>
      <c r="AA1904" t="str">
        <f t="shared" si="527"/>
        <v>06/08/2016</v>
      </c>
    </row>
    <row r="1905" spans="1:27" x14ac:dyDescent="0.3">
      <c r="A1905" t="str">
        <f t="shared" si="531"/>
        <v>048314</v>
      </c>
      <c r="B1905" t="str">
        <f t="shared" si="540"/>
        <v>038430</v>
      </c>
      <c r="C1905" t="s">
        <v>3730</v>
      </c>
      <c r="D1905" t="s">
        <v>3839</v>
      </c>
      <c r="E1905" t="s">
        <v>3840</v>
      </c>
      <c r="F1905" t="s">
        <v>3841</v>
      </c>
      <c r="G1905" t="s">
        <v>3842</v>
      </c>
      <c r="H1905" t="str">
        <f t="shared" si="535"/>
        <v>048314</v>
      </c>
      <c r="I1905" t="s">
        <v>833</v>
      </c>
      <c r="J1905" t="str">
        <f>"2015-08-01 00:00:00.0"</f>
        <v>2015-08-01 00:00:00.0</v>
      </c>
      <c r="K1905" t="s">
        <v>834</v>
      </c>
      <c r="L1905" t="s">
        <v>0</v>
      </c>
      <c r="M1905" t="str">
        <f t="shared" si="532"/>
        <v>048314</v>
      </c>
      <c r="N1905">
        <v>1</v>
      </c>
      <c r="O1905">
        <v>1</v>
      </c>
      <c r="P1905" t="s">
        <v>764</v>
      </c>
      <c r="Q1905" t="s">
        <v>835</v>
      </c>
      <c r="S1905" t="s">
        <v>836</v>
      </c>
      <c r="T1905" t="s">
        <v>836</v>
      </c>
      <c r="U1905" t="str">
        <f t="shared" si="541"/>
        <v>2500-12-31 00:00:00.0</v>
      </c>
      <c r="V1905" t="s">
        <v>837</v>
      </c>
      <c r="W1905" t="str">
        <f>"048314-038430-**-**"</f>
        <v>048314-038430-**-**</v>
      </c>
      <c r="X1905" t="s">
        <v>838</v>
      </c>
      <c r="Y1905">
        <v>1206.25</v>
      </c>
      <c r="Z1905">
        <v>1206.25</v>
      </c>
      <c r="AA1905" t="str">
        <f t="shared" si="527"/>
        <v>06/08/2016</v>
      </c>
    </row>
    <row r="1906" spans="1:27" x14ac:dyDescent="0.3">
      <c r="A1906" t="str">
        <f t="shared" si="531"/>
        <v>048314</v>
      </c>
      <c r="B1906" t="str">
        <f t="shared" si="540"/>
        <v>038430</v>
      </c>
      <c r="C1906" t="s">
        <v>3315</v>
      </c>
      <c r="D1906" t="s">
        <v>3839</v>
      </c>
      <c r="E1906" t="s">
        <v>3840</v>
      </c>
      <c r="F1906" t="s">
        <v>3841</v>
      </c>
      <c r="G1906" t="s">
        <v>3842</v>
      </c>
      <c r="H1906" t="str">
        <f t="shared" si="535"/>
        <v>048314</v>
      </c>
      <c r="I1906" t="s">
        <v>833</v>
      </c>
      <c r="J1906" t="str">
        <f>"2015-07-01 00:00:00.0"</f>
        <v>2015-07-01 00:00:00.0</v>
      </c>
      <c r="K1906" t="s">
        <v>834</v>
      </c>
      <c r="L1906" t="s">
        <v>0</v>
      </c>
      <c r="M1906" t="str">
        <f t="shared" si="532"/>
        <v>048314</v>
      </c>
      <c r="N1906">
        <v>1</v>
      </c>
      <c r="O1906">
        <v>1</v>
      </c>
      <c r="P1906" t="str">
        <f>"04"</f>
        <v>04</v>
      </c>
      <c r="Q1906" t="s">
        <v>835</v>
      </c>
      <c r="S1906" t="s">
        <v>836</v>
      </c>
      <c r="T1906" t="s">
        <v>836</v>
      </c>
      <c r="U1906" t="str">
        <f t="shared" si="541"/>
        <v>2500-12-31 00:00:00.0</v>
      </c>
      <c r="V1906" t="s">
        <v>837</v>
      </c>
      <c r="W1906" t="str">
        <f>"048314-038430-**-**"</f>
        <v>048314-038430-**-**</v>
      </c>
      <c r="X1906" t="s">
        <v>838</v>
      </c>
      <c r="Y1906">
        <v>1206.25</v>
      </c>
      <c r="Z1906">
        <v>1206.25</v>
      </c>
      <c r="AA1906" t="str">
        <f t="shared" si="527"/>
        <v>06/08/2016</v>
      </c>
    </row>
    <row r="1907" spans="1:27" x14ac:dyDescent="0.3">
      <c r="A1907" t="str">
        <f t="shared" si="531"/>
        <v>048314</v>
      </c>
      <c r="B1907" t="str">
        <f t="shared" si="540"/>
        <v>038430</v>
      </c>
      <c r="C1907" t="s">
        <v>3313</v>
      </c>
      <c r="D1907" t="s">
        <v>3839</v>
      </c>
      <c r="E1907" t="s">
        <v>3840</v>
      </c>
      <c r="F1907" t="s">
        <v>3841</v>
      </c>
      <c r="G1907" t="s">
        <v>3842</v>
      </c>
      <c r="H1907" t="str">
        <f t="shared" si="535"/>
        <v>048314</v>
      </c>
      <c r="I1907" t="s">
        <v>833</v>
      </c>
      <c r="J1907" t="str">
        <f>"2015-07-01 00:00:00.0"</f>
        <v>2015-07-01 00:00:00.0</v>
      </c>
      <c r="K1907" t="s">
        <v>834</v>
      </c>
      <c r="L1907" t="s">
        <v>0</v>
      </c>
      <c r="M1907" t="str">
        <f t="shared" si="532"/>
        <v>048314</v>
      </c>
      <c r="N1907">
        <v>1</v>
      </c>
      <c r="O1907">
        <v>1</v>
      </c>
      <c r="P1907" t="str">
        <f>"04"</f>
        <v>04</v>
      </c>
      <c r="Q1907" t="s">
        <v>835</v>
      </c>
      <c r="S1907" t="s">
        <v>836</v>
      </c>
      <c r="T1907" t="s">
        <v>836</v>
      </c>
      <c r="U1907" t="str">
        <f t="shared" si="541"/>
        <v>2500-12-31 00:00:00.0</v>
      </c>
      <c r="V1907" t="s">
        <v>837</v>
      </c>
      <c r="W1907" t="str">
        <f>"048314-038430-**-**"</f>
        <v>048314-038430-**-**</v>
      </c>
      <c r="X1907" t="s">
        <v>838</v>
      </c>
      <c r="Y1907">
        <v>1206.25</v>
      </c>
      <c r="Z1907">
        <v>1206.25</v>
      </c>
      <c r="AA1907" t="str">
        <f t="shared" si="527"/>
        <v>06/08/2016</v>
      </c>
    </row>
    <row r="1908" spans="1:27" x14ac:dyDescent="0.3">
      <c r="A1908" t="str">
        <f t="shared" si="531"/>
        <v>048314</v>
      </c>
      <c r="B1908" t="str">
        <f t="shared" si="540"/>
        <v>038430</v>
      </c>
      <c r="C1908" t="s">
        <v>2548</v>
      </c>
      <c r="D1908" t="s">
        <v>3839</v>
      </c>
      <c r="E1908" t="s">
        <v>3840</v>
      </c>
      <c r="F1908" t="s">
        <v>3841</v>
      </c>
      <c r="G1908" t="s">
        <v>3842</v>
      </c>
      <c r="H1908" t="str">
        <f t="shared" si="535"/>
        <v>048314</v>
      </c>
      <c r="I1908" t="s">
        <v>833</v>
      </c>
      <c r="J1908" t="str">
        <f>"2015-07-01 00:00:00.0"</f>
        <v>2015-07-01 00:00:00.0</v>
      </c>
      <c r="K1908" t="s">
        <v>834</v>
      </c>
      <c r="L1908" t="s">
        <v>0</v>
      </c>
      <c r="M1908" t="str">
        <f t="shared" si="532"/>
        <v>048314</v>
      </c>
      <c r="N1908">
        <v>1</v>
      </c>
      <c r="O1908">
        <v>1</v>
      </c>
      <c r="P1908" t="str">
        <f>"05"</f>
        <v>05</v>
      </c>
      <c r="Q1908" t="s">
        <v>835</v>
      </c>
      <c r="S1908" t="s">
        <v>860</v>
      </c>
      <c r="T1908" t="s">
        <v>836</v>
      </c>
      <c r="U1908" t="str">
        <f t="shared" si="541"/>
        <v>2500-12-31 00:00:00.0</v>
      </c>
      <c r="V1908" t="s">
        <v>837</v>
      </c>
      <c r="W1908" t="str">
        <f>"048314-070417-**-**"</f>
        <v>048314-070417-**-**</v>
      </c>
      <c r="X1908" t="s">
        <v>838</v>
      </c>
      <c r="Y1908">
        <v>1125</v>
      </c>
      <c r="Z1908">
        <v>1125</v>
      </c>
      <c r="AA1908" t="str">
        <f t="shared" ref="AA1908:AA1943" si="543">"06/08/2016"</f>
        <v>06/08/2016</v>
      </c>
    </row>
    <row r="1909" spans="1:27" x14ac:dyDescent="0.3">
      <c r="A1909" t="str">
        <f t="shared" si="531"/>
        <v>048314</v>
      </c>
      <c r="B1909" t="str">
        <f t="shared" si="540"/>
        <v>038430</v>
      </c>
      <c r="C1909" t="s">
        <v>2546</v>
      </c>
      <c r="D1909" t="s">
        <v>3839</v>
      </c>
      <c r="E1909" t="s">
        <v>3840</v>
      </c>
      <c r="F1909" t="s">
        <v>3841</v>
      </c>
      <c r="G1909" t="s">
        <v>3842</v>
      </c>
      <c r="H1909" t="str">
        <f t="shared" si="535"/>
        <v>048314</v>
      </c>
      <c r="I1909" t="s">
        <v>833</v>
      </c>
      <c r="J1909" t="str">
        <f>"2015-07-01 00:00:00.0"</f>
        <v>2015-07-01 00:00:00.0</v>
      </c>
      <c r="K1909" t="s">
        <v>834</v>
      </c>
      <c r="L1909" t="s">
        <v>0</v>
      </c>
      <c r="M1909" t="str">
        <f t="shared" si="532"/>
        <v>048314</v>
      </c>
      <c r="N1909">
        <v>1</v>
      </c>
      <c r="O1909">
        <v>1</v>
      </c>
      <c r="P1909" t="str">
        <f>"05"</f>
        <v>05</v>
      </c>
      <c r="Q1909" t="str">
        <f>"10"</f>
        <v>10</v>
      </c>
      <c r="R1909" t="str">
        <f>"2"</f>
        <v>2</v>
      </c>
      <c r="S1909" t="s">
        <v>836</v>
      </c>
      <c r="T1909" t="s">
        <v>836</v>
      </c>
      <c r="U1909" t="str">
        <f t="shared" si="541"/>
        <v>2500-12-31 00:00:00.0</v>
      </c>
      <c r="V1909" t="s">
        <v>837</v>
      </c>
      <c r="W1909" t="str">
        <f>"048314-070417-**-**"</f>
        <v>048314-070417-**-**</v>
      </c>
      <c r="X1909" t="s">
        <v>838</v>
      </c>
      <c r="Y1909">
        <v>1125</v>
      </c>
      <c r="Z1909">
        <v>1125</v>
      </c>
      <c r="AA1909" t="str">
        <f t="shared" si="543"/>
        <v>06/08/2016</v>
      </c>
    </row>
    <row r="1910" spans="1:27" x14ac:dyDescent="0.3">
      <c r="A1910" t="str">
        <f t="shared" si="531"/>
        <v>048314</v>
      </c>
      <c r="B1910" t="str">
        <f t="shared" si="540"/>
        <v>038430</v>
      </c>
      <c r="C1910" t="s">
        <v>3527</v>
      </c>
      <c r="D1910" t="s">
        <v>3839</v>
      </c>
      <c r="E1910" t="s">
        <v>3840</v>
      </c>
      <c r="F1910" t="s">
        <v>3841</v>
      </c>
      <c r="G1910" t="s">
        <v>3842</v>
      </c>
      <c r="H1910" t="str">
        <f t="shared" si="535"/>
        <v>048314</v>
      </c>
      <c r="I1910" t="s">
        <v>833</v>
      </c>
      <c r="J1910" t="str">
        <f>"2015-07-01 00:00:00.0"</f>
        <v>2015-07-01 00:00:00.0</v>
      </c>
      <c r="K1910" t="s">
        <v>834</v>
      </c>
      <c r="L1910" t="s">
        <v>0</v>
      </c>
      <c r="M1910" t="str">
        <f t="shared" si="532"/>
        <v>048314</v>
      </c>
      <c r="N1910">
        <v>1</v>
      </c>
      <c r="O1910">
        <v>1</v>
      </c>
      <c r="P1910" t="str">
        <f>"03"</f>
        <v>03</v>
      </c>
      <c r="Q1910" t="s">
        <v>835</v>
      </c>
      <c r="S1910" t="s">
        <v>860</v>
      </c>
      <c r="T1910" t="s">
        <v>836</v>
      </c>
      <c r="U1910" t="str">
        <f t="shared" si="541"/>
        <v>2500-12-31 00:00:00.0</v>
      </c>
      <c r="V1910" t="s">
        <v>837</v>
      </c>
      <c r="W1910" t="str">
        <f>"048314-038430-**-**"</f>
        <v>048314-038430-**-**</v>
      </c>
      <c r="X1910" t="s">
        <v>838</v>
      </c>
      <c r="Y1910">
        <v>1206.25</v>
      </c>
      <c r="Z1910">
        <v>1206.25</v>
      </c>
      <c r="AA1910" t="str">
        <f t="shared" si="543"/>
        <v>06/08/2016</v>
      </c>
    </row>
    <row r="1911" spans="1:27" x14ac:dyDescent="0.3">
      <c r="A1911" t="str">
        <f t="shared" si="531"/>
        <v>048314</v>
      </c>
      <c r="B1911" t="str">
        <f t="shared" si="540"/>
        <v>038430</v>
      </c>
      <c r="C1911" t="s">
        <v>2975</v>
      </c>
      <c r="D1911" t="s">
        <v>3839</v>
      </c>
      <c r="E1911" t="s">
        <v>3840</v>
      </c>
      <c r="F1911" t="s">
        <v>3841</v>
      </c>
      <c r="G1911" t="s">
        <v>3842</v>
      </c>
      <c r="H1911" t="str">
        <f t="shared" si="535"/>
        <v>048314</v>
      </c>
      <c r="I1911" t="s">
        <v>833</v>
      </c>
      <c r="J1911" t="str">
        <f>"2015-08-01 00:00:00.0"</f>
        <v>2015-08-01 00:00:00.0</v>
      </c>
      <c r="K1911" t="s">
        <v>834</v>
      </c>
      <c r="L1911" t="s">
        <v>0</v>
      </c>
      <c r="M1911" t="str">
        <f t="shared" si="532"/>
        <v>048314</v>
      </c>
      <c r="N1911">
        <v>1</v>
      </c>
      <c r="O1911">
        <v>1</v>
      </c>
      <c r="P1911" t="s">
        <v>764</v>
      </c>
      <c r="Q1911" t="s">
        <v>835</v>
      </c>
      <c r="S1911" t="s">
        <v>836</v>
      </c>
      <c r="T1911" t="s">
        <v>836</v>
      </c>
      <c r="U1911" t="str">
        <f t="shared" si="541"/>
        <v>2500-12-31 00:00:00.0</v>
      </c>
      <c r="V1911" t="s">
        <v>837</v>
      </c>
      <c r="W1911" t="str">
        <f>"048314-038430-**-**"</f>
        <v>048314-038430-**-**</v>
      </c>
      <c r="X1911" t="s">
        <v>838</v>
      </c>
      <c r="Y1911">
        <v>1206.25</v>
      </c>
      <c r="Z1911">
        <v>1206.25</v>
      </c>
      <c r="AA1911" t="str">
        <f t="shared" si="543"/>
        <v>06/08/2016</v>
      </c>
    </row>
    <row r="1912" spans="1:27" x14ac:dyDescent="0.3">
      <c r="A1912" t="str">
        <f t="shared" si="531"/>
        <v>048314</v>
      </c>
      <c r="B1912" t="str">
        <f t="shared" si="540"/>
        <v>038430</v>
      </c>
      <c r="C1912" t="s">
        <v>3028</v>
      </c>
      <c r="D1912" t="s">
        <v>3839</v>
      </c>
      <c r="E1912" t="s">
        <v>3840</v>
      </c>
      <c r="F1912" t="s">
        <v>3841</v>
      </c>
      <c r="G1912" t="s">
        <v>3842</v>
      </c>
      <c r="H1912" t="str">
        <f>"048363"</f>
        <v>048363</v>
      </c>
      <c r="I1912" t="s">
        <v>833</v>
      </c>
      <c r="J1912" t="str">
        <f>"2015-07-01 00:00:00.0"</f>
        <v>2015-07-01 00:00:00.0</v>
      </c>
      <c r="K1912" t="s">
        <v>834</v>
      </c>
      <c r="L1912" t="s">
        <v>1</v>
      </c>
      <c r="M1912" t="str">
        <f t="shared" si="532"/>
        <v>048314</v>
      </c>
      <c r="N1912">
        <v>1</v>
      </c>
      <c r="O1912">
        <v>1</v>
      </c>
      <c r="P1912" t="str">
        <f>"01"</f>
        <v>01</v>
      </c>
      <c r="Q1912" t="s">
        <v>835</v>
      </c>
      <c r="S1912" t="s">
        <v>836</v>
      </c>
      <c r="T1912" t="s">
        <v>836</v>
      </c>
      <c r="U1912" t="str">
        <f t="shared" si="541"/>
        <v>2500-12-31 00:00:00.0</v>
      </c>
      <c r="V1912" t="s">
        <v>837</v>
      </c>
      <c r="W1912" t="str">
        <f>"048363-026211-**-**"</f>
        <v>048363-026211-**-**</v>
      </c>
      <c r="X1912" t="s">
        <v>838</v>
      </c>
      <c r="Y1912">
        <v>1127</v>
      </c>
      <c r="Z1912">
        <v>1127</v>
      </c>
      <c r="AA1912" t="str">
        <f>"06/15/2016"</f>
        <v>06/15/2016</v>
      </c>
    </row>
    <row r="1913" spans="1:27" x14ac:dyDescent="0.3">
      <c r="A1913" t="str">
        <f t="shared" si="531"/>
        <v>048314</v>
      </c>
      <c r="B1913" t="str">
        <f t="shared" si="540"/>
        <v>038430</v>
      </c>
      <c r="C1913" t="s">
        <v>1699</v>
      </c>
      <c r="D1913" t="s">
        <v>3839</v>
      </c>
      <c r="E1913" t="s">
        <v>3840</v>
      </c>
      <c r="F1913" t="s">
        <v>3841</v>
      </c>
      <c r="G1913" t="s">
        <v>3842</v>
      </c>
      <c r="H1913" t="str">
        <f t="shared" ref="H1913:H1974" si="544">"048314"</f>
        <v>048314</v>
      </c>
      <c r="I1913" t="s">
        <v>833</v>
      </c>
      <c r="J1913" t="str">
        <f>"2015-08-31 00:00:00.0"</f>
        <v>2015-08-31 00:00:00.0</v>
      </c>
      <c r="K1913" t="s">
        <v>834</v>
      </c>
      <c r="L1913" t="s">
        <v>0</v>
      </c>
      <c r="M1913" t="str">
        <f t="shared" si="532"/>
        <v>048314</v>
      </c>
      <c r="N1913">
        <v>1</v>
      </c>
      <c r="O1913">
        <v>1</v>
      </c>
      <c r="P1913" t="s">
        <v>764</v>
      </c>
      <c r="Q1913" t="s">
        <v>835</v>
      </c>
      <c r="S1913" t="s">
        <v>836</v>
      </c>
      <c r="T1913" t="s">
        <v>836</v>
      </c>
      <c r="U1913" t="str">
        <f t="shared" si="541"/>
        <v>2500-12-31 00:00:00.0</v>
      </c>
      <c r="V1913" t="s">
        <v>837</v>
      </c>
      <c r="W1913" t="str">
        <f>"048314-038430-**-**"</f>
        <v>048314-038430-**-**</v>
      </c>
      <c r="X1913" t="s">
        <v>838</v>
      </c>
      <c r="Y1913">
        <v>1206.25</v>
      </c>
      <c r="Z1913">
        <v>1206.25</v>
      </c>
      <c r="AA1913" t="str">
        <f t="shared" ref="AA1913:AA1976" si="545">"06/08/2016"</f>
        <v>06/08/2016</v>
      </c>
    </row>
    <row r="1914" spans="1:27" x14ac:dyDescent="0.3">
      <c r="A1914" t="str">
        <f t="shared" si="531"/>
        <v>048314</v>
      </c>
      <c r="B1914" t="str">
        <f t="shared" si="540"/>
        <v>038430</v>
      </c>
      <c r="C1914" t="s">
        <v>2908</v>
      </c>
      <c r="D1914" t="s">
        <v>3839</v>
      </c>
      <c r="E1914" t="s">
        <v>3840</v>
      </c>
      <c r="F1914" t="s">
        <v>3841</v>
      </c>
      <c r="G1914" t="s">
        <v>3842</v>
      </c>
      <c r="H1914" t="str">
        <f t="shared" si="544"/>
        <v>048314</v>
      </c>
      <c r="I1914" t="s">
        <v>833</v>
      </c>
      <c r="J1914" t="str">
        <f t="shared" ref="J1914:J1920" si="546">"2015-07-01 00:00:00.0"</f>
        <v>2015-07-01 00:00:00.0</v>
      </c>
      <c r="K1914" t="s">
        <v>834</v>
      </c>
      <c r="L1914" t="s">
        <v>0</v>
      </c>
      <c r="M1914" t="str">
        <f t="shared" si="532"/>
        <v>048314</v>
      </c>
      <c r="N1914">
        <v>1</v>
      </c>
      <c r="O1914">
        <v>1</v>
      </c>
      <c r="P1914" t="str">
        <f>"05"</f>
        <v>05</v>
      </c>
      <c r="Q1914" t="s">
        <v>835</v>
      </c>
      <c r="S1914" t="s">
        <v>860</v>
      </c>
      <c r="T1914" t="s">
        <v>836</v>
      </c>
      <c r="U1914" t="str">
        <f t="shared" si="541"/>
        <v>2500-12-31 00:00:00.0</v>
      </c>
      <c r="V1914" t="s">
        <v>837</v>
      </c>
      <c r="W1914" t="str">
        <f>"048314-070417-**-**"</f>
        <v>048314-070417-**-**</v>
      </c>
      <c r="X1914" t="s">
        <v>838</v>
      </c>
      <c r="Y1914">
        <v>1125</v>
      </c>
      <c r="Z1914">
        <v>1125</v>
      </c>
      <c r="AA1914" t="str">
        <f t="shared" si="545"/>
        <v>06/08/2016</v>
      </c>
    </row>
    <row r="1915" spans="1:27" x14ac:dyDescent="0.3">
      <c r="A1915" t="str">
        <f t="shared" si="531"/>
        <v>048314</v>
      </c>
      <c r="B1915" t="str">
        <f t="shared" si="540"/>
        <v>038430</v>
      </c>
      <c r="C1915" t="s">
        <v>2909</v>
      </c>
      <c r="D1915" t="s">
        <v>3839</v>
      </c>
      <c r="E1915" t="s">
        <v>3840</v>
      </c>
      <c r="F1915" t="s">
        <v>3841</v>
      </c>
      <c r="G1915" t="s">
        <v>3842</v>
      </c>
      <c r="H1915" t="str">
        <f t="shared" si="544"/>
        <v>048314</v>
      </c>
      <c r="I1915" t="s">
        <v>833</v>
      </c>
      <c r="J1915" t="str">
        <f t="shared" si="546"/>
        <v>2015-07-01 00:00:00.0</v>
      </c>
      <c r="K1915" t="s">
        <v>834</v>
      </c>
      <c r="L1915" t="s">
        <v>0</v>
      </c>
      <c r="M1915" t="str">
        <f t="shared" si="532"/>
        <v>048314</v>
      </c>
      <c r="N1915">
        <v>1</v>
      </c>
      <c r="O1915">
        <v>1</v>
      </c>
      <c r="P1915" t="str">
        <f>"05"</f>
        <v>05</v>
      </c>
      <c r="Q1915" t="s">
        <v>835</v>
      </c>
      <c r="S1915" t="s">
        <v>836</v>
      </c>
      <c r="T1915" t="s">
        <v>836</v>
      </c>
      <c r="U1915" t="str">
        <f t="shared" si="541"/>
        <v>2500-12-31 00:00:00.0</v>
      </c>
      <c r="V1915" t="s">
        <v>837</v>
      </c>
      <c r="W1915" t="str">
        <f>"048314-070417-**-**"</f>
        <v>048314-070417-**-**</v>
      </c>
      <c r="X1915" t="s">
        <v>838</v>
      </c>
      <c r="Y1915">
        <v>1125</v>
      </c>
      <c r="Z1915">
        <v>1125</v>
      </c>
      <c r="AA1915" t="str">
        <f t="shared" si="545"/>
        <v>06/08/2016</v>
      </c>
    </row>
    <row r="1916" spans="1:27" x14ac:dyDescent="0.3">
      <c r="A1916" t="str">
        <f t="shared" si="531"/>
        <v>048314</v>
      </c>
      <c r="B1916" t="str">
        <f t="shared" si="540"/>
        <v>038430</v>
      </c>
      <c r="C1916" t="s">
        <v>988</v>
      </c>
      <c r="D1916" t="s">
        <v>3839</v>
      </c>
      <c r="E1916" t="s">
        <v>3840</v>
      </c>
      <c r="F1916" t="s">
        <v>3841</v>
      </c>
      <c r="G1916" t="s">
        <v>3842</v>
      </c>
      <c r="H1916" t="str">
        <f t="shared" si="544"/>
        <v>048314</v>
      </c>
      <c r="I1916" t="s">
        <v>833</v>
      </c>
      <c r="J1916" t="str">
        <f t="shared" si="546"/>
        <v>2015-07-01 00:00:00.0</v>
      </c>
      <c r="K1916" t="s">
        <v>834</v>
      </c>
      <c r="L1916" t="s">
        <v>0</v>
      </c>
      <c r="M1916" t="str">
        <f t="shared" si="532"/>
        <v>048314</v>
      </c>
      <c r="N1916">
        <v>1</v>
      </c>
      <c r="O1916">
        <v>1</v>
      </c>
      <c r="P1916" t="str">
        <f>"02"</f>
        <v>02</v>
      </c>
      <c r="Q1916" t="s">
        <v>835</v>
      </c>
      <c r="S1916" t="s">
        <v>836</v>
      </c>
      <c r="T1916" t="s">
        <v>836</v>
      </c>
      <c r="U1916" t="str">
        <f t="shared" si="541"/>
        <v>2500-12-31 00:00:00.0</v>
      </c>
      <c r="V1916" t="s">
        <v>837</v>
      </c>
      <c r="W1916" t="str">
        <f t="shared" ref="W1916:W1922" si="547">"048314-038430-**-**"</f>
        <v>048314-038430-**-**</v>
      </c>
      <c r="X1916" t="s">
        <v>838</v>
      </c>
      <c r="Y1916">
        <v>1206.25</v>
      </c>
      <c r="Z1916">
        <v>1206.25</v>
      </c>
      <c r="AA1916" t="str">
        <f t="shared" si="545"/>
        <v>06/08/2016</v>
      </c>
    </row>
    <row r="1917" spans="1:27" x14ac:dyDescent="0.3">
      <c r="A1917" t="str">
        <f t="shared" si="531"/>
        <v>048314</v>
      </c>
      <c r="B1917" t="str">
        <f t="shared" si="540"/>
        <v>038430</v>
      </c>
      <c r="C1917" t="s">
        <v>3419</v>
      </c>
      <c r="D1917" t="s">
        <v>3839</v>
      </c>
      <c r="E1917" t="s">
        <v>3840</v>
      </c>
      <c r="F1917" t="s">
        <v>3841</v>
      </c>
      <c r="G1917" t="s">
        <v>3842</v>
      </c>
      <c r="H1917" t="str">
        <f t="shared" si="544"/>
        <v>048314</v>
      </c>
      <c r="I1917" t="s">
        <v>833</v>
      </c>
      <c r="J1917" t="str">
        <f t="shared" si="546"/>
        <v>2015-07-01 00:00:00.0</v>
      </c>
      <c r="K1917" t="s">
        <v>834</v>
      </c>
      <c r="L1917" t="s">
        <v>0</v>
      </c>
      <c r="M1917" t="str">
        <f t="shared" si="532"/>
        <v>048314</v>
      </c>
      <c r="N1917">
        <v>1</v>
      </c>
      <c r="O1917">
        <v>1</v>
      </c>
      <c r="P1917" t="str">
        <f>"04"</f>
        <v>04</v>
      </c>
      <c r="Q1917" t="s">
        <v>835</v>
      </c>
      <c r="S1917" t="s">
        <v>836</v>
      </c>
      <c r="T1917" t="s">
        <v>836</v>
      </c>
      <c r="U1917" t="str">
        <f t="shared" si="541"/>
        <v>2500-12-31 00:00:00.0</v>
      </c>
      <c r="V1917" t="s">
        <v>837</v>
      </c>
      <c r="W1917" t="str">
        <f t="shared" si="547"/>
        <v>048314-038430-**-**</v>
      </c>
      <c r="X1917" t="s">
        <v>838</v>
      </c>
      <c r="Y1917">
        <v>1206.25</v>
      </c>
      <c r="Z1917">
        <v>1206.25</v>
      </c>
      <c r="AA1917" t="str">
        <f t="shared" si="545"/>
        <v>06/08/2016</v>
      </c>
    </row>
    <row r="1918" spans="1:27" x14ac:dyDescent="0.3">
      <c r="A1918" t="str">
        <f t="shared" si="531"/>
        <v>048314</v>
      </c>
      <c r="B1918" t="str">
        <f t="shared" si="540"/>
        <v>038430</v>
      </c>
      <c r="C1918" t="s">
        <v>3249</v>
      </c>
      <c r="D1918" t="s">
        <v>3839</v>
      </c>
      <c r="E1918" t="s">
        <v>3840</v>
      </c>
      <c r="F1918" t="s">
        <v>3841</v>
      </c>
      <c r="G1918" t="s">
        <v>3842</v>
      </c>
      <c r="H1918" t="str">
        <f t="shared" si="544"/>
        <v>048314</v>
      </c>
      <c r="I1918" t="s">
        <v>833</v>
      </c>
      <c r="J1918" t="str">
        <f t="shared" si="546"/>
        <v>2015-07-01 00:00:00.0</v>
      </c>
      <c r="K1918" t="s">
        <v>834</v>
      </c>
      <c r="L1918" t="s">
        <v>0</v>
      </c>
      <c r="M1918" t="str">
        <f t="shared" si="532"/>
        <v>048314</v>
      </c>
      <c r="N1918">
        <v>1</v>
      </c>
      <c r="O1918">
        <v>1</v>
      </c>
      <c r="P1918" t="str">
        <f>"04"</f>
        <v>04</v>
      </c>
      <c r="Q1918" t="s">
        <v>835</v>
      </c>
      <c r="S1918" t="s">
        <v>836</v>
      </c>
      <c r="T1918" t="s">
        <v>836</v>
      </c>
      <c r="U1918" t="str">
        <f t="shared" si="541"/>
        <v>2500-12-31 00:00:00.0</v>
      </c>
      <c r="V1918" t="s">
        <v>837</v>
      </c>
      <c r="W1918" t="str">
        <f t="shared" si="547"/>
        <v>048314-038430-**-**</v>
      </c>
      <c r="X1918" t="s">
        <v>838</v>
      </c>
      <c r="Y1918">
        <v>1206.25</v>
      </c>
      <c r="Z1918">
        <v>1206.25</v>
      </c>
      <c r="AA1918" t="str">
        <f t="shared" si="545"/>
        <v>06/08/2016</v>
      </c>
    </row>
    <row r="1919" spans="1:27" x14ac:dyDescent="0.3">
      <c r="A1919" t="str">
        <f t="shared" si="531"/>
        <v>048314</v>
      </c>
      <c r="B1919" t="str">
        <f t="shared" si="540"/>
        <v>038430</v>
      </c>
      <c r="C1919" t="s">
        <v>3312</v>
      </c>
      <c r="D1919" t="s">
        <v>3839</v>
      </c>
      <c r="E1919" t="s">
        <v>3840</v>
      </c>
      <c r="F1919" t="s">
        <v>3841</v>
      </c>
      <c r="G1919" t="s">
        <v>3842</v>
      </c>
      <c r="H1919" t="str">
        <f t="shared" si="544"/>
        <v>048314</v>
      </c>
      <c r="I1919" t="s">
        <v>833</v>
      </c>
      <c r="J1919" t="str">
        <f t="shared" si="546"/>
        <v>2015-07-01 00:00:00.0</v>
      </c>
      <c r="K1919" t="s">
        <v>834</v>
      </c>
      <c r="L1919" t="s">
        <v>0</v>
      </c>
      <c r="M1919" t="str">
        <f t="shared" si="532"/>
        <v>048314</v>
      </c>
      <c r="N1919">
        <v>1</v>
      </c>
      <c r="O1919">
        <v>1</v>
      </c>
      <c r="P1919" t="str">
        <f>"04"</f>
        <v>04</v>
      </c>
      <c r="Q1919" t="s">
        <v>835</v>
      </c>
      <c r="S1919" t="s">
        <v>836</v>
      </c>
      <c r="T1919" t="s">
        <v>836</v>
      </c>
      <c r="U1919" t="str">
        <f t="shared" si="541"/>
        <v>2500-12-31 00:00:00.0</v>
      </c>
      <c r="V1919" t="s">
        <v>837</v>
      </c>
      <c r="W1919" t="str">
        <f t="shared" si="547"/>
        <v>048314-038430-**-**</v>
      </c>
      <c r="X1919" t="s">
        <v>838</v>
      </c>
      <c r="Y1919">
        <v>1206.25</v>
      </c>
      <c r="Z1919">
        <v>1206.25</v>
      </c>
      <c r="AA1919" t="str">
        <f t="shared" si="545"/>
        <v>06/08/2016</v>
      </c>
    </row>
    <row r="1920" spans="1:27" x14ac:dyDescent="0.3">
      <c r="A1920" t="str">
        <f t="shared" si="531"/>
        <v>048314</v>
      </c>
      <c r="B1920" t="str">
        <f t="shared" si="540"/>
        <v>038430</v>
      </c>
      <c r="C1920" t="s">
        <v>3509</v>
      </c>
      <c r="D1920" t="s">
        <v>3839</v>
      </c>
      <c r="E1920" t="s">
        <v>3840</v>
      </c>
      <c r="F1920" t="s">
        <v>3841</v>
      </c>
      <c r="G1920" t="s">
        <v>3842</v>
      </c>
      <c r="H1920" t="str">
        <f t="shared" si="544"/>
        <v>048314</v>
      </c>
      <c r="I1920" t="s">
        <v>833</v>
      </c>
      <c r="J1920" t="str">
        <f t="shared" si="546"/>
        <v>2015-07-01 00:00:00.0</v>
      </c>
      <c r="K1920" t="s">
        <v>834</v>
      </c>
      <c r="L1920" t="s">
        <v>0</v>
      </c>
      <c r="M1920" t="str">
        <f t="shared" si="532"/>
        <v>048314</v>
      </c>
      <c r="N1920">
        <v>1</v>
      </c>
      <c r="O1920">
        <v>1</v>
      </c>
      <c r="P1920" t="str">
        <f>"03"</f>
        <v>03</v>
      </c>
      <c r="Q1920" t="s">
        <v>835</v>
      </c>
      <c r="S1920" t="s">
        <v>836</v>
      </c>
      <c r="T1920" t="s">
        <v>836</v>
      </c>
      <c r="U1920" t="str">
        <f t="shared" si="541"/>
        <v>2500-12-31 00:00:00.0</v>
      </c>
      <c r="V1920" t="s">
        <v>837</v>
      </c>
      <c r="W1920" t="str">
        <f t="shared" si="547"/>
        <v>048314-038430-**-**</v>
      </c>
      <c r="X1920" t="s">
        <v>838</v>
      </c>
      <c r="Y1920">
        <v>1206.25</v>
      </c>
      <c r="Z1920">
        <v>1206.25</v>
      </c>
      <c r="AA1920" t="str">
        <f t="shared" si="545"/>
        <v>06/08/2016</v>
      </c>
    </row>
    <row r="1921" spans="1:27" x14ac:dyDescent="0.3">
      <c r="A1921" t="str">
        <f t="shared" si="531"/>
        <v>048314</v>
      </c>
      <c r="B1921" t="str">
        <f t="shared" si="540"/>
        <v>038430</v>
      </c>
      <c r="C1921" t="s">
        <v>3737</v>
      </c>
      <c r="D1921" t="s">
        <v>3839</v>
      </c>
      <c r="E1921" t="s">
        <v>3840</v>
      </c>
      <c r="F1921" t="s">
        <v>3841</v>
      </c>
      <c r="G1921" t="s">
        <v>3842</v>
      </c>
      <c r="H1921" t="str">
        <f t="shared" si="544"/>
        <v>048314</v>
      </c>
      <c r="I1921" t="s">
        <v>833</v>
      </c>
      <c r="J1921" t="str">
        <f>"2015-08-01 00:00:00.0"</f>
        <v>2015-08-01 00:00:00.0</v>
      </c>
      <c r="K1921" t="s">
        <v>834</v>
      </c>
      <c r="L1921" t="s">
        <v>0</v>
      </c>
      <c r="M1921" t="str">
        <f t="shared" si="532"/>
        <v>048314</v>
      </c>
      <c r="N1921">
        <v>1</v>
      </c>
      <c r="O1921">
        <v>1</v>
      </c>
      <c r="P1921" t="s">
        <v>764</v>
      </c>
      <c r="Q1921" t="s">
        <v>835</v>
      </c>
      <c r="S1921" t="s">
        <v>836</v>
      </c>
      <c r="T1921" t="s">
        <v>836</v>
      </c>
      <c r="U1921" t="str">
        <f t="shared" si="541"/>
        <v>2500-12-31 00:00:00.0</v>
      </c>
      <c r="V1921" t="s">
        <v>837</v>
      </c>
      <c r="W1921" t="str">
        <f t="shared" si="547"/>
        <v>048314-038430-**-**</v>
      </c>
      <c r="X1921" t="s">
        <v>838</v>
      </c>
      <c r="Y1921">
        <v>1206.25</v>
      </c>
      <c r="Z1921">
        <v>1206.25</v>
      </c>
      <c r="AA1921" t="str">
        <f t="shared" si="545"/>
        <v>06/08/2016</v>
      </c>
    </row>
    <row r="1922" spans="1:27" x14ac:dyDescent="0.3">
      <c r="A1922" t="str">
        <f t="shared" ref="A1922:A1985" si="548">"048314"</f>
        <v>048314</v>
      </c>
      <c r="B1922" t="str">
        <f t="shared" si="540"/>
        <v>038430</v>
      </c>
      <c r="C1922" t="s">
        <v>3429</v>
      </c>
      <c r="D1922" t="s">
        <v>3839</v>
      </c>
      <c r="E1922" t="s">
        <v>3840</v>
      </c>
      <c r="F1922" t="s">
        <v>3841</v>
      </c>
      <c r="G1922" t="s">
        <v>3842</v>
      </c>
      <c r="H1922" t="str">
        <f t="shared" si="544"/>
        <v>048314</v>
      </c>
      <c r="I1922" t="s">
        <v>833</v>
      </c>
      <c r="J1922" t="str">
        <f t="shared" ref="J1922:J1927" si="549">"2015-07-01 00:00:00.0"</f>
        <v>2015-07-01 00:00:00.0</v>
      </c>
      <c r="K1922" t="s">
        <v>834</v>
      </c>
      <c r="L1922" t="s">
        <v>0</v>
      </c>
      <c r="M1922" t="str">
        <f t="shared" si="532"/>
        <v>048314</v>
      </c>
      <c r="N1922">
        <v>1</v>
      </c>
      <c r="O1922">
        <v>1</v>
      </c>
      <c r="P1922" t="str">
        <f>"04"</f>
        <v>04</v>
      </c>
      <c r="Q1922" t="s">
        <v>835</v>
      </c>
      <c r="S1922" t="s">
        <v>836</v>
      </c>
      <c r="T1922" t="s">
        <v>836</v>
      </c>
      <c r="U1922" t="str">
        <f t="shared" si="541"/>
        <v>2500-12-31 00:00:00.0</v>
      </c>
      <c r="V1922" t="s">
        <v>837</v>
      </c>
      <c r="W1922" t="str">
        <f t="shared" si="547"/>
        <v>048314-038430-**-**</v>
      </c>
      <c r="X1922" t="s">
        <v>838</v>
      </c>
      <c r="Y1922">
        <v>1206.25</v>
      </c>
      <c r="Z1922">
        <v>1206.25</v>
      </c>
      <c r="AA1922" t="str">
        <f t="shared" si="545"/>
        <v>06/08/2016</v>
      </c>
    </row>
    <row r="1923" spans="1:27" x14ac:dyDescent="0.3">
      <c r="A1923" t="str">
        <f t="shared" si="548"/>
        <v>048314</v>
      </c>
      <c r="B1923" t="str">
        <f t="shared" si="540"/>
        <v>038430</v>
      </c>
      <c r="C1923" t="s">
        <v>3430</v>
      </c>
      <c r="D1923" t="s">
        <v>3839</v>
      </c>
      <c r="E1923" t="s">
        <v>3840</v>
      </c>
      <c r="F1923" t="s">
        <v>3841</v>
      </c>
      <c r="G1923" t="s">
        <v>3842</v>
      </c>
      <c r="H1923" t="str">
        <f t="shared" si="544"/>
        <v>048314</v>
      </c>
      <c r="I1923" t="s">
        <v>833</v>
      </c>
      <c r="J1923" t="str">
        <f t="shared" si="549"/>
        <v>2015-07-01 00:00:00.0</v>
      </c>
      <c r="K1923" t="s">
        <v>834</v>
      </c>
      <c r="L1923" t="s">
        <v>0</v>
      </c>
      <c r="M1923" t="str">
        <f t="shared" ref="M1923:M1943" si="550">"048314"</f>
        <v>048314</v>
      </c>
      <c r="N1923">
        <v>1</v>
      </c>
      <c r="O1923">
        <v>1</v>
      </c>
      <c r="P1923" t="str">
        <f>"05"</f>
        <v>05</v>
      </c>
      <c r="Q1923" t="s">
        <v>835</v>
      </c>
      <c r="S1923" t="s">
        <v>836</v>
      </c>
      <c r="T1923" t="s">
        <v>836</v>
      </c>
      <c r="U1923" t="str">
        <f t="shared" si="541"/>
        <v>2500-12-31 00:00:00.0</v>
      </c>
      <c r="V1923" t="s">
        <v>837</v>
      </c>
      <c r="W1923" t="str">
        <f>"048314-070417-**-**"</f>
        <v>048314-070417-**-**</v>
      </c>
      <c r="X1923" t="s">
        <v>838</v>
      </c>
      <c r="Y1923">
        <v>1125</v>
      </c>
      <c r="Z1923">
        <v>1125</v>
      </c>
      <c r="AA1923" t="str">
        <f t="shared" si="545"/>
        <v>06/08/2016</v>
      </c>
    </row>
    <row r="1924" spans="1:27" x14ac:dyDescent="0.3">
      <c r="A1924" t="str">
        <f t="shared" si="548"/>
        <v>048314</v>
      </c>
      <c r="B1924" t="str">
        <f t="shared" si="540"/>
        <v>038430</v>
      </c>
      <c r="C1924" t="s">
        <v>2565</v>
      </c>
      <c r="D1924" t="s">
        <v>3839</v>
      </c>
      <c r="E1924" t="s">
        <v>3840</v>
      </c>
      <c r="F1924" t="s">
        <v>3841</v>
      </c>
      <c r="G1924" t="s">
        <v>3842</v>
      </c>
      <c r="H1924" t="str">
        <f t="shared" si="544"/>
        <v>048314</v>
      </c>
      <c r="I1924" t="s">
        <v>833</v>
      </c>
      <c r="J1924" t="str">
        <f t="shared" si="549"/>
        <v>2015-07-01 00:00:00.0</v>
      </c>
      <c r="K1924" t="s">
        <v>834</v>
      </c>
      <c r="L1924" t="s">
        <v>0</v>
      </c>
      <c r="M1924" t="str">
        <f t="shared" si="550"/>
        <v>048314</v>
      </c>
      <c r="N1924">
        <v>1</v>
      </c>
      <c r="O1924">
        <v>1</v>
      </c>
      <c r="P1924" t="str">
        <f>"02"</f>
        <v>02</v>
      </c>
      <c r="Q1924" t="s">
        <v>835</v>
      </c>
      <c r="S1924" t="s">
        <v>836</v>
      </c>
      <c r="T1924" t="s">
        <v>836</v>
      </c>
      <c r="U1924" t="str">
        <f t="shared" si="541"/>
        <v>2500-12-31 00:00:00.0</v>
      </c>
      <c r="V1924" t="s">
        <v>837</v>
      </c>
      <c r="W1924" t="str">
        <f>"048314-038430-**-**"</f>
        <v>048314-038430-**-**</v>
      </c>
      <c r="X1924" t="s">
        <v>838</v>
      </c>
      <c r="Y1924">
        <v>1206.25</v>
      </c>
      <c r="Z1924">
        <v>1206.25</v>
      </c>
      <c r="AA1924" t="str">
        <f t="shared" si="545"/>
        <v>06/08/2016</v>
      </c>
    </row>
    <row r="1925" spans="1:27" x14ac:dyDescent="0.3">
      <c r="A1925" t="str">
        <f t="shared" si="548"/>
        <v>048314</v>
      </c>
      <c r="B1925" t="str">
        <f t="shared" si="540"/>
        <v>038430</v>
      </c>
      <c r="C1925" t="s">
        <v>3496</v>
      </c>
      <c r="D1925" t="s">
        <v>3839</v>
      </c>
      <c r="E1925" t="s">
        <v>3840</v>
      </c>
      <c r="F1925" t="s">
        <v>3841</v>
      </c>
      <c r="G1925" t="s">
        <v>3842</v>
      </c>
      <c r="H1925" t="str">
        <f t="shared" si="544"/>
        <v>048314</v>
      </c>
      <c r="I1925" t="s">
        <v>833</v>
      </c>
      <c r="J1925" t="str">
        <f t="shared" si="549"/>
        <v>2015-07-01 00:00:00.0</v>
      </c>
      <c r="K1925" t="s">
        <v>834</v>
      </c>
      <c r="L1925" t="s">
        <v>0</v>
      </c>
      <c r="M1925" t="str">
        <f t="shared" si="550"/>
        <v>048314</v>
      </c>
      <c r="N1925">
        <v>1</v>
      </c>
      <c r="O1925">
        <v>1</v>
      </c>
      <c r="P1925" t="str">
        <f>"04"</f>
        <v>04</v>
      </c>
      <c r="Q1925" t="s">
        <v>835</v>
      </c>
      <c r="S1925" t="s">
        <v>836</v>
      </c>
      <c r="T1925" t="s">
        <v>836</v>
      </c>
      <c r="U1925" t="str">
        <f t="shared" si="541"/>
        <v>2500-12-31 00:00:00.0</v>
      </c>
      <c r="V1925" t="s">
        <v>837</v>
      </c>
      <c r="W1925" t="str">
        <f>"048314-038430-**-**"</f>
        <v>048314-038430-**-**</v>
      </c>
      <c r="X1925" t="s">
        <v>838</v>
      </c>
      <c r="Y1925">
        <v>1206.25</v>
      </c>
      <c r="Z1925">
        <v>1206.25</v>
      </c>
      <c r="AA1925" t="str">
        <f t="shared" si="545"/>
        <v>06/08/2016</v>
      </c>
    </row>
    <row r="1926" spans="1:27" x14ac:dyDescent="0.3">
      <c r="A1926" t="str">
        <f t="shared" si="548"/>
        <v>048314</v>
      </c>
      <c r="B1926" t="str">
        <f t="shared" si="540"/>
        <v>038430</v>
      </c>
      <c r="C1926" t="s">
        <v>3528</v>
      </c>
      <c r="D1926" t="s">
        <v>3839</v>
      </c>
      <c r="E1926" t="s">
        <v>3840</v>
      </c>
      <c r="F1926" t="s">
        <v>3841</v>
      </c>
      <c r="G1926" t="s">
        <v>3842</v>
      </c>
      <c r="H1926" t="str">
        <f t="shared" si="544"/>
        <v>048314</v>
      </c>
      <c r="I1926" t="s">
        <v>833</v>
      </c>
      <c r="J1926" t="str">
        <f t="shared" si="549"/>
        <v>2015-07-01 00:00:00.0</v>
      </c>
      <c r="K1926" t="s">
        <v>834</v>
      </c>
      <c r="L1926" t="s">
        <v>0</v>
      </c>
      <c r="M1926" t="str">
        <f t="shared" si="550"/>
        <v>048314</v>
      </c>
      <c r="N1926">
        <v>1</v>
      </c>
      <c r="O1926">
        <v>1</v>
      </c>
      <c r="P1926" t="str">
        <f>"04"</f>
        <v>04</v>
      </c>
      <c r="Q1926" t="s">
        <v>835</v>
      </c>
      <c r="S1926" t="s">
        <v>836</v>
      </c>
      <c r="T1926" t="s">
        <v>836</v>
      </c>
      <c r="U1926" t="str">
        <f t="shared" si="541"/>
        <v>2500-12-31 00:00:00.0</v>
      </c>
      <c r="V1926" t="s">
        <v>837</v>
      </c>
      <c r="W1926" t="str">
        <f>"048314-038430-**-**"</f>
        <v>048314-038430-**-**</v>
      </c>
      <c r="X1926" t="s">
        <v>838</v>
      </c>
      <c r="Y1926">
        <v>1206.25</v>
      </c>
      <c r="Z1926">
        <v>1206.25</v>
      </c>
      <c r="AA1926" t="str">
        <f t="shared" si="545"/>
        <v>06/08/2016</v>
      </c>
    </row>
    <row r="1927" spans="1:27" x14ac:dyDescent="0.3">
      <c r="A1927" t="str">
        <f t="shared" si="548"/>
        <v>048314</v>
      </c>
      <c r="B1927" t="str">
        <f t="shared" si="540"/>
        <v>038430</v>
      </c>
      <c r="C1927" t="s">
        <v>3431</v>
      </c>
      <c r="D1927" t="s">
        <v>3839</v>
      </c>
      <c r="E1927" t="s">
        <v>3840</v>
      </c>
      <c r="F1927" t="s">
        <v>3841</v>
      </c>
      <c r="G1927" t="s">
        <v>3842</v>
      </c>
      <c r="H1927" t="str">
        <f t="shared" si="544"/>
        <v>048314</v>
      </c>
      <c r="I1927" t="s">
        <v>833</v>
      </c>
      <c r="J1927" t="str">
        <f t="shared" si="549"/>
        <v>2015-07-01 00:00:00.0</v>
      </c>
      <c r="K1927" t="s">
        <v>834</v>
      </c>
      <c r="L1927" t="s">
        <v>0</v>
      </c>
      <c r="M1927" t="str">
        <f t="shared" si="550"/>
        <v>048314</v>
      </c>
      <c r="N1927">
        <v>1</v>
      </c>
      <c r="O1927">
        <v>1</v>
      </c>
      <c r="P1927" t="str">
        <f>"05"</f>
        <v>05</v>
      </c>
      <c r="Q1927" t="s">
        <v>835</v>
      </c>
      <c r="S1927" t="s">
        <v>836</v>
      </c>
      <c r="T1927" t="s">
        <v>836</v>
      </c>
      <c r="U1927" t="str">
        <f t="shared" si="541"/>
        <v>2500-12-31 00:00:00.0</v>
      </c>
      <c r="V1927" t="s">
        <v>837</v>
      </c>
      <c r="W1927" t="str">
        <f>"048314-070417-**-**"</f>
        <v>048314-070417-**-**</v>
      </c>
      <c r="X1927" t="s">
        <v>838</v>
      </c>
      <c r="Y1927">
        <v>1125</v>
      </c>
      <c r="Z1927">
        <v>1125</v>
      </c>
      <c r="AA1927" t="str">
        <f t="shared" si="545"/>
        <v>06/08/2016</v>
      </c>
    </row>
    <row r="1928" spans="1:27" x14ac:dyDescent="0.3">
      <c r="A1928" t="str">
        <f t="shared" si="548"/>
        <v>048314</v>
      </c>
      <c r="B1928" t="str">
        <f t="shared" si="540"/>
        <v>038430</v>
      </c>
      <c r="C1928" t="s">
        <v>3702</v>
      </c>
      <c r="D1928" t="s">
        <v>3839</v>
      </c>
      <c r="E1928" t="s">
        <v>3840</v>
      </c>
      <c r="F1928" t="s">
        <v>3841</v>
      </c>
      <c r="G1928" t="s">
        <v>3842</v>
      </c>
      <c r="H1928" t="str">
        <f t="shared" si="544"/>
        <v>048314</v>
      </c>
      <c r="I1928" t="s">
        <v>833</v>
      </c>
      <c r="J1928" t="str">
        <f>"2015-08-01 00:00:00.0"</f>
        <v>2015-08-01 00:00:00.0</v>
      </c>
      <c r="K1928" t="s">
        <v>834</v>
      </c>
      <c r="L1928" t="s">
        <v>0</v>
      </c>
      <c r="M1928" t="str">
        <f t="shared" si="550"/>
        <v>048314</v>
      </c>
      <c r="N1928">
        <v>0.39378200000000002</v>
      </c>
      <c r="O1928">
        <v>0.39378200000000002</v>
      </c>
      <c r="P1928" t="s">
        <v>764</v>
      </c>
      <c r="Q1928" t="s">
        <v>835</v>
      </c>
      <c r="S1928" t="s">
        <v>836</v>
      </c>
      <c r="T1928" t="s">
        <v>836</v>
      </c>
      <c r="U1928" t="str">
        <f>"2015-12-17 00:00:00.0"</f>
        <v>2015-12-17 00:00:00.0</v>
      </c>
      <c r="V1928" t="s">
        <v>837</v>
      </c>
      <c r="W1928" t="str">
        <f>"048314-038430-**-**"</f>
        <v>048314-038430-**-**</v>
      </c>
      <c r="X1928" t="s">
        <v>838</v>
      </c>
      <c r="Y1928">
        <v>475</v>
      </c>
      <c r="Z1928">
        <v>1206.25</v>
      </c>
      <c r="AA1928" t="str">
        <f t="shared" si="545"/>
        <v>06/08/2016</v>
      </c>
    </row>
    <row r="1929" spans="1:27" x14ac:dyDescent="0.3">
      <c r="A1929" t="str">
        <f t="shared" si="548"/>
        <v>048314</v>
      </c>
      <c r="B1929" t="str">
        <f t="shared" si="540"/>
        <v>038430</v>
      </c>
      <c r="C1929" t="s">
        <v>3702</v>
      </c>
      <c r="D1929" t="s">
        <v>3839</v>
      </c>
      <c r="E1929" t="s">
        <v>3840</v>
      </c>
      <c r="F1929" t="s">
        <v>3841</v>
      </c>
      <c r="G1929" t="s">
        <v>3842</v>
      </c>
      <c r="H1929" t="str">
        <f t="shared" si="544"/>
        <v>048314</v>
      </c>
      <c r="I1929" t="s">
        <v>833</v>
      </c>
      <c r="J1929" t="str">
        <f>"2015-12-18 00:00:00.0"</f>
        <v>2015-12-18 00:00:00.0</v>
      </c>
      <c r="K1929" t="s">
        <v>834</v>
      </c>
      <c r="L1929" t="s">
        <v>0</v>
      </c>
      <c r="M1929" t="str">
        <f t="shared" si="550"/>
        <v>048314</v>
      </c>
      <c r="N1929">
        <v>0.60621800000000003</v>
      </c>
      <c r="O1929">
        <v>0.60621800000000003</v>
      </c>
      <c r="P1929" t="s">
        <v>764</v>
      </c>
      <c r="Q1929" t="str">
        <f>"05"</f>
        <v>05</v>
      </c>
      <c r="R1929" t="str">
        <f>"1"</f>
        <v>1</v>
      </c>
      <c r="S1929" t="s">
        <v>836</v>
      </c>
      <c r="T1929" t="s">
        <v>836</v>
      </c>
      <c r="U1929" t="str">
        <f t="shared" ref="U1929:U1969" si="551">"2500-12-31 00:00:00.0"</f>
        <v>2500-12-31 00:00:00.0</v>
      </c>
      <c r="V1929" t="s">
        <v>837</v>
      </c>
      <c r="W1929" t="str">
        <f>"048314-038430-**-**"</f>
        <v>048314-038430-**-**</v>
      </c>
      <c r="X1929" t="s">
        <v>838</v>
      </c>
      <c r="Y1929">
        <v>731.25</v>
      </c>
      <c r="Z1929">
        <v>1206.25</v>
      </c>
      <c r="AA1929" t="str">
        <f t="shared" si="545"/>
        <v>06/08/2016</v>
      </c>
    </row>
    <row r="1930" spans="1:27" x14ac:dyDescent="0.3">
      <c r="A1930" t="str">
        <f t="shared" si="548"/>
        <v>048314</v>
      </c>
      <c r="B1930" t="str">
        <f t="shared" si="540"/>
        <v>038430</v>
      </c>
      <c r="C1930" t="s">
        <v>1280</v>
      </c>
      <c r="D1930" t="s">
        <v>3839</v>
      </c>
      <c r="E1930" t="s">
        <v>3840</v>
      </c>
      <c r="F1930" t="s">
        <v>3841</v>
      </c>
      <c r="G1930" t="s">
        <v>3842</v>
      </c>
      <c r="H1930" t="str">
        <f t="shared" si="544"/>
        <v>048314</v>
      </c>
      <c r="I1930" t="s">
        <v>833</v>
      </c>
      <c r="J1930" t="str">
        <f t="shared" ref="J1930:J1936" si="552">"2015-07-01 00:00:00.0"</f>
        <v>2015-07-01 00:00:00.0</v>
      </c>
      <c r="K1930" t="s">
        <v>834</v>
      </c>
      <c r="L1930" t="s">
        <v>0</v>
      </c>
      <c r="M1930" t="str">
        <f t="shared" si="550"/>
        <v>048314</v>
      </c>
      <c r="N1930">
        <v>1</v>
      </c>
      <c r="O1930">
        <v>1</v>
      </c>
      <c r="P1930" t="str">
        <f>"02"</f>
        <v>02</v>
      </c>
      <c r="Q1930" t="s">
        <v>835</v>
      </c>
      <c r="S1930" t="s">
        <v>836</v>
      </c>
      <c r="T1930" t="s">
        <v>836</v>
      </c>
      <c r="U1930" t="str">
        <f t="shared" si="551"/>
        <v>2500-12-31 00:00:00.0</v>
      </c>
      <c r="V1930" t="s">
        <v>837</v>
      </c>
      <c r="W1930" t="str">
        <f>"048314-038430-**-**"</f>
        <v>048314-038430-**-**</v>
      </c>
      <c r="X1930" t="s">
        <v>838</v>
      </c>
      <c r="Y1930">
        <v>1206.25</v>
      </c>
      <c r="Z1930">
        <v>1206.25</v>
      </c>
      <c r="AA1930" t="str">
        <f t="shared" si="545"/>
        <v>06/08/2016</v>
      </c>
    </row>
    <row r="1931" spans="1:27" x14ac:dyDescent="0.3">
      <c r="A1931" t="str">
        <f t="shared" si="548"/>
        <v>048314</v>
      </c>
      <c r="B1931" t="str">
        <f t="shared" si="540"/>
        <v>038430</v>
      </c>
      <c r="C1931" t="s">
        <v>2775</v>
      </c>
      <c r="D1931" t="s">
        <v>3839</v>
      </c>
      <c r="E1931" t="s">
        <v>3840</v>
      </c>
      <c r="F1931" t="s">
        <v>3841</v>
      </c>
      <c r="G1931" t="s">
        <v>3842</v>
      </c>
      <c r="H1931" t="str">
        <f t="shared" si="544"/>
        <v>048314</v>
      </c>
      <c r="I1931" t="s">
        <v>833</v>
      </c>
      <c r="J1931" t="str">
        <f t="shared" si="552"/>
        <v>2015-07-01 00:00:00.0</v>
      </c>
      <c r="K1931" t="s">
        <v>834</v>
      </c>
      <c r="L1931" t="s">
        <v>0</v>
      </c>
      <c r="M1931" t="str">
        <f t="shared" si="550"/>
        <v>048314</v>
      </c>
      <c r="N1931">
        <v>1</v>
      </c>
      <c r="O1931">
        <v>1</v>
      </c>
      <c r="P1931" t="str">
        <f>"04"</f>
        <v>04</v>
      </c>
      <c r="Q1931" t="s">
        <v>835</v>
      </c>
      <c r="S1931" t="s">
        <v>836</v>
      </c>
      <c r="T1931" t="s">
        <v>836</v>
      </c>
      <c r="U1931" t="str">
        <f t="shared" si="551"/>
        <v>2500-12-31 00:00:00.0</v>
      </c>
      <c r="V1931" t="s">
        <v>837</v>
      </c>
      <c r="W1931" t="str">
        <f>"048314-038430-**-**"</f>
        <v>048314-038430-**-**</v>
      </c>
      <c r="X1931" t="s">
        <v>838</v>
      </c>
      <c r="Y1931">
        <v>1206.25</v>
      </c>
      <c r="Z1931">
        <v>1206.25</v>
      </c>
      <c r="AA1931" t="str">
        <f t="shared" si="545"/>
        <v>06/08/2016</v>
      </c>
    </row>
    <row r="1932" spans="1:27" x14ac:dyDescent="0.3">
      <c r="A1932" t="str">
        <f t="shared" si="548"/>
        <v>048314</v>
      </c>
      <c r="B1932" t="str">
        <f t="shared" si="540"/>
        <v>038430</v>
      </c>
      <c r="C1932" t="s">
        <v>3090</v>
      </c>
      <c r="D1932" t="s">
        <v>3839</v>
      </c>
      <c r="E1932" t="s">
        <v>3840</v>
      </c>
      <c r="F1932" t="s">
        <v>3841</v>
      </c>
      <c r="G1932" t="s">
        <v>3842</v>
      </c>
      <c r="H1932" t="str">
        <f t="shared" si="544"/>
        <v>048314</v>
      </c>
      <c r="I1932" t="s">
        <v>833</v>
      </c>
      <c r="J1932" t="str">
        <f t="shared" si="552"/>
        <v>2015-07-01 00:00:00.0</v>
      </c>
      <c r="K1932" t="s">
        <v>834</v>
      </c>
      <c r="L1932" t="s">
        <v>0</v>
      </c>
      <c r="M1932" t="str">
        <f t="shared" si="550"/>
        <v>048314</v>
      </c>
      <c r="N1932">
        <v>1</v>
      </c>
      <c r="O1932">
        <v>1</v>
      </c>
      <c r="P1932" t="str">
        <f>"05"</f>
        <v>05</v>
      </c>
      <c r="Q1932" t="s">
        <v>835</v>
      </c>
      <c r="S1932" t="s">
        <v>836</v>
      </c>
      <c r="T1932" t="s">
        <v>836</v>
      </c>
      <c r="U1932" t="str">
        <f t="shared" si="551"/>
        <v>2500-12-31 00:00:00.0</v>
      </c>
      <c r="V1932" t="s">
        <v>837</v>
      </c>
      <c r="W1932" t="str">
        <f>"048314-070417-**-**"</f>
        <v>048314-070417-**-**</v>
      </c>
      <c r="X1932" t="s">
        <v>838</v>
      </c>
      <c r="Y1932">
        <v>1125</v>
      </c>
      <c r="Z1932">
        <v>1125</v>
      </c>
      <c r="AA1932" t="str">
        <f t="shared" si="545"/>
        <v>06/08/2016</v>
      </c>
    </row>
    <row r="1933" spans="1:27" x14ac:dyDescent="0.3">
      <c r="A1933" t="str">
        <f t="shared" si="548"/>
        <v>048314</v>
      </c>
      <c r="B1933" t="str">
        <f t="shared" si="540"/>
        <v>038430</v>
      </c>
      <c r="C1933" t="s">
        <v>3170</v>
      </c>
      <c r="D1933" t="s">
        <v>3839</v>
      </c>
      <c r="E1933" t="s">
        <v>3840</v>
      </c>
      <c r="F1933" t="s">
        <v>3841</v>
      </c>
      <c r="G1933" t="s">
        <v>3842</v>
      </c>
      <c r="H1933" t="str">
        <f t="shared" si="544"/>
        <v>048314</v>
      </c>
      <c r="I1933" t="s">
        <v>833</v>
      </c>
      <c r="J1933" t="str">
        <f t="shared" si="552"/>
        <v>2015-07-01 00:00:00.0</v>
      </c>
      <c r="K1933" t="s">
        <v>834</v>
      </c>
      <c r="L1933" t="s">
        <v>0</v>
      </c>
      <c r="M1933" t="str">
        <f t="shared" si="550"/>
        <v>048314</v>
      </c>
      <c r="N1933">
        <v>1</v>
      </c>
      <c r="O1933">
        <v>1</v>
      </c>
      <c r="P1933" t="str">
        <f>"02"</f>
        <v>02</v>
      </c>
      <c r="Q1933" t="s">
        <v>835</v>
      </c>
      <c r="S1933" t="s">
        <v>836</v>
      </c>
      <c r="T1933" t="s">
        <v>836</v>
      </c>
      <c r="U1933" t="str">
        <f t="shared" si="551"/>
        <v>2500-12-31 00:00:00.0</v>
      </c>
      <c r="V1933" t="s">
        <v>837</v>
      </c>
      <c r="W1933" t="str">
        <f>"048314-038430-**-**"</f>
        <v>048314-038430-**-**</v>
      </c>
      <c r="X1933" t="s">
        <v>838</v>
      </c>
      <c r="Y1933">
        <v>1206.25</v>
      </c>
      <c r="Z1933">
        <v>1206.25</v>
      </c>
      <c r="AA1933" t="str">
        <f t="shared" si="545"/>
        <v>06/08/2016</v>
      </c>
    </row>
    <row r="1934" spans="1:27" x14ac:dyDescent="0.3">
      <c r="A1934" t="str">
        <f t="shared" si="548"/>
        <v>048314</v>
      </c>
      <c r="B1934" t="str">
        <f t="shared" si="540"/>
        <v>038430</v>
      </c>
      <c r="C1934" t="s">
        <v>3245</v>
      </c>
      <c r="D1934" t="s">
        <v>3839</v>
      </c>
      <c r="E1934" t="s">
        <v>3840</v>
      </c>
      <c r="F1934" t="s">
        <v>3841</v>
      </c>
      <c r="G1934" t="s">
        <v>3842</v>
      </c>
      <c r="H1934" t="str">
        <f t="shared" si="544"/>
        <v>048314</v>
      </c>
      <c r="I1934" t="s">
        <v>833</v>
      </c>
      <c r="J1934" t="str">
        <f t="shared" si="552"/>
        <v>2015-07-01 00:00:00.0</v>
      </c>
      <c r="K1934" t="s">
        <v>834</v>
      </c>
      <c r="L1934" t="s">
        <v>0</v>
      </c>
      <c r="M1934" t="str">
        <f t="shared" si="550"/>
        <v>048314</v>
      </c>
      <c r="N1934">
        <v>1</v>
      </c>
      <c r="O1934">
        <v>1</v>
      </c>
      <c r="P1934" t="str">
        <f>"03"</f>
        <v>03</v>
      </c>
      <c r="Q1934" t="str">
        <f>"05"</f>
        <v>05</v>
      </c>
      <c r="R1934" t="str">
        <f>"1"</f>
        <v>1</v>
      </c>
      <c r="S1934" t="s">
        <v>836</v>
      </c>
      <c r="T1934" t="s">
        <v>836</v>
      </c>
      <c r="U1934" t="str">
        <f t="shared" si="551"/>
        <v>2500-12-31 00:00:00.0</v>
      </c>
      <c r="V1934" t="s">
        <v>837</v>
      </c>
      <c r="W1934" t="str">
        <f>"048314-038430-**-**"</f>
        <v>048314-038430-**-**</v>
      </c>
      <c r="X1934" t="s">
        <v>838</v>
      </c>
      <c r="Y1934">
        <v>1206.25</v>
      </c>
      <c r="Z1934">
        <v>1206.25</v>
      </c>
      <c r="AA1934" t="str">
        <f t="shared" si="545"/>
        <v>06/08/2016</v>
      </c>
    </row>
    <row r="1935" spans="1:27" x14ac:dyDescent="0.3">
      <c r="A1935" t="str">
        <f t="shared" si="548"/>
        <v>048314</v>
      </c>
      <c r="B1935" t="str">
        <f t="shared" si="540"/>
        <v>038430</v>
      </c>
      <c r="C1935" t="s">
        <v>3309</v>
      </c>
      <c r="D1935" t="s">
        <v>3839</v>
      </c>
      <c r="E1935" t="s">
        <v>3840</v>
      </c>
      <c r="F1935" t="s">
        <v>3841</v>
      </c>
      <c r="G1935" t="s">
        <v>3842</v>
      </c>
      <c r="H1935" t="str">
        <f t="shared" si="544"/>
        <v>048314</v>
      </c>
      <c r="I1935" t="s">
        <v>833</v>
      </c>
      <c r="J1935" t="str">
        <f t="shared" si="552"/>
        <v>2015-07-01 00:00:00.0</v>
      </c>
      <c r="K1935" t="s">
        <v>834</v>
      </c>
      <c r="L1935" t="s">
        <v>0</v>
      </c>
      <c r="M1935" t="str">
        <f t="shared" si="550"/>
        <v>048314</v>
      </c>
      <c r="N1935">
        <v>1</v>
      </c>
      <c r="O1935">
        <v>1</v>
      </c>
      <c r="P1935" t="str">
        <f>"04"</f>
        <v>04</v>
      </c>
      <c r="Q1935" t="s">
        <v>835</v>
      </c>
      <c r="S1935" t="s">
        <v>836</v>
      </c>
      <c r="T1935" t="s">
        <v>836</v>
      </c>
      <c r="U1935" t="str">
        <f t="shared" si="551"/>
        <v>2500-12-31 00:00:00.0</v>
      </c>
      <c r="V1935" t="s">
        <v>837</v>
      </c>
      <c r="W1935" t="str">
        <f>"048314-038430-**-**"</f>
        <v>048314-038430-**-**</v>
      </c>
      <c r="X1935" t="s">
        <v>838</v>
      </c>
      <c r="Y1935">
        <v>1206.25</v>
      </c>
      <c r="Z1935">
        <v>1206.25</v>
      </c>
      <c r="AA1935" t="str">
        <f t="shared" si="545"/>
        <v>06/08/2016</v>
      </c>
    </row>
    <row r="1936" spans="1:27" x14ac:dyDescent="0.3">
      <c r="A1936" t="str">
        <f t="shared" si="548"/>
        <v>048314</v>
      </c>
      <c r="B1936" t="str">
        <f t="shared" si="540"/>
        <v>038430</v>
      </c>
      <c r="C1936" t="s">
        <v>2995</v>
      </c>
      <c r="D1936" t="s">
        <v>3839</v>
      </c>
      <c r="E1936" t="s">
        <v>3840</v>
      </c>
      <c r="F1936" t="s">
        <v>3841</v>
      </c>
      <c r="G1936" t="s">
        <v>3842</v>
      </c>
      <c r="H1936" t="str">
        <f t="shared" si="544"/>
        <v>048314</v>
      </c>
      <c r="I1936" t="s">
        <v>833</v>
      </c>
      <c r="J1936" t="str">
        <f t="shared" si="552"/>
        <v>2015-07-01 00:00:00.0</v>
      </c>
      <c r="K1936" t="s">
        <v>834</v>
      </c>
      <c r="L1936" t="s">
        <v>0</v>
      </c>
      <c r="M1936" t="str">
        <f t="shared" si="550"/>
        <v>048314</v>
      </c>
      <c r="N1936">
        <v>1</v>
      </c>
      <c r="O1936">
        <v>1</v>
      </c>
      <c r="P1936" t="str">
        <f>"02"</f>
        <v>02</v>
      </c>
      <c r="Q1936" t="s">
        <v>835</v>
      </c>
      <c r="S1936" t="s">
        <v>836</v>
      </c>
      <c r="T1936" t="s">
        <v>836</v>
      </c>
      <c r="U1936" t="str">
        <f t="shared" si="551"/>
        <v>2500-12-31 00:00:00.0</v>
      </c>
      <c r="V1936" t="s">
        <v>837</v>
      </c>
      <c r="W1936" t="str">
        <f>"048314-038430-**-**"</f>
        <v>048314-038430-**-**</v>
      </c>
      <c r="X1936" t="s">
        <v>838</v>
      </c>
      <c r="Y1936">
        <v>1206.25</v>
      </c>
      <c r="Z1936">
        <v>1206.25</v>
      </c>
      <c r="AA1936" t="str">
        <f t="shared" si="545"/>
        <v>06/08/2016</v>
      </c>
    </row>
    <row r="1937" spans="1:27" x14ac:dyDescent="0.3">
      <c r="A1937" t="str">
        <f t="shared" si="548"/>
        <v>048314</v>
      </c>
      <c r="B1937" t="str">
        <f t="shared" si="540"/>
        <v>038430</v>
      </c>
      <c r="C1937" t="s">
        <v>1717</v>
      </c>
      <c r="D1937" t="s">
        <v>3839</v>
      </c>
      <c r="E1937" t="s">
        <v>3840</v>
      </c>
      <c r="F1937" t="s">
        <v>3841</v>
      </c>
      <c r="G1937" t="s">
        <v>3842</v>
      </c>
      <c r="H1937" t="str">
        <f t="shared" si="544"/>
        <v>048314</v>
      </c>
      <c r="I1937" t="s">
        <v>833</v>
      </c>
      <c r="J1937" t="str">
        <f>"2015-08-01 00:00:00.0"</f>
        <v>2015-08-01 00:00:00.0</v>
      </c>
      <c r="K1937" t="s">
        <v>834</v>
      </c>
      <c r="L1937" t="s">
        <v>0</v>
      </c>
      <c r="M1937" t="str">
        <f t="shared" si="550"/>
        <v>048314</v>
      </c>
      <c r="N1937">
        <v>1</v>
      </c>
      <c r="O1937">
        <v>1</v>
      </c>
      <c r="P1937" t="s">
        <v>764</v>
      </c>
      <c r="Q1937" t="s">
        <v>835</v>
      </c>
      <c r="S1937" t="s">
        <v>836</v>
      </c>
      <c r="T1937" t="s">
        <v>836</v>
      </c>
      <c r="U1937" t="str">
        <f t="shared" si="551"/>
        <v>2500-12-31 00:00:00.0</v>
      </c>
      <c r="V1937" t="s">
        <v>837</v>
      </c>
      <c r="W1937" t="str">
        <f>"048314-038430-**-**"</f>
        <v>048314-038430-**-**</v>
      </c>
      <c r="X1937" t="s">
        <v>838</v>
      </c>
      <c r="Y1937">
        <v>1206.25</v>
      </c>
      <c r="Z1937">
        <v>1206.25</v>
      </c>
      <c r="AA1937" t="str">
        <f t="shared" si="545"/>
        <v>06/08/2016</v>
      </c>
    </row>
    <row r="1938" spans="1:27" x14ac:dyDescent="0.3">
      <c r="A1938" t="str">
        <f t="shared" si="548"/>
        <v>048314</v>
      </c>
      <c r="B1938" t="str">
        <f t="shared" si="540"/>
        <v>038430</v>
      </c>
      <c r="C1938" t="s">
        <v>3270</v>
      </c>
      <c r="D1938" t="s">
        <v>3839</v>
      </c>
      <c r="E1938" t="s">
        <v>3840</v>
      </c>
      <c r="F1938" t="s">
        <v>3841</v>
      </c>
      <c r="G1938" t="s">
        <v>3842</v>
      </c>
      <c r="H1938" t="str">
        <f t="shared" si="544"/>
        <v>048314</v>
      </c>
      <c r="I1938" t="s">
        <v>833</v>
      </c>
      <c r="J1938" t="str">
        <f t="shared" ref="J1938:J1953" si="553">"2015-07-01 00:00:00.0"</f>
        <v>2015-07-01 00:00:00.0</v>
      </c>
      <c r="K1938" t="s">
        <v>834</v>
      </c>
      <c r="L1938" t="s">
        <v>0</v>
      </c>
      <c r="M1938" t="str">
        <f t="shared" si="550"/>
        <v>048314</v>
      </c>
      <c r="N1938">
        <v>1</v>
      </c>
      <c r="O1938">
        <v>1</v>
      </c>
      <c r="P1938" t="str">
        <f>"05"</f>
        <v>05</v>
      </c>
      <c r="Q1938" t="s">
        <v>835</v>
      </c>
      <c r="S1938" t="s">
        <v>836</v>
      </c>
      <c r="T1938" t="s">
        <v>836</v>
      </c>
      <c r="U1938" t="str">
        <f t="shared" si="551"/>
        <v>2500-12-31 00:00:00.0</v>
      </c>
      <c r="V1938" t="s">
        <v>837</v>
      </c>
      <c r="W1938" t="str">
        <f>"048314-070417-**-**"</f>
        <v>048314-070417-**-**</v>
      </c>
      <c r="X1938" t="s">
        <v>838</v>
      </c>
      <c r="Y1938">
        <v>1125</v>
      </c>
      <c r="Z1938">
        <v>1125</v>
      </c>
      <c r="AA1938" t="str">
        <f t="shared" si="545"/>
        <v>06/08/2016</v>
      </c>
    </row>
    <row r="1939" spans="1:27" x14ac:dyDescent="0.3">
      <c r="A1939" t="str">
        <f t="shared" si="548"/>
        <v>048314</v>
      </c>
      <c r="B1939" t="str">
        <f t="shared" si="540"/>
        <v>038430</v>
      </c>
      <c r="C1939" t="s">
        <v>3534</v>
      </c>
      <c r="D1939" t="s">
        <v>3839</v>
      </c>
      <c r="E1939" t="s">
        <v>3840</v>
      </c>
      <c r="F1939" t="s">
        <v>3841</v>
      </c>
      <c r="G1939" t="s">
        <v>3842</v>
      </c>
      <c r="H1939" t="str">
        <f t="shared" si="544"/>
        <v>048314</v>
      </c>
      <c r="I1939" t="s">
        <v>833</v>
      </c>
      <c r="J1939" t="str">
        <f t="shared" si="553"/>
        <v>2015-07-01 00:00:00.0</v>
      </c>
      <c r="K1939" t="s">
        <v>834</v>
      </c>
      <c r="L1939" t="s">
        <v>0</v>
      </c>
      <c r="M1939" t="str">
        <f t="shared" si="550"/>
        <v>048314</v>
      </c>
      <c r="N1939">
        <v>1</v>
      </c>
      <c r="O1939">
        <v>1</v>
      </c>
      <c r="P1939" t="str">
        <f>"03"</f>
        <v>03</v>
      </c>
      <c r="Q1939" t="s">
        <v>835</v>
      </c>
      <c r="S1939" t="s">
        <v>836</v>
      </c>
      <c r="T1939" t="s">
        <v>836</v>
      </c>
      <c r="U1939" t="str">
        <f t="shared" si="551"/>
        <v>2500-12-31 00:00:00.0</v>
      </c>
      <c r="V1939" t="s">
        <v>837</v>
      </c>
      <c r="W1939" t="str">
        <f>"048314-038430-**-**"</f>
        <v>048314-038430-**-**</v>
      </c>
      <c r="X1939" t="s">
        <v>838</v>
      </c>
      <c r="Y1939">
        <v>1206.25</v>
      </c>
      <c r="Z1939">
        <v>1206.25</v>
      </c>
      <c r="AA1939" t="str">
        <f t="shared" si="545"/>
        <v>06/08/2016</v>
      </c>
    </row>
    <row r="1940" spans="1:27" x14ac:dyDescent="0.3">
      <c r="A1940" t="str">
        <f t="shared" si="548"/>
        <v>048314</v>
      </c>
      <c r="B1940" t="str">
        <f t="shared" si="540"/>
        <v>038430</v>
      </c>
      <c r="C1940" t="s">
        <v>3535</v>
      </c>
      <c r="D1940" t="s">
        <v>3839</v>
      </c>
      <c r="E1940" t="s">
        <v>3840</v>
      </c>
      <c r="F1940" t="s">
        <v>3841</v>
      </c>
      <c r="G1940" t="s">
        <v>3842</v>
      </c>
      <c r="H1940" t="str">
        <f t="shared" si="544"/>
        <v>048314</v>
      </c>
      <c r="I1940" t="s">
        <v>833</v>
      </c>
      <c r="J1940" t="str">
        <f t="shared" si="553"/>
        <v>2015-07-01 00:00:00.0</v>
      </c>
      <c r="K1940" t="s">
        <v>834</v>
      </c>
      <c r="L1940" t="s">
        <v>0</v>
      </c>
      <c r="M1940" t="str">
        <f t="shared" si="550"/>
        <v>048314</v>
      </c>
      <c r="N1940">
        <v>1</v>
      </c>
      <c r="O1940">
        <v>1</v>
      </c>
      <c r="P1940" t="str">
        <f>"04"</f>
        <v>04</v>
      </c>
      <c r="Q1940" t="s">
        <v>835</v>
      </c>
      <c r="S1940" t="s">
        <v>836</v>
      </c>
      <c r="T1940" t="s">
        <v>836</v>
      </c>
      <c r="U1940" t="str">
        <f t="shared" si="551"/>
        <v>2500-12-31 00:00:00.0</v>
      </c>
      <c r="V1940" t="s">
        <v>837</v>
      </c>
      <c r="W1940" t="str">
        <f>"048314-038430-**-**"</f>
        <v>048314-038430-**-**</v>
      </c>
      <c r="X1940" t="s">
        <v>838</v>
      </c>
      <c r="Y1940">
        <v>1206.25</v>
      </c>
      <c r="Z1940">
        <v>1206.25</v>
      </c>
      <c r="AA1940" t="str">
        <f t="shared" si="545"/>
        <v>06/08/2016</v>
      </c>
    </row>
    <row r="1941" spans="1:27" x14ac:dyDescent="0.3">
      <c r="A1941" t="str">
        <f t="shared" si="548"/>
        <v>048314</v>
      </c>
      <c r="B1941" t="str">
        <f t="shared" si="540"/>
        <v>038430</v>
      </c>
      <c r="C1941" t="s">
        <v>2519</v>
      </c>
      <c r="D1941" t="s">
        <v>3839</v>
      </c>
      <c r="E1941" t="s">
        <v>3840</v>
      </c>
      <c r="F1941" t="s">
        <v>3841</v>
      </c>
      <c r="G1941" t="s">
        <v>3842</v>
      </c>
      <c r="H1941" t="str">
        <f t="shared" si="544"/>
        <v>048314</v>
      </c>
      <c r="I1941" t="s">
        <v>833</v>
      </c>
      <c r="J1941" t="str">
        <f t="shared" si="553"/>
        <v>2015-07-01 00:00:00.0</v>
      </c>
      <c r="K1941" t="s">
        <v>834</v>
      </c>
      <c r="L1941" t="s">
        <v>0</v>
      </c>
      <c r="M1941" t="str">
        <f t="shared" si="550"/>
        <v>048314</v>
      </c>
      <c r="N1941">
        <v>1</v>
      </c>
      <c r="O1941">
        <v>1</v>
      </c>
      <c r="P1941" t="str">
        <f>"05"</f>
        <v>05</v>
      </c>
      <c r="Q1941" t="s">
        <v>835</v>
      </c>
      <c r="S1941" t="s">
        <v>836</v>
      </c>
      <c r="T1941" t="s">
        <v>836</v>
      </c>
      <c r="U1941" t="str">
        <f t="shared" si="551"/>
        <v>2500-12-31 00:00:00.0</v>
      </c>
      <c r="V1941" t="s">
        <v>837</v>
      </c>
      <c r="W1941" t="str">
        <f>"048314-070417-**-**"</f>
        <v>048314-070417-**-**</v>
      </c>
      <c r="X1941" t="s">
        <v>838</v>
      </c>
      <c r="Y1941">
        <v>1125</v>
      </c>
      <c r="Z1941">
        <v>1125</v>
      </c>
      <c r="AA1941" t="str">
        <f t="shared" si="545"/>
        <v>06/08/2016</v>
      </c>
    </row>
    <row r="1942" spans="1:27" x14ac:dyDescent="0.3">
      <c r="A1942" t="str">
        <f t="shared" si="548"/>
        <v>048314</v>
      </c>
      <c r="B1942" t="str">
        <f t="shared" si="540"/>
        <v>038430</v>
      </c>
      <c r="C1942" t="s">
        <v>3519</v>
      </c>
      <c r="D1942" t="s">
        <v>3839</v>
      </c>
      <c r="E1942" t="s">
        <v>3840</v>
      </c>
      <c r="F1942" t="s">
        <v>3841</v>
      </c>
      <c r="G1942" t="s">
        <v>3842</v>
      </c>
      <c r="H1942" t="str">
        <f t="shared" si="544"/>
        <v>048314</v>
      </c>
      <c r="I1942" t="s">
        <v>833</v>
      </c>
      <c r="J1942" t="str">
        <f t="shared" si="553"/>
        <v>2015-07-01 00:00:00.0</v>
      </c>
      <c r="K1942" t="s">
        <v>834</v>
      </c>
      <c r="L1942" t="s">
        <v>0</v>
      </c>
      <c r="M1942" t="str">
        <f t="shared" si="550"/>
        <v>048314</v>
      </c>
      <c r="N1942">
        <v>1</v>
      </c>
      <c r="O1942">
        <v>1</v>
      </c>
      <c r="P1942" t="str">
        <f>"03"</f>
        <v>03</v>
      </c>
      <c r="Q1942" t="s">
        <v>835</v>
      </c>
      <c r="S1942" t="s">
        <v>836</v>
      </c>
      <c r="T1942" t="s">
        <v>836</v>
      </c>
      <c r="U1942" t="str">
        <f t="shared" si="551"/>
        <v>2500-12-31 00:00:00.0</v>
      </c>
      <c r="V1942" t="s">
        <v>837</v>
      </c>
      <c r="W1942" t="str">
        <f>"048314-038430-**-**"</f>
        <v>048314-038430-**-**</v>
      </c>
      <c r="X1942" t="s">
        <v>838</v>
      </c>
      <c r="Y1942">
        <v>1206.25</v>
      </c>
      <c r="Z1942">
        <v>1206.25</v>
      </c>
      <c r="AA1942" t="str">
        <f t="shared" si="545"/>
        <v>06/08/2016</v>
      </c>
    </row>
    <row r="1943" spans="1:27" x14ac:dyDescent="0.3">
      <c r="A1943" t="str">
        <f t="shared" si="548"/>
        <v>048314</v>
      </c>
      <c r="B1943" t="str">
        <f t="shared" si="540"/>
        <v>038430</v>
      </c>
      <c r="C1943" t="s">
        <v>2913</v>
      </c>
      <c r="D1943" t="s">
        <v>3839</v>
      </c>
      <c r="E1943" t="s">
        <v>3840</v>
      </c>
      <c r="F1943" t="s">
        <v>3841</v>
      </c>
      <c r="G1943" t="s">
        <v>3842</v>
      </c>
      <c r="H1943" t="str">
        <f t="shared" si="544"/>
        <v>048314</v>
      </c>
      <c r="I1943" t="s">
        <v>833</v>
      </c>
      <c r="J1943" t="str">
        <f t="shared" si="553"/>
        <v>2015-07-01 00:00:00.0</v>
      </c>
      <c r="K1943" t="s">
        <v>834</v>
      </c>
      <c r="L1943" t="s">
        <v>0</v>
      </c>
      <c r="M1943" t="str">
        <f t="shared" si="550"/>
        <v>048314</v>
      </c>
      <c r="N1943">
        <v>1</v>
      </c>
      <c r="O1943">
        <v>1</v>
      </c>
      <c r="P1943" t="str">
        <f>"04"</f>
        <v>04</v>
      </c>
      <c r="Q1943" t="s">
        <v>835</v>
      </c>
      <c r="S1943" t="s">
        <v>836</v>
      </c>
      <c r="T1943" t="s">
        <v>836</v>
      </c>
      <c r="U1943" t="str">
        <f t="shared" si="551"/>
        <v>2500-12-31 00:00:00.0</v>
      </c>
      <c r="V1943" t="s">
        <v>837</v>
      </c>
      <c r="W1943" t="str">
        <f>"048314-038430-**-**"</f>
        <v>048314-038430-**-**</v>
      </c>
      <c r="X1943" t="s">
        <v>838</v>
      </c>
      <c r="Y1943">
        <v>1206.25</v>
      </c>
      <c r="Z1943">
        <v>1206.25</v>
      </c>
      <c r="AA1943" t="str">
        <f t="shared" si="545"/>
        <v>06/08/2016</v>
      </c>
    </row>
    <row r="1944" spans="1:27" x14ac:dyDescent="0.3">
      <c r="A1944" t="str">
        <f t="shared" si="548"/>
        <v>048314</v>
      </c>
      <c r="B1944" t="str">
        <f t="shared" si="540"/>
        <v>038430</v>
      </c>
      <c r="C1944" t="s">
        <v>3477</v>
      </c>
      <c r="D1944" t="s">
        <v>3839</v>
      </c>
      <c r="E1944" t="s">
        <v>3840</v>
      </c>
      <c r="F1944" t="s">
        <v>3841</v>
      </c>
      <c r="G1944" t="s">
        <v>3842</v>
      </c>
      <c r="H1944" t="str">
        <f t="shared" si="544"/>
        <v>048314</v>
      </c>
      <c r="I1944" t="s">
        <v>833</v>
      </c>
      <c r="J1944" t="str">
        <f t="shared" si="553"/>
        <v>2015-07-01 00:00:00.0</v>
      </c>
      <c r="K1944" t="s">
        <v>834</v>
      </c>
      <c r="L1944" t="s">
        <v>0</v>
      </c>
      <c r="M1944" t="str">
        <f>"045161"</f>
        <v>045161</v>
      </c>
      <c r="N1944">
        <v>1</v>
      </c>
      <c r="O1944">
        <v>1</v>
      </c>
      <c r="P1944" t="str">
        <f>"01"</f>
        <v>01</v>
      </c>
      <c r="Q1944" t="s">
        <v>835</v>
      </c>
      <c r="S1944" t="s">
        <v>836</v>
      </c>
      <c r="T1944" t="s">
        <v>836</v>
      </c>
      <c r="U1944" t="str">
        <f t="shared" si="551"/>
        <v>2500-12-31 00:00:00.0</v>
      </c>
      <c r="V1944" t="s">
        <v>837</v>
      </c>
      <c r="W1944" t="str">
        <f>"048314-038430-**-**"</f>
        <v>048314-038430-**-**</v>
      </c>
      <c r="X1944" t="s">
        <v>838</v>
      </c>
      <c r="Y1944">
        <v>1206.25</v>
      </c>
      <c r="Z1944">
        <v>1206.25</v>
      </c>
      <c r="AA1944" t="str">
        <f t="shared" si="545"/>
        <v>06/08/2016</v>
      </c>
    </row>
    <row r="1945" spans="1:27" x14ac:dyDescent="0.3">
      <c r="A1945" t="str">
        <f t="shared" si="548"/>
        <v>048314</v>
      </c>
      <c r="B1945" t="str">
        <f t="shared" si="540"/>
        <v>038430</v>
      </c>
      <c r="C1945" t="s">
        <v>2914</v>
      </c>
      <c r="D1945" t="s">
        <v>3839</v>
      </c>
      <c r="E1945" t="s">
        <v>3840</v>
      </c>
      <c r="F1945" t="s">
        <v>3841</v>
      </c>
      <c r="G1945" t="s">
        <v>3842</v>
      </c>
      <c r="H1945" t="str">
        <f t="shared" si="544"/>
        <v>048314</v>
      </c>
      <c r="I1945" t="s">
        <v>833</v>
      </c>
      <c r="J1945" t="str">
        <f t="shared" si="553"/>
        <v>2015-07-01 00:00:00.0</v>
      </c>
      <c r="K1945" t="s">
        <v>834</v>
      </c>
      <c r="L1945" t="s">
        <v>0</v>
      </c>
      <c r="M1945" t="str">
        <f t="shared" ref="M1945:M2008" si="554">"048314"</f>
        <v>048314</v>
      </c>
      <c r="N1945">
        <v>1</v>
      </c>
      <c r="O1945">
        <v>1</v>
      </c>
      <c r="P1945" t="str">
        <f>"05"</f>
        <v>05</v>
      </c>
      <c r="Q1945" t="s">
        <v>835</v>
      </c>
      <c r="S1945" t="s">
        <v>836</v>
      </c>
      <c r="T1945" t="s">
        <v>836</v>
      </c>
      <c r="U1945" t="str">
        <f t="shared" si="551"/>
        <v>2500-12-31 00:00:00.0</v>
      </c>
      <c r="V1945" t="s">
        <v>837</v>
      </c>
      <c r="W1945" t="str">
        <f>"048314-070417-**-**"</f>
        <v>048314-070417-**-**</v>
      </c>
      <c r="X1945" t="s">
        <v>838</v>
      </c>
      <c r="Y1945">
        <v>1125</v>
      </c>
      <c r="Z1945">
        <v>1125</v>
      </c>
      <c r="AA1945" t="str">
        <f t="shared" si="545"/>
        <v>06/08/2016</v>
      </c>
    </row>
    <row r="1946" spans="1:27" x14ac:dyDescent="0.3">
      <c r="A1946" t="str">
        <f t="shared" si="548"/>
        <v>048314</v>
      </c>
      <c r="B1946" t="str">
        <f t="shared" si="540"/>
        <v>038430</v>
      </c>
      <c r="C1946" t="s">
        <v>3542</v>
      </c>
      <c r="D1946" t="s">
        <v>3839</v>
      </c>
      <c r="E1946" t="s">
        <v>3840</v>
      </c>
      <c r="F1946" t="s">
        <v>3841</v>
      </c>
      <c r="G1946" t="s">
        <v>3842</v>
      </c>
      <c r="H1946" t="str">
        <f t="shared" si="544"/>
        <v>048314</v>
      </c>
      <c r="I1946" t="s">
        <v>833</v>
      </c>
      <c r="J1946" t="str">
        <f t="shared" si="553"/>
        <v>2015-07-01 00:00:00.0</v>
      </c>
      <c r="K1946" t="s">
        <v>834</v>
      </c>
      <c r="L1946" t="s">
        <v>0</v>
      </c>
      <c r="M1946" t="str">
        <f t="shared" si="554"/>
        <v>048314</v>
      </c>
      <c r="N1946">
        <v>1</v>
      </c>
      <c r="O1946">
        <v>1</v>
      </c>
      <c r="P1946" t="str">
        <f>"04"</f>
        <v>04</v>
      </c>
      <c r="Q1946" t="s">
        <v>835</v>
      </c>
      <c r="S1946" t="s">
        <v>836</v>
      </c>
      <c r="T1946" t="s">
        <v>836</v>
      </c>
      <c r="U1946" t="str">
        <f t="shared" si="551"/>
        <v>2500-12-31 00:00:00.0</v>
      </c>
      <c r="V1946" t="s">
        <v>837</v>
      </c>
      <c r="W1946" t="str">
        <f>"048314-038430-**-**"</f>
        <v>048314-038430-**-**</v>
      </c>
      <c r="X1946" t="s">
        <v>838</v>
      </c>
      <c r="Y1946">
        <v>1206.25</v>
      </c>
      <c r="Z1946">
        <v>1206.25</v>
      </c>
      <c r="AA1946" t="str">
        <f t="shared" si="545"/>
        <v>06/08/2016</v>
      </c>
    </row>
    <row r="1947" spans="1:27" x14ac:dyDescent="0.3">
      <c r="A1947" t="str">
        <f t="shared" si="548"/>
        <v>048314</v>
      </c>
      <c r="B1947" t="str">
        <f t="shared" si="540"/>
        <v>038430</v>
      </c>
      <c r="C1947" t="s">
        <v>3288</v>
      </c>
      <c r="D1947" t="s">
        <v>3839</v>
      </c>
      <c r="E1947" t="s">
        <v>3840</v>
      </c>
      <c r="F1947" t="s">
        <v>3841</v>
      </c>
      <c r="G1947" t="s">
        <v>3842</v>
      </c>
      <c r="H1947" t="str">
        <f t="shared" si="544"/>
        <v>048314</v>
      </c>
      <c r="I1947" t="s">
        <v>833</v>
      </c>
      <c r="J1947" t="str">
        <f t="shared" si="553"/>
        <v>2015-07-01 00:00:00.0</v>
      </c>
      <c r="K1947" t="s">
        <v>834</v>
      </c>
      <c r="L1947" t="s">
        <v>0</v>
      </c>
      <c r="M1947" t="str">
        <f t="shared" si="554"/>
        <v>048314</v>
      </c>
      <c r="N1947">
        <v>1</v>
      </c>
      <c r="O1947">
        <v>1</v>
      </c>
      <c r="P1947" t="str">
        <f>"05"</f>
        <v>05</v>
      </c>
      <c r="Q1947" t="s">
        <v>835</v>
      </c>
      <c r="S1947" t="s">
        <v>836</v>
      </c>
      <c r="T1947" t="s">
        <v>836</v>
      </c>
      <c r="U1947" t="str">
        <f t="shared" si="551"/>
        <v>2500-12-31 00:00:00.0</v>
      </c>
      <c r="V1947" t="s">
        <v>837</v>
      </c>
      <c r="W1947" t="str">
        <f>"048314-070417-**-**"</f>
        <v>048314-070417-**-**</v>
      </c>
      <c r="X1947" t="s">
        <v>838</v>
      </c>
      <c r="Y1947">
        <v>1125</v>
      </c>
      <c r="Z1947">
        <v>1125</v>
      </c>
      <c r="AA1947" t="str">
        <f t="shared" si="545"/>
        <v>06/08/2016</v>
      </c>
    </row>
    <row r="1948" spans="1:27" x14ac:dyDescent="0.3">
      <c r="A1948" t="str">
        <f t="shared" si="548"/>
        <v>048314</v>
      </c>
      <c r="B1948" t="str">
        <f t="shared" si="540"/>
        <v>038430</v>
      </c>
      <c r="C1948" t="s">
        <v>3435</v>
      </c>
      <c r="D1948" t="s">
        <v>3839</v>
      </c>
      <c r="E1948" t="s">
        <v>3840</v>
      </c>
      <c r="F1948" t="s">
        <v>3841</v>
      </c>
      <c r="G1948" t="s">
        <v>3842</v>
      </c>
      <c r="H1948" t="str">
        <f t="shared" si="544"/>
        <v>048314</v>
      </c>
      <c r="I1948" t="s">
        <v>833</v>
      </c>
      <c r="J1948" t="str">
        <f t="shared" si="553"/>
        <v>2015-07-01 00:00:00.0</v>
      </c>
      <c r="K1948" t="s">
        <v>834</v>
      </c>
      <c r="L1948" t="s">
        <v>0</v>
      </c>
      <c r="M1948" t="str">
        <f t="shared" si="554"/>
        <v>048314</v>
      </c>
      <c r="N1948">
        <v>1</v>
      </c>
      <c r="O1948">
        <v>1</v>
      </c>
      <c r="P1948" t="str">
        <f>"02"</f>
        <v>02</v>
      </c>
      <c r="Q1948" t="str">
        <f>"05"</f>
        <v>05</v>
      </c>
      <c r="R1948" t="str">
        <f>"1"</f>
        <v>1</v>
      </c>
      <c r="S1948" t="s">
        <v>836</v>
      </c>
      <c r="T1948" t="s">
        <v>836</v>
      </c>
      <c r="U1948" t="str">
        <f t="shared" si="551"/>
        <v>2500-12-31 00:00:00.0</v>
      </c>
      <c r="V1948" t="s">
        <v>837</v>
      </c>
      <c r="W1948" t="str">
        <f>"048314-038430-**-**"</f>
        <v>048314-038430-**-**</v>
      </c>
      <c r="X1948" t="s">
        <v>838</v>
      </c>
      <c r="Y1948">
        <v>1206.25</v>
      </c>
      <c r="Z1948">
        <v>1206.25</v>
      </c>
      <c r="AA1948" t="str">
        <f t="shared" si="545"/>
        <v>06/08/2016</v>
      </c>
    </row>
    <row r="1949" spans="1:27" x14ac:dyDescent="0.3">
      <c r="A1949" t="str">
        <f t="shared" si="548"/>
        <v>048314</v>
      </c>
      <c r="B1949" t="str">
        <f t="shared" si="540"/>
        <v>038430</v>
      </c>
      <c r="C1949" t="s">
        <v>3287</v>
      </c>
      <c r="D1949" t="s">
        <v>3839</v>
      </c>
      <c r="E1949" t="s">
        <v>3840</v>
      </c>
      <c r="F1949" t="s">
        <v>3841</v>
      </c>
      <c r="G1949" t="s">
        <v>3842</v>
      </c>
      <c r="H1949" t="str">
        <f t="shared" si="544"/>
        <v>048314</v>
      </c>
      <c r="I1949" t="s">
        <v>833</v>
      </c>
      <c r="J1949" t="str">
        <f t="shared" si="553"/>
        <v>2015-07-01 00:00:00.0</v>
      </c>
      <c r="K1949" t="s">
        <v>834</v>
      </c>
      <c r="L1949" t="s">
        <v>0</v>
      </c>
      <c r="M1949" t="str">
        <f t="shared" si="554"/>
        <v>048314</v>
      </c>
      <c r="N1949">
        <v>1</v>
      </c>
      <c r="O1949">
        <v>1</v>
      </c>
      <c r="P1949" t="str">
        <f>"05"</f>
        <v>05</v>
      </c>
      <c r="Q1949" t="s">
        <v>835</v>
      </c>
      <c r="S1949" t="s">
        <v>836</v>
      </c>
      <c r="T1949" t="s">
        <v>836</v>
      </c>
      <c r="U1949" t="str">
        <f t="shared" si="551"/>
        <v>2500-12-31 00:00:00.0</v>
      </c>
      <c r="V1949" t="s">
        <v>837</v>
      </c>
      <c r="W1949" t="str">
        <f>"048314-070417-**-**"</f>
        <v>048314-070417-**-**</v>
      </c>
      <c r="X1949" t="s">
        <v>838</v>
      </c>
      <c r="Y1949">
        <v>1125</v>
      </c>
      <c r="Z1949">
        <v>1125</v>
      </c>
      <c r="AA1949" t="str">
        <f t="shared" si="545"/>
        <v>06/08/2016</v>
      </c>
    </row>
    <row r="1950" spans="1:27" x14ac:dyDescent="0.3">
      <c r="A1950" t="str">
        <f t="shared" si="548"/>
        <v>048314</v>
      </c>
      <c r="B1950" t="str">
        <f t="shared" si="540"/>
        <v>038430</v>
      </c>
      <c r="C1950" t="s">
        <v>996</v>
      </c>
      <c r="D1950" t="s">
        <v>3839</v>
      </c>
      <c r="E1950" t="s">
        <v>3840</v>
      </c>
      <c r="F1950" t="s">
        <v>3841</v>
      </c>
      <c r="G1950" t="s">
        <v>3842</v>
      </c>
      <c r="H1950" t="str">
        <f t="shared" si="544"/>
        <v>048314</v>
      </c>
      <c r="I1950" t="s">
        <v>833</v>
      </c>
      <c r="J1950" t="str">
        <f t="shared" si="553"/>
        <v>2015-07-01 00:00:00.0</v>
      </c>
      <c r="K1950" t="s">
        <v>834</v>
      </c>
      <c r="L1950" t="s">
        <v>0</v>
      </c>
      <c r="M1950" t="str">
        <f t="shared" si="554"/>
        <v>048314</v>
      </c>
      <c r="N1950">
        <v>1</v>
      </c>
      <c r="O1950">
        <v>1</v>
      </c>
      <c r="P1950" t="str">
        <f>"04"</f>
        <v>04</v>
      </c>
      <c r="Q1950" t="s">
        <v>835</v>
      </c>
      <c r="S1950" t="s">
        <v>836</v>
      </c>
      <c r="T1950" t="s">
        <v>836</v>
      </c>
      <c r="U1950" t="str">
        <f t="shared" si="551"/>
        <v>2500-12-31 00:00:00.0</v>
      </c>
      <c r="V1950" t="s">
        <v>837</v>
      </c>
      <c r="W1950" t="str">
        <f t="shared" ref="W1950:W1957" si="555">"048314-038430-**-**"</f>
        <v>048314-038430-**-**</v>
      </c>
      <c r="X1950" t="s">
        <v>838</v>
      </c>
      <c r="Y1950">
        <v>1206.25</v>
      </c>
      <c r="Z1950">
        <v>1206.25</v>
      </c>
      <c r="AA1950" t="str">
        <f t="shared" si="545"/>
        <v>06/08/2016</v>
      </c>
    </row>
    <row r="1951" spans="1:27" x14ac:dyDescent="0.3">
      <c r="A1951" t="str">
        <f t="shared" si="548"/>
        <v>048314</v>
      </c>
      <c r="B1951" t="str">
        <f t="shared" si="540"/>
        <v>038430</v>
      </c>
      <c r="C1951" t="s">
        <v>1464</v>
      </c>
      <c r="D1951" t="s">
        <v>3839</v>
      </c>
      <c r="E1951" t="s">
        <v>3840</v>
      </c>
      <c r="F1951" t="s">
        <v>3841</v>
      </c>
      <c r="G1951" t="s">
        <v>3842</v>
      </c>
      <c r="H1951" t="str">
        <f t="shared" si="544"/>
        <v>048314</v>
      </c>
      <c r="I1951" t="s">
        <v>833</v>
      </c>
      <c r="J1951" t="str">
        <f t="shared" si="553"/>
        <v>2015-07-01 00:00:00.0</v>
      </c>
      <c r="K1951" t="s">
        <v>834</v>
      </c>
      <c r="L1951" t="s">
        <v>0</v>
      </c>
      <c r="M1951" t="str">
        <f t="shared" si="554"/>
        <v>048314</v>
      </c>
      <c r="N1951">
        <v>1</v>
      </c>
      <c r="O1951">
        <v>1</v>
      </c>
      <c r="P1951" t="str">
        <f>"04"</f>
        <v>04</v>
      </c>
      <c r="Q1951" t="s">
        <v>835</v>
      </c>
      <c r="S1951" t="s">
        <v>836</v>
      </c>
      <c r="T1951" t="s">
        <v>860</v>
      </c>
      <c r="U1951" t="str">
        <f t="shared" si="551"/>
        <v>2500-12-31 00:00:00.0</v>
      </c>
      <c r="V1951" t="s">
        <v>837</v>
      </c>
      <c r="W1951" t="str">
        <f t="shared" si="555"/>
        <v>048314-038430-**-**</v>
      </c>
      <c r="X1951" t="s">
        <v>838</v>
      </c>
      <c r="Y1951">
        <v>1206.25</v>
      </c>
      <c r="Z1951">
        <v>1206.25</v>
      </c>
      <c r="AA1951" t="str">
        <f t="shared" si="545"/>
        <v>06/08/2016</v>
      </c>
    </row>
    <row r="1952" spans="1:27" x14ac:dyDescent="0.3">
      <c r="A1952" t="str">
        <f t="shared" si="548"/>
        <v>048314</v>
      </c>
      <c r="B1952" t="str">
        <f t="shared" si="540"/>
        <v>038430</v>
      </c>
      <c r="C1952" t="s">
        <v>3504</v>
      </c>
      <c r="D1952" t="s">
        <v>3839</v>
      </c>
      <c r="E1952" t="s">
        <v>3840</v>
      </c>
      <c r="F1952" t="s">
        <v>3841</v>
      </c>
      <c r="G1952" t="s">
        <v>3842</v>
      </c>
      <c r="H1952" t="str">
        <f t="shared" si="544"/>
        <v>048314</v>
      </c>
      <c r="I1952" t="s">
        <v>833</v>
      </c>
      <c r="J1952" t="str">
        <f t="shared" si="553"/>
        <v>2015-07-01 00:00:00.0</v>
      </c>
      <c r="K1952" t="s">
        <v>834</v>
      </c>
      <c r="L1952" t="s">
        <v>0</v>
      </c>
      <c r="M1952" t="str">
        <f t="shared" si="554"/>
        <v>048314</v>
      </c>
      <c r="N1952">
        <v>1</v>
      </c>
      <c r="O1952">
        <v>1</v>
      </c>
      <c r="P1952" t="str">
        <f>"03"</f>
        <v>03</v>
      </c>
      <c r="Q1952" t="s">
        <v>835</v>
      </c>
      <c r="S1952" t="s">
        <v>836</v>
      </c>
      <c r="T1952" t="s">
        <v>836</v>
      </c>
      <c r="U1952" t="str">
        <f t="shared" si="551"/>
        <v>2500-12-31 00:00:00.0</v>
      </c>
      <c r="V1952" t="s">
        <v>837</v>
      </c>
      <c r="W1952" t="str">
        <f t="shared" si="555"/>
        <v>048314-038430-**-**</v>
      </c>
      <c r="X1952" t="s">
        <v>838</v>
      </c>
      <c r="Y1952">
        <v>1206.25</v>
      </c>
      <c r="Z1952">
        <v>1206.25</v>
      </c>
      <c r="AA1952" t="str">
        <f t="shared" si="545"/>
        <v>06/08/2016</v>
      </c>
    </row>
    <row r="1953" spans="1:27" x14ac:dyDescent="0.3">
      <c r="A1953" t="str">
        <f t="shared" si="548"/>
        <v>048314</v>
      </c>
      <c r="B1953" t="str">
        <f t="shared" si="540"/>
        <v>038430</v>
      </c>
      <c r="C1953" t="s">
        <v>2547</v>
      </c>
      <c r="D1953" t="s">
        <v>3839</v>
      </c>
      <c r="E1953" t="s">
        <v>3840</v>
      </c>
      <c r="F1953" t="s">
        <v>3841</v>
      </c>
      <c r="G1953" t="s">
        <v>3842</v>
      </c>
      <c r="H1953" t="str">
        <f t="shared" si="544"/>
        <v>048314</v>
      </c>
      <c r="I1953" t="s">
        <v>833</v>
      </c>
      <c r="J1953" t="str">
        <f t="shared" si="553"/>
        <v>2015-07-01 00:00:00.0</v>
      </c>
      <c r="K1953" t="s">
        <v>834</v>
      </c>
      <c r="L1953" t="s">
        <v>0</v>
      </c>
      <c r="M1953" t="str">
        <f t="shared" si="554"/>
        <v>048314</v>
      </c>
      <c r="N1953">
        <v>1</v>
      </c>
      <c r="O1953">
        <v>1</v>
      </c>
      <c r="P1953" t="str">
        <f>"01"</f>
        <v>01</v>
      </c>
      <c r="Q1953" t="s">
        <v>835</v>
      </c>
      <c r="S1953" t="s">
        <v>836</v>
      </c>
      <c r="T1953" t="s">
        <v>836</v>
      </c>
      <c r="U1953" t="str">
        <f t="shared" si="551"/>
        <v>2500-12-31 00:00:00.0</v>
      </c>
      <c r="V1953" t="s">
        <v>837</v>
      </c>
      <c r="W1953" t="str">
        <f t="shared" si="555"/>
        <v>048314-038430-**-**</v>
      </c>
      <c r="X1953" t="s">
        <v>838</v>
      </c>
      <c r="Y1953">
        <v>1206.25</v>
      </c>
      <c r="Z1953">
        <v>1206.25</v>
      </c>
      <c r="AA1953" t="str">
        <f t="shared" si="545"/>
        <v>06/08/2016</v>
      </c>
    </row>
    <row r="1954" spans="1:27" x14ac:dyDescent="0.3">
      <c r="A1954" t="str">
        <f t="shared" si="548"/>
        <v>048314</v>
      </c>
      <c r="B1954" t="str">
        <f t="shared" si="540"/>
        <v>038430</v>
      </c>
      <c r="C1954" t="s">
        <v>858</v>
      </c>
      <c r="D1954" t="s">
        <v>3839</v>
      </c>
      <c r="E1954" t="s">
        <v>3840</v>
      </c>
      <c r="F1954" t="s">
        <v>3841</v>
      </c>
      <c r="G1954" t="s">
        <v>3842</v>
      </c>
      <c r="H1954" t="str">
        <f t="shared" si="544"/>
        <v>048314</v>
      </c>
      <c r="I1954" t="s">
        <v>833</v>
      </c>
      <c r="J1954" t="str">
        <f>"2015-08-01 00:00:00.0"</f>
        <v>2015-08-01 00:00:00.0</v>
      </c>
      <c r="K1954" t="s">
        <v>834</v>
      </c>
      <c r="L1954" t="s">
        <v>0</v>
      </c>
      <c r="M1954" t="str">
        <f t="shared" si="554"/>
        <v>048314</v>
      </c>
      <c r="N1954">
        <v>1</v>
      </c>
      <c r="O1954">
        <v>1</v>
      </c>
      <c r="P1954" t="s">
        <v>764</v>
      </c>
      <c r="Q1954" t="s">
        <v>835</v>
      </c>
      <c r="S1954" t="s">
        <v>836</v>
      </c>
      <c r="T1954" t="s">
        <v>836</v>
      </c>
      <c r="U1954" t="str">
        <f t="shared" si="551"/>
        <v>2500-12-31 00:00:00.0</v>
      </c>
      <c r="V1954" t="s">
        <v>837</v>
      </c>
      <c r="W1954" t="str">
        <f t="shared" si="555"/>
        <v>048314-038430-**-**</v>
      </c>
      <c r="X1954" t="s">
        <v>838</v>
      </c>
      <c r="Y1954">
        <v>1206.25</v>
      </c>
      <c r="Z1954">
        <v>1206.25</v>
      </c>
      <c r="AA1954" t="str">
        <f t="shared" si="545"/>
        <v>06/08/2016</v>
      </c>
    </row>
    <row r="1955" spans="1:27" x14ac:dyDescent="0.3">
      <c r="A1955" t="str">
        <f t="shared" si="548"/>
        <v>048314</v>
      </c>
      <c r="B1955" t="str">
        <f t="shared" si="540"/>
        <v>038430</v>
      </c>
      <c r="C1955" t="s">
        <v>1039</v>
      </c>
      <c r="D1955" t="s">
        <v>3839</v>
      </c>
      <c r="E1955" t="s">
        <v>3840</v>
      </c>
      <c r="F1955" t="s">
        <v>3841</v>
      </c>
      <c r="G1955" t="s">
        <v>3842</v>
      </c>
      <c r="H1955" t="str">
        <f t="shared" si="544"/>
        <v>048314</v>
      </c>
      <c r="I1955" t="s">
        <v>833</v>
      </c>
      <c r="J1955" t="str">
        <f t="shared" ref="J1955:J1962" si="556">"2015-07-01 00:00:00.0"</f>
        <v>2015-07-01 00:00:00.0</v>
      </c>
      <c r="K1955" t="s">
        <v>834</v>
      </c>
      <c r="L1955" t="s">
        <v>0</v>
      </c>
      <c r="M1955" t="str">
        <f t="shared" si="554"/>
        <v>048314</v>
      </c>
      <c r="N1955">
        <v>1</v>
      </c>
      <c r="O1955">
        <v>1</v>
      </c>
      <c r="P1955" t="str">
        <f>"01"</f>
        <v>01</v>
      </c>
      <c r="Q1955" t="s">
        <v>835</v>
      </c>
      <c r="S1955" t="s">
        <v>836</v>
      </c>
      <c r="T1955" t="s">
        <v>836</v>
      </c>
      <c r="U1955" t="str">
        <f t="shared" si="551"/>
        <v>2500-12-31 00:00:00.0</v>
      </c>
      <c r="V1955" t="s">
        <v>837</v>
      </c>
      <c r="W1955" t="str">
        <f t="shared" si="555"/>
        <v>048314-038430-**-**</v>
      </c>
      <c r="X1955" t="s">
        <v>838</v>
      </c>
      <c r="Y1955">
        <v>1206.25</v>
      </c>
      <c r="Z1955">
        <v>1206.25</v>
      </c>
      <c r="AA1955" t="str">
        <f t="shared" si="545"/>
        <v>06/08/2016</v>
      </c>
    </row>
    <row r="1956" spans="1:27" x14ac:dyDescent="0.3">
      <c r="A1956" t="str">
        <f t="shared" si="548"/>
        <v>048314</v>
      </c>
      <c r="B1956" t="str">
        <f t="shared" ref="B1956:B2019" si="557">"038430"</f>
        <v>038430</v>
      </c>
      <c r="C1956" t="s">
        <v>1542</v>
      </c>
      <c r="D1956" t="s">
        <v>3839</v>
      </c>
      <c r="E1956" t="s">
        <v>3840</v>
      </c>
      <c r="F1956" t="s">
        <v>3841</v>
      </c>
      <c r="G1956" t="s">
        <v>3842</v>
      </c>
      <c r="H1956" t="str">
        <f t="shared" si="544"/>
        <v>048314</v>
      </c>
      <c r="I1956" t="s">
        <v>833</v>
      </c>
      <c r="J1956" t="str">
        <f t="shared" si="556"/>
        <v>2015-07-01 00:00:00.0</v>
      </c>
      <c r="K1956" t="s">
        <v>834</v>
      </c>
      <c r="L1956" t="s">
        <v>0</v>
      </c>
      <c r="M1956" t="str">
        <f t="shared" si="554"/>
        <v>048314</v>
      </c>
      <c r="N1956">
        <v>1</v>
      </c>
      <c r="O1956">
        <v>1</v>
      </c>
      <c r="P1956" t="str">
        <f>"02"</f>
        <v>02</v>
      </c>
      <c r="Q1956" t="str">
        <f>"05"</f>
        <v>05</v>
      </c>
      <c r="R1956" t="str">
        <f>"1"</f>
        <v>1</v>
      </c>
      <c r="S1956" t="s">
        <v>836</v>
      </c>
      <c r="T1956" t="s">
        <v>836</v>
      </c>
      <c r="U1956" t="str">
        <f t="shared" si="551"/>
        <v>2500-12-31 00:00:00.0</v>
      </c>
      <c r="V1956" t="s">
        <v>837</v>
      </c>
      <c r="W1956" t="str">
        <f t="shared" si="555"/>
        <v>048314-038430-**-**</v>
      </c>
      <c r="X1956" t="s">
        <v>838</v>
      </c>
      <c r="Y1956">
        <v>1206.25</v>
      </c>
      <c r="Z1956">
        <v>1206.25</v>
      </c>
      <c r="AA1956" t="str">
        <f t="shared" si="545"/>
        <v>06/08/2016</v>
      </c>
    </row>
    <row r="1957" spans="1:27" x14ac:dyDescent="0.3">
      <c r="A1957" t="str">
        <f t="shared" si="548"/>
        <v>048314</v>
      </c>
      <c r="B1957" t="str">
        <f t="shared" si="557"/>
        <v>038430</v>
      </c>
      <c r="C1957" t="s">
        <v>2475</v>
      </c>
      <c r="D1957" t="s">
        <v>3839</v>
      </c>
      <c r="E1957" t="s">
        <v>3840</v>
      </c>
      <c r="F1957" t="s">
        <v>3841</v>
      </c>
      <c r="G1957" t="s">
        <v>3842</v>
      </c>
      <c r="H1957" t="str">
        <f t="shared" si="544"/>
        <v>048314</v>
      </c>
      <c r="I1957" t="s">
        <v>833</v>
      </c>
      <c r="J1957" t="str">
        <f t="shared" si="556"/>
        <v>2015-07-01 00:00:00.0</v>
      </c>
      <c r="K1957" t="s">
        <v>834</v>
      </c>
      <c r="L1957" t="s">
        <v>0</v>
      </c>
      <c r="M1957" t="str">
        <f t="shared" si="554"/>
        <v>048314</v>
      </c>
      <c r="N1957">
        <v>1</v>
      </c>
      <c r="O1957">
        <v>1</v>
      </c>
      <c r="P1957" t="str">
        <f>"02"</f>
        <v>02</v>
      </c>
      <c r="Q1957" t="s">
        <v>835</v>
      </c>
      <c r="S1957" t="s">
        <v>860</v>
      </c>
      <c r="T1957" t="s">
        <v>836</v>
      </c>
      <c r="U1957" t="str">
        <f t="shared" si="551"/>
        <v>2500-12-31 00:00:00.0</v>
      </c>
      <c r="V1957" t="s">
        <v>837</v>
      </c>
      <c r="W1957" t="str">
        <f t="shared" si="555"/>
        <v>048314-038430-**-**</v>
      </c>
      <c r="X1957" t="s">
        <v>838</v>
      </c>
      <c r="Y1957">
        <v>1206.25</v>
      </c>
      <c r="Z1957">
        <v>1206.25</v>
      </c>
      <c r="AA1957" t="str">
        <f t="shared" si="545"/>
        <v>06/08/2016</v>
      </c>
    </row>
    <row r="1958" spans="1:27" x14ac:dyDescent="0.3">
      <c r="A1958" t="str">
        <f t="shared" si="548"/>
        <v>048314</v>
      </c>
      <c r="B1958" t="str">
        <f t="shared" si="557"/>
        <v>038430</v>
      </c>
      <c r="C1958" t="s">
        <v>3145</v>
      </c>
      <c r="D1958" t="s">
        <v>3839</v>
      </c>
      <c r="E1958" t="s">
        <v>3840</v>
      </c>
      <c r="F1958" t="s">
        <v>3841</v>
      </c>
      <c r="G1958" t="s">
        <v>3842</v>
      </c>
      <c r="H1958" t="str">
        <f t="shared" si="544"/>
        <v>048314</v>
      </c>
      <c r="I1958" t="s">
        <v>833</v>
      </c>
      <c r="J1958" t="str">
        <f t="shared" si="556"/>
        <v>2015-07-01 00:00:00.0</v>
      </c>
      <c r="K1958" t="s">
        <v>834</v>
      </c>
      <c r="L1958" t="s">
        <v>0</v>
      </c>
      <c r="M1958" t="str">
        <f t="shared" si="554"/>
        <v>048314</v>
      </c>
      <c r="N1958">
        <v>1</v>
      </c>
      <c r="O1958">
        <v>1</v>
      </c>
      <c r="P1958" t="str">
        <f>"05"</f>
        <v>05</v>
      </c>
      <c r="Q1958" t="s">
        <v>835</v>
      </c>
      <c r="S1958" t="s">
        <v>860</v>
      </c>
      <c r="T1958" t="s">
        <v>836</v>
      </c>
      <c r="U1958" t="str">
        <f t="shared" si="551"/>
        <v>2500-12-31 00:00:00.0</v>
      </c>
      <c r="V1958" t="s">
        <v>837</v>
      </c>
      <c r="W1958" t="str">
        <f>"048314-070417-**-**"</f>
        <v>048314-070417-**-**</v>
      </c>
      <c r="X1958" t="s">
        <v>838</v>
      </c>
      <c r="Y1958">
        <v>1125</v>
      </c>
      <c r="Z1958">
        <v>1125</v>
      </c>
      <c r="AA1958" t="str">
        <f t="shared" si="545"/>
        <v>06/08/2016</v>
      </c>
    </row>
    <row r="1959" spans="1:27" x14ac:dyDescent="0.3">
      <c r="A1959" t="str">
        <f t="shared" si="548"/>
        <v>048314</v>
      </c>
      <c r="B1959" t="str">
        <f t="shared" si="557"/>
        <v>038430</v>
      </c>
      <c r="C1959" t="s">
        <v>3042</v>
      </c>
      <c r="D1959" t="s">
        <v>3839</v>
      </c>
      <c r="E1959" t="s">
        <v>3840</v>
      </c>
      <c r="F1959" t="s">
        <v>3841</v>
      </c>
      <c r="G1959" t="s">
        <v>3842</v>
      </c>
      <c r="H1959" t="str">
        <f t="shared" si="544"/>
        <v>048314</v>
      </c>
      <c r="I1959" t="s">
        <v>833</v>
      </c>
      <c r="J1959" t="str">
        <f t="shared" si="556"/>
        <v>2015-07-01 00:00:00.0</v>
      </c>
      <c r="K1959" t="s">
        <v>834</v>
      </c>
      <c r="L1959" t="s">
        <v>0</v>
      </c>
      <c r="M1959" t="str">
        <f t="shared" si="554"/>
        <v>048314</v>
      </c>
      <c r="N1959">
        <v>1</v>
      </c>
      <c r="O1959">
        <v>1</v>
      </c>
      <c r="P1959" t="str">
        <f>"01"</f>
        <v>01</v>
      </c>
      <c r="Q1959" t="s">
        <v>835</v>
      </c>
      <c r="S1959" t="s">
        <v>836</v>
      </c>
      <c r="T1959" t="s">
        <v>836</v>
      </c>
      <c r="U1959" t="str">
        <f t="shared" si="551"/>
        <v>2500-12-31 00:00:00.0</v>
      </c>
      <c r="V1959" t="s">
        <v>837</v>
      </c>
      <c r="W1959" t="str">
        <f>"048314-038430-**-**"</f>
        <v>048314-038430-**-**</v>
      </c>
      <c r="X1959" t="s">
        <v>838</v>
      </c>
      <c r="Y1959">
        <v>1206.25</v>
      </c>
      <c r="Z1959">
        <v>1206.25</v>
      </c>
      <c r="AA1959" t="str">
        <f t="shared" si="545"/>
        <v>06/08/2016</v>
      </c>
    </row>
    <row r="1960" spans="1:27" x14ac:dyDescent="0.3">
      <c r="A1960" t="str">
        <f t="shared" si="548"/>
        <v>048314</v>
      </c>
      <c r="B1960" t="str">
        <f t="shared" si="557"/>
        <v>038430</v>
      </c>
      <c r="C1960" t="s">
        <v>3223</v>
      </c>
      <c r="D1960" t="s">
        <v>3839</v>
      </c>
      <c r="E1960" t="s">
        <v>3840</v>
      </c>
      <c r="F1960" t="s">
        <v>3841</v>
      </c>
      <c r="G1960" t="s">
        <v>3842</v>
      </c>
      <c r="H1960" t="str">
        <f t="shared" si="544"/>
        <v>048314</v>
      </c>
      <c r="I1960" t="s">
        <v>833</v>
      </c>
      <c r="J1960" t="str">
        <f t="shared" si="556"/>
        <v>2015-07-01 00:00:00.0</v>
      </c>
      <c r="K1960" t="s">
        <v>834</v>
      </c>
      <c r="L1960" t="s">
        <v>0</v>
      </c>
      <c r="M1960" t="str">
        <f t="shared" si="554"/>
        <v>048314</v>
      </c>
      <c r="N1960">
        <v>1</v>
      </c>
      <c r="O1960">
        <v>1</v>
      </c>
      <c r="P1960" t="str">
        <f>"02"</f>
        <v>02</v>
      </c>
      <c r="Q1960" t="s">
        <v>835</v>
      </c>
      <c r="S1960" t="s">
        <v>836</v>
      </c>
      <c r="T1960" t="s">
        <v>836</v>
      </c>
      <c r="U1960" t="str">
        <f t="shared" si="551"/>
        <v>2500-12-31 00:00:00.0</v>
      </c>
      <c r="V1960" t="s">
        <v>837</v>
      </c>
      <c r="W1960" t="str">
        <f>"048314-038430-**-**"</f>
        <v>048314-038430-**-**</v>
      </c>
      <c r="X1960" t="s">
        <v>838</v>
      </c>
      <c r="Y1960">
        <v>1206.25</v>
      </c>
      <c r="Z1960">
        <v>1206.25</v>
      </c>
      <c r="AA1960" t="str">
        <f t="shared" si="545"/>
        <v>06/08/2016</v>
      </c>
    </row>
    <row r="1961" spans="1:27" x14ac:dyDescent="0.3">
      <c r="A1961" t="str">
        <f t="shared" si="548"/>
        <v>048314</v>
      </c>
      <c r="B1961" t="str">
        <f t="shared" si="557"/>
        <v>038430</v>
      </c>
      <c r="C1961" t="s">
        <v>3370</v>
      </c>
      <c r="D1961" t="s">
        <v>3839</v>
      </c>
      <c r="E1961" t="s">
        <v>3840</v>
      </c>
      <c r="F1961" t="s">
        <v>3841</v>
      </c>
      <c r="G1961" t="s">
        <v>3842</v>
      </c>
      <c r="H1961" t="str">
        <f t="shared" si="544"/>
        <v>048314</v>
      </c>
      <c r="I1961" t="s">
        <v>833</v>
      </c>
      <c r="J1961" t="str">
        <f t="shared" si="556"/>
        <v>2015-07-01 00:00:00.0</v>
      </c>
      <c r="K1961" t="s">
        <v>834</v>
      </c>
      <c r="L1961" t="s">
        <v>0</v>
      </c>
      <c r="M1961" t="str">
        <f t="shared" si="554"/>
        <v>048314</v>
      </c>
      <c r="N1961">
        <v>1</v>
      </c>
      <c r="O1961">
        <v>1</v>
      </c>
      <c r="P1961" t="str">
        <f>"04"</f>
        <v>04</v>
      </c>
      <c r="Q1961" t="s">
        <v>835</v>
      </c>
      <c r="S1961" t="s">
        <v>836</v>
      </c>
      <c r="T1961" t="s">
        <v>836</v>
      </c>
      <c r="U1961" t="str">
        <f t="shared" si="551"/>
        <v>2500-12-31 00:00:00.0</v>
      </c>
      <c r="V1961" t="s">
        <v>837</v>
      </c>
      <c r="W1961" t="str">
        <f>"048314-038430-**-**"</f>
        <v>048314-038430-**-**</v>
      </c>
      <c r="X1961" t="s">
        <v>838</v>
      </c>
      <c r="Y1961">
        <v>1206.25</v>
      </c>
      <c r="Z1961">
        <v>1206.25</v>
      </c>
      <c r="AA1961" t="str">
        <f t="shared" si="545"/>
        <v>06/08/2016</v>
      </c>
    </row>
    <row r="1962" spans="1:27" x14ac:dyDescent="0.3">
      <c r="A1962" t="str">
        <f t="shared" si="548"/>
        <v>048314</v>
      </c>
      <c r="B1962" t="str">
        <f t="shared" si="557"/>
        <v>038430</v>
      </c>
      <c r="C1962" t="s">
        <v>3272</v>
      </c>
      <c r="D1962" t="s">
        <v>3839</v>
      </c>
      <c r="E1962" t="s">
        <v>3840</v>
      </c>
      <c r="F1962" t="s">
        <v>3841</v>
      </c>
      <c r="G1962" t="s">
        <v>3842</v>
      </c>
      <c r="H1962" t="str">
        <f t="shared" si="544"/>
        <v>048314</v>
      </c>
      <c r="I1962" t="s">
        <v>833</v>
      </c>
      <c r="J1962" t="str">
        <f t="shared" si="556"/>
        <v>2015-07-01 00:00:00.0</v>
      </c>
      <c r="K1962" t="s">
        <v>834</v>
      </c>
      <c r="L1962" t="s">
        <v>0</v>
      </c>
      <c r="M1962" t="str">
        <f t="shared" si="554"/>
        <v>048314</v>
      </c>
      <c r="N1962">
        <v>1</v>
      </c>
      <c r="O1962">
        <v>1</v>
      </c>
      <c r="P1962" t="str">
        <f>"05"</f>
        <v>05</v>
      </c>
      <c r="Q1962" t="s">
        <v>835</v>
      </c>
      <c r="S1962" t="s">
        <v>836</v>
      </c>
      <c r="T1962" t="s">
        <v>836</v>
      </c>
      <c r="U1962" t="str">
        <f t="shared" si="551"/>
        <v>2500-12-31 00:00:00.0</v>
      </c>
      <c r="V1962" t="s">
        <v>837</v>
      </c>
      <c r="W1962" t="str">
        <f>"048314-070417-**-**"</f>
        <v>048314-070417-**-**</v>
      </c>
      <c r="X1962" t="s">
        <v>838</v>
      </c>
      <c r="Y1962">
        <v>1125</v>
      </c>
      <c r="Z1962">
        <v>1125</v>
      </c>
      <c r="AA1962" t="str">
        <f t="shared" si="545"/>
        <v>06/08/2016</v>
      </c>
    </row>
    <row r="1963" spans="1:27" x14ac:dyDescent="0.3">
      <c r="A1963" t="str">
        <f t="shared" si="548"/>
        <v>048314</v>
      </c>
      <c r="B1963" t="str">
        <f t="shared" si="557"/>
        <v>038430</v>
      </c>
      <c r="C1963" t="s">
        <v>3188</v>
      </c>
      <c r="D1963" t="s">
        <v>3839</v>
      </c>
      <c r="E1963" t="s">
        <v>3840</v>
      </c>
      <c r="F1963" t="s">
        <v>3841</v>
      </c>
      <c r="G1963" t="s">
        <v>3842</v>
      </c>
      <c r="H1963" t="str">
        <f t="shared" si="544"/>
        <v>048314</v>
      </c>
      <c r="I1963" t="s">
        <v>833</v>
      </c>
      <c r="J1963" t="str">
        <f>"2016-03-02 00:00:00.0"</f>
        <v>2016-03-02 00:00:00.0</v>
      </c>
      <c r="K1963" t="s">
        <v>834</v>
      </c>
      <c r="L1963" t="s">
        <v>0</v>
      </c>
      <c r="M1963" t="str">
        <f t="shared" si="554"/>
        <v>048314</v>
      </c>
      <c r="N1963">
        <v>0.35751300000000003</v>
      </c>
      <c r="O1963">
        <v>0.35175400000000001</v>
      </c>
      <c r="P1963" t="str">
        <f>"03"</f>
        <v>03</v>
      </c>
      <c r="Q1963" t="str">
        <f>"10"</f>
        <v>10</v>
      </c>
      <c r="R1963" t="str">
        <f>"2"</f>
        <v>2</v>
      </c>
      <c r="S1963" t="s">
        <v>836</v>
      </c>
      <c r="T1963" t="s">
        <v>836</v>
      </c>
      <c r="U1963" t="str">
        <f t="shared" si="551"/>
        <v>2500-12-31 00:00:00.0</v>
      </c>
      <c r="V1963" t="s">
        <v>837</v>
      </c>
      <c r="W1963" t="str">
        <f>"048314-038430-**-**"</f>
        <v>048314-038430-**-**</v>
      </c>
      <c r="X1963" t="s">
        <v>838</v>
      </c>
      <c r="Y1963">
        <v>431.25</v>
      </c>
      <c r="Z1963">
        <v>1206.25</v>
      </c>
      <c r="AA1963" t="str">
        <f t="shared" si="545"/>
        <v>06/08/2016</v>
      </c>
    </row>
    <row r="1964" spans="1:27" x14ac:dyDescent="0.3">
      <c r="A1964" t="str">
        <f t="shared" si="548"/>
        <v>048314</v>
      </c>
      <c r="B1964" t="str">
        <f t="shared" si="557"/>
        <v>038430</v>
      </c>
      <c r="C1964" t="s">
        <v>2921</v>
      </c>
      <c r="D1964" t="s">
        <v>3839</v>
      </c>
      <c r="E1964" t="s">
        <v>3840</v>
      </c>
      <c r="F1964" t="s">
        <v>3841</v>
      </c>
      <c r="G1964" t="s">
        <v>3842</v>
      </c>
      <c r="H1964" t="str">
        <f t="shared" si="544"/>
        <v>048314</v>
      </c>
      <c r="I1964" t="s">
        <v>833</v>
      </c>
      <c r="J1964" t="str">
        <f>"2015-07-01 00:00:00.0"</f>
        <v>2015-07-01 00:00:00.0</v>
      </c>
      <c r="K1964" t="s">
        <v>834</v>
      </c>
      <c r="L1964" t="s">
        <v>0</v>
      </c>
      <c r="M1964" t="str">
        <f t="shared" si="554"/>
        <v>048314</v>
      </c>
      <c r="N1964">
        <v>1</v>
      </c>
      <c r="O1964">
        <v>1</v>
      </c>
      <c r="P1964" t="str">
        <f>"05"</f>
        <v>05</v>
      </c>
      <c r="Q1964" t="s">
        <v>835</v>
      </c>
      <c r="S1964" t="s">
        <v>836</v>
      </c>
      <c r="T1964" t="s">
        <v>836</v>
      </c>
      <c r="U1964" t="str">
        <f t="shared" si="551"/>
        <v>2500-12-31 00:00:00.0</v>
      </c>
      <c r="V1964" t="s">
        <v>837</v>
      </c>
      <c r="W1964" t="str">
        <f>"048314-070417-**-**"</f>
        <v>048314-070417-**-**</v>
      </c>
      <c r="X1964" t="s">
        <v>838</v>
      </c>
      <c r="Y1964">
        <v>1125</v>
      </c>
      <c r="Z1964">
        <v>1125</v>
      </c>
      <c r="AA1964" t="str">
        <f t="shared" si="545"/>
        <v>06/08/2016</v>
      </c>
    </row>
    <row r="1965" spans="1:27" x14ac:dyDescent="0.3">
      <c r="A1965" t="str">
        <f t="shared" si="548"/>
        <v>048314</v>
      </c>
      <c r="B1965" t="str">
        <f t="shared" si="557"/>
        <v>038430</v>
      </c>
      <c r="C1965" t="s">
        <v>3735</v>
      </c>
      <c r="D1965" t="s">
        <v>3839</v>
      </c>
      <c r="E1965" t="s">
        <v>3840</v>
      </c>
      <c r="F1965" t="s">
        <v>3841</v>
      </c>
      <c r="G1965" t="s">
        <v>3842</v>
      </c>
      <c r="H1965" t="str">
        <f t="shared" si="544"/>
        <v>048314</v>
      </c>
      <c r="I1965" t="s">
        <v>833</v>
      </c>
      <c r="J1965" t="str">
        <f>"2015-08-01 00:00:00.0"</f>
        <v>2015-08-01 00:00:00.0</v>
      </c>
      <c r="K1965" t="s">
        <v>834</v>
      </c>
      <c r="L1965" t="s">
        <v>0</v>
      </c>
      <c r="M1965" t="str">
        <f t="shared" si="554"/>
        <v>048314</v>
      </c>
      <c r="N1965">
        <v>1</v>
      </c>
      <c r="O1965">
        <v>1</v>
      </c>
      <c r="P1965" t="s">
        <v>764</v>
      </c>
      <c r="Q1965" t="s">
        <v>835</v>
      </c>
      <c r="S1965" t="s">
        <v>836</v>
      </c>
      <c r="T1965" t="s">
        <v>836</v>
      </c>
      <c r="U1965" t="str">
        <f t="shared" si="551"/>
        <v>2500-12-31 00:00:00.0</v>
      </c>
      <c r="V1965" t="s">
        <v>837</v>
      </c>
      <c r="W1965" t="str">
        <f>"048314-038430-**-**"</f>
        <v>048314-038430-**-**</v>
      </c>
      <c r="X1965" t="s">
        <v>838</v>
      </c>
      <c r="Y1965">
        <v>1206.25</v>
      </c>
      <c r="Z1965">
        <v>1206.25</v>
      </c>
      <c r="AA1965" t="str">
        <f t="shared" si="545"/>
        <v>06/08/2016</v>
      </c>
    </row>
    <row r="1966" spans="1:27" x14ac:dyDescent="0.3">
      <c r="A1966" t="str">
        <f t="shared" si="548"/>
        <v>048314</v>
      </c>
      <c r="B1966" t="str">
        <f t="shared" si="557"/>
        <v>038430</v>
      </c>
      <c r="C1966" t="s">
        <v>3148</v>
      </c>
      <c r="D1966" t="s">
        <v>3839</v>
      </c>
      <c r="E1966" t="s">
        <v>3840</v>
      </c>
      <c r="F1966" t="s">
        <v>3841</v>
      </c>
      <c r="G1966" t="s">
        <v>3842</v>
      </c>
      <c r="H1966" t="str">
        <f t="shared" si="544"/>
        <v>048314</v>
      </c>
      <c r="I1966" t="s">
        <v>833</v>
      </c>
      <c r="J1966" t="str">
        <f>"2015-07-01 00:00:00.0"</f>
        <v>2015-07-01 00:00:00.0</v>
      </c>
      <c r="K1966" t="s">
        <v>834</v>
      </c>
      <c r="L1966" t="s">
        <v>0</v>
      </c>
      <c r="M1966" t="str">
        <f t="shared" si="554"/>
        <v>048314</v>
      </c>
      <c r="N1966">
        <v>1</v>
      </c>
      <c r="O1966">
        <v>1</v>
      </c>
      <c r="P1966" t="str">
        <f>"03"</f>
        <v>03</v>
      </c>
      <c r="Q1966" t="s">
        <v>835</v>
      </c>
      <c r="S1966" t="s">
        <v>836</v>
      </c>
      <c r="T1966" t="s">
        <v>836</v>
      </c>
      <c r="U1966" t="str">
        <f t="shared" si="551"/>
        <v>2500-12-31 00:00:00.0</v>
      </c>
      <c r="V1966" t="s">
        <v>837</v>
      </c>
      <c r="W1966" t="str">
        <f>"048314-038430-**-**"</f>
        <v>048314-038430-**-**</v>
      </c>
      <c r="X1966" t="s">
        <v>838</v>
      </c>
      <c r="Y1966">
        <v>1206.25</v>
      </c>
      <c r="Z1966">
        <v>1206.25</v>
      </c>
      <c r="AA1966" t="str">
        <f t="shared" si="545"/>
        <v>06/08/2016</v>
      </c>
    </row>
    <row r="1967" spans="1:27" x14ac:dyDescent="0.3">
      <c r="A1967" t="str">
        <f t="shared" si="548"/>
        <v>048314</v>
      </c>
      <c r="B1967" t="str">
        <f t="shared" si="557"/>
        <v>038430</v>
      </c>
      <c r="C1967" t="s">
        <v>2922</v>
      </c>
      <c r="D1967" t="s">
        <v>3839</v>
      </c>
      <c r="E1967" t="s">
        <v>3840</v>
      </c>
      <c r="F1967" t="s">
        <v>3841</v>
      </c>
      <c r="G1967" t="s">
        <v>3842</v>
      </c>
      <c r="H1967" t="str">
        <f t="shared" si="544"/>
        <v>048314</v>
      </c>
      <c r="I1967" t="s">
        <v>833</v>
      </c>
      <c r="J1967" t="str">
        <f>"2015-07-01 00:00:00.0"</f>
        <v>2015-07-01 00:00:00.0</v>
      </c>
      <c r="K1967" t="s">
        <v>834</v>
      </c>
      <c r="L1967" t="s">
        <v>0</v>
      </c>
      <c r="M1967" t="str">
        <f t="shared" si="554"/>
        <v>048314</v>
      </c>
      <c r="N1967">
        <v>1</v>
      </c>
      <c r="O1967">
        <v>1</v>
      </c>
      <c r="P1967" t="str">
        <f>"05"</f>
        <v>05</v>
      </c>
      <c r="Q1967" t="s">
        <v>835</v>
      </c>
      <c r="S1967" t="s">
        <v>836</v>
      </c>
      <c r="T1967" t="s">
        <v>836</v>
      </c>
      <c r="U1967" t="str">
        <f t="shared" si="551"/>
        <v>2500-12-31 00:00:00.0</v>
      </c>
      <c r="V1967" t="s">
        <v>837</v>
      </c>
      <c r="W1967" t="str">
        <f>"048314-070417-**-**"</f>
        <v>048314-070417-**-**</v>
      </c>
      <c r="X1967" t="s">
        <v>838</v>
      </c>
      <c r="Y1967">
        <v>1125</v>
      </c>
      <c r="Z1967">
        <v>1125</v>
      </c>
      <c r="AA1967" t="str">
        <f t="shared" si="545"/>
        <v>06/08/2016</v>
      </c>
    </row>
    <row r="1968" spans="1:27" x14ac:dyDescent="0.3">
      <c r="A1968" t="str">
        <f t="shared" si="548"/>
        <v>048314</v>
      </c>
      <c r="B1968" t="str">
        <f t="shared" si="557"/>
        <v>038430</v>
      </c>
      <c r="C1968" t="s">
        <v>1975</v>
      </c>
      <c r="D1968" t="s">
        <v>3839</v>
      </c>
      <c r="E1968" t="s">
        <v>3840</v>
      </c>
      <c r="F1968" t="s">
        <v>3841</v>
      </c>
      <c r="G1968" t="s">
        <v>3842</v>
      </c>
      <c r="H1968" t="str">
        <f t="shared" si="544"/>
        <v>048314</v>
      </c>
      <c r="I1968" t="s">
        <v>833</v>
      </c>
      <c r="J1968" t="str">
        <f>"2015-07-01 00:00:00.0"</f>
        <v>2015-07-01 00:00:00.0</v>
      </c>
      <c r="K1968" t="s">
        <v>834</v>
      </c>
      <c r="L1968" t="s">
        <v>0</v>
      </c>
      <c r="M1968" t="str">
        <f t="shared" si="554"/>
        <v>048314</v>
      </c>
      <c r="N1968">
        <v>1</v>
      </c>
      <c r="O1968">
        <v>1</v>
      </c>
      <c r="P1968" t="str">
        <f>"02"</f>
        <v>02</v>
      </c>
      <c r="Q1968" t="s">
        <v>835</v>
      </c>
      <c r="S1968" t="s">
        <v>836</v>
      </c>
      <c r="T1968" t="s">
        <v>836</v>
      </c>
      <c r="U1968" t="str">
        <f t="shared" si="551"/>
        <v>2500-12-31 00:00:00.0</v>
      </c>
      <c r="V1968" t="s">
        <v>837</v>
      </c>
      <c r="W1968" t="str">
        <f t="shared" ref="W1968:W1974" si="558">"048314-038430-**-**"</f>
        <v>048314-038430-**-**</v>
      </c>
      <c r="X1968" t="s">
        <v>838</v>
      </c>
      <c r="Y1968">
        <v>1206.25</v>
      </c>
      <c r="Z1968">
        <v>1206.25</v>
      </c>
      <c r="AA1968" t="str">
        <f t="shared" si="545"/>
        <v>06/08/2016</v>
      </c>
    </row>
    <row r="1969" spans="1:27" x14ac:dyDescent="0.3">
      <c r="A1969" t="str">
        <f t="shared" si="548"/>
        <v>048314</v>
      </c>
      <c r="B1969" t="str">
        <f t="shared" si="557"/>
        <v>038430</v>
      </c>
      <c r="C1969" t="s">
        <v>933</v>
      </c>
      <c r="D1969" t="s">
        <v>3839</v>
      </c>
      <c r="E1969" t="s">
        <v>3840</v>
      </c>
      <c r="F1969" t="s">
        <v>3841</v>
      </c>
      <c r="G1969" t="s">
        <v>3842</v>
      </c>
      <c r="H1969" t="str">
        <f t="shared" si="544"/>
        <v>048314</v>
      </c>
      <c r="I1969" t="s">
        <v>833</v>
      </c>
      <c r="J1969" t="str">
        <f>"2015-07-01 00:00:00.0"</f>
        <v>2015-07-01 00:00:00.0</v>
      </c>
      <c r="K1969" t="s">
        <v>834</v>
      </c>
      <c r="L1969" t="s">
        <v>0</v>
      </c>
      <c r="M1969" t="str">
        <f t="shared" si="554"/>
        <v>048314</v>
      </c>
      <c r="N1969">
        <v>1</v>
      </c>
      <c r="O1969">
        <v>1</v>
      </c>
      <c r="P1969" t="str">
        <f>"01"</f>
        <v>01</v>
      </c>
      <c r="Q1969" t="s">
        <v>835</v>
      </c>
      <c r="S1969" t="s">
        <v>836</v>
      </c>
      <c r="T1969" t="s">
        <v>836</v>
      </c>
      <c r="U1969" t="str">
        <f t="shared" si="551"/>
        <v>2500-12-31 00:00:00.0</v>
      </c>
      <c r="V1969" t="s">
        <v>837</v>
      </c>
      <c r="W1969" t="str">
        <f t="shared" si="558"/>
        <v>048314-038430-**-**</v>
      </c>
      <c r="X1969" t="s">
        <v>838</v>
      </c>
      <c r="Y1969">
        <v>1206.25</v>
      </c>
      <c r="Z1969">
        <v>1206.25</v>
      </c>
      <c r="AA1969" t="str">
        <f t="shared" si="545"/>
        <v>06/08/2016</v>
      </c>
    </row>
    <row r="1970" spans="1:27" x14ac:dyDescent="0.3">
      <c r="A1970" t="str">
        <f t="shared" si="548"/>
        <v>048314</v>
      </c>
      <c r="B1970" t="str">
        <f t="shared" si="557"/>
        <v>038430</v>
      </c>
      <c r="C1970" t="s">
        <v>3732</v>
      </c>
      <c r="D1970" t="s">
        <v>3839</v>
      </c>
      <c r="E1970" t="s">
        <v>3840</v>
      </c>
      <c r="F1970" t="s">
        <v>3841</v>
      </c>
      <c r="G1970" t="s">
        <v>3842</v>
      </c>
      <c r="H1970" t="str">
        <f t="shared" si="544"/>
        <v>048314</v>
      </c>
      <c r="I1970" t="s">
        <v>833</v>
      </c>
      <c r="J1970" t="str">
        <f>"2015-08-01 00:00:00.0"</f>
        <v>2015-08-01 00:00:00.0</v>
      </c>
      <c r="K1970" t="s">
        <v>834</v>
      </c>
      <c r="L1970" t="s">
        <v>0</v>
      </c>
      <c r="M1970" t="str">
        <f t="shared" si="554"/>
        <v>048314</v>
      </c>
      <c r="N1970">
        <v>0.70984499999999995</v>
      </c>
      <c r="O1970">
        <v>0.70984499999999995</v>
      </c>
      <c r="P1970" t="s">
        <v>764</v>
      </c>
      <c r="Q1970" t="s">
        <v>835</v>
      </c>
      <c r="S1970" t="s">
        <v>836</v>
      </c>
      <c r="T1970" t="s">
        <v>836</v>
      </c>
      <c r="U1970" t="str">
        <f>"2016-03-20 00:00:00.0"</f>
        <v>2016-03-20 00:00:00.0</v>
      </c>
      <c r="V1970" t="s">
        <v>837</v>
      </c>
      <c r="W1970" t="str">
        <f t="shared" si="558"/>
        <v>048314-038430-**-**</v>
      </c>
      <c r="X1970" t="s">
        <v>838</v>
      </c>
      <c r="Y1970">
        <v>856.25</v>
      </c>
      <c r="Z1970">
        <v>1206.25</v>
      </c>
      <c r="AA1970" t="str">
        <f t="shared" si="545"/>
        <v>06/08/2016</v>
      </c>
    </row>
    <row r="1971" spans="1:27" x14ac:dyDescent="0.3">
      <c r="A1971" t="str">
        <f t="shared" si="548"/>
        <v>048314</v>
      </c>
      <c r="B1971" t="str">
        <f t="shared" si="557"/>
        <v>038430</v>
      </c>
      <c r="C1971" t="s">
        <v>3732</v>
      </c>
      <c r="D1971" t="s">
        <v>3839</v>
      </c>
      <c r="E1971" t="s">
        <v>3840</v>
      </c>
      <c r="F1971" t="s">
        <v>3841</v>
      </c>
      <c r="G1971" t="s">
        <v>3842</v>
      </c>
      <c r="H1971" t="str">
        <f t="shared" si="544"/>
        <v>048314</v>
      </c>
      <c r="I1971" t="s">
        <v>833</v>
      </c>
      <c r="J1971" t="str">
        <f>"2016-03-21 00:00:00.0"</f>
        <v>2016-03-21 00:00:00.0</v>
      </c>
      <c r="K1971" t="s">
        <v>834</v>
      </c>
      <c r="L1971" t="s">
        <v>0</v>
      </c>
      <c r="M1971" t="str">
        <f t="shared" si="554"/>
        <v>048314</v>
      </c>
      <c r="N1971">
        <v>0.290155</v>
      </c>
      <c r="O1971">
        <v>0.290155</v>
      </c>
      <c r="P1971" t="s">
        <v>764</v>
      </c>
      <c r="Q1971" t="str">
        <f>"05"</f>
        <v>05</v>
      </c>
      <c r="R1971" t="str">
        <f>"1"</f>
        <v>1</v>
      </c>
      <c r="S1971" t="s">
        <v>836</v>
      </c>
      <c r="T1971" t="s">
        <v>836</v>
      </c>
      <c r="U1971" t="str">
        <f t="shared" ref="U1971:U1985" si="559">"2500-12-31 00:00:00.0"</f>
        <v>2500-12-31 00:00:00.0</v>
      </c>
      <c r="V1971" t="s">
        <v>837</v>
      </c>
      <c r="W1971" t="str">
        <f t="shared" si="558"/>
        <v>048314-038430-**-**</v>
      </c>
      <c r="X1971" t="s">
        <v>838</v>
      </c>
      <c r="Y1971">
        <v>350</v>
      </c>
      <c r="Z1971">
        <v>1206.25</v>
      </c>
      <c r="AA1971" t="str">
        <f t="shared" si="545"/>
        <v>06/08/2016</v>
      </c>
    </row>
    <row r="1972" spans="1:27" x14ac:dyDescent="0.3">
      <c r="A1972" t="str">
        <f t="shared" si="548"/>
        <v>048314</v>
      </c>
      <c r="B1972" t="str">
        <f t="shared" si="557"/>
        <v>038430</v>
      </c>
      <c r="C1972" t="s">
        <v>2970</v>
      </c>
      <c r="D1972" t="s">
        <v>3839</v>
      </c>
      <c r="E1972" t="s">
        <v>3840</v>
      </c>
      <c r="F1972" t="s">
        <v>3841</v>
      </c>
      <c r="G1972" t="s">
        <v>3842</v>
      </c>
      <c r="H1972" t="str">
        <f t="shared" si="544"/>
        <v>048314</v>
      </c>
      <c r="I1972" t="s">
        <v>833</v>
      </c>
      <c r="J1972" t="str">
        <f t="shared" ref="J1972:J1977" si="560">"2015-07-01 00:00:00.0"</f>
        <v>2015-07-01 00:00:00.0</v>
      </c>
      <c r="K1972" t="s">
        <v>834</v>
      </c>
      <c r="L1972" t="s">
        <v>0</v>
      </c>
      <c r="M1972" t="str">
        <f t="shared" si="554"/>
        <v>048314</v>
      </c>
      <c r="N1972">
        <v>1</v>
      </c>
      <c r="O1972">
        <v>1</v>
      </c>
      <c r="P1972" t="str">
        <f>"01"</f>
        <v>01</v>
      </c>
      <c r="Q1972" t="str">
        <f>"01"</f>
        <v>01</v>
      </c>
      <c r="R1972" t="str">
        <f>"5"</f>
        <v>5</v>
      </c>
      <c r="S1972" t="s">
        <v>836</v>
      </c>
      <c r="T1972" t="s">
        <v>836</v>
      </c>
      <c r="U1972" t="str">
        <f t="shared" si="559"/>
        <v>2500-12-31 00:00:00.0</v>
      </c>
      <c r="V1972" t="s">
        <v>837</v>
      </c>
      <c r="W1972" t="str">
        <f t="shared" si="558"/>
        <v>048314-038430-**-**</v>
      </c>
      <c r="X1972" t="s">
        <v>838</v>
      </c>
      <c r="Y1972">
        <v>1206.25</v>
      </c>
      <c r="Z1972">
        <v>1206.25</v>
      </c>
      <c r="AA1972" t="str">
        <f t="shared" si="545"/>
        <v>06/08/2016</v>
      </c>
    </row>
    <row r="1973" spans="1:27" x14ac:dyDescent="0.3">
      <c r="A1973" t="str">
        <f t="shared" si="548"/>
        <v>048314</v>
      </c>
      <c r="B1973" t="str">
        <f t="shared" si="557"/>
        <v>038430</v>
      </c>
      <c r="C1973" t="s">
        <v>2971</v>
      </c>
      <c r="D1973" t="s">
        <v>3839</v>
      </c>
      <c r="E1973" t="s">
        <v>3840</v>
      </c>
      <c r="F1973" t="s">
        <v>3841</v>
      </c>
      <c r="G1973" t="s">
        <v>3842</v>
      </c>
      <c r="H1973" t="str">
        <f t="shared" si="544"/>
        <v>048314</v>
      </c>
      <c r="I1973" t="s">
        <v>833</v>
      </c>
      <c r="J1973" t="str">
        <f t="shared" si="560"/>
        <v>2015-07-01 00:00:00.0</v>
      </c>
      <c r="K1973" t="s">
        <v>834</v>
      </c>
      <c r="L1973" t="s">
        <v>0</v>
      </c>
      <c r="M1973" t="str">
        <f t="shared" si="554"/>
        <v>048314</v>
      </c>
      <c r="N1973">
        <v>1</v>
      </c>
      <c r="O1973">
        <v>1</v>
      </c>
      <c r="P1973" t="str">
        <f>"01"</f>
        <v>01</v>
      </c>
      <c r="Q1973" t="str">
        <f>"10"</f>
        <v>10</v>
      </c>
      <c r="R1973" t="str">
        <f>"2"</f>
        <v>2</v>
      </c>
      <c r="S1973" t="s">
        <v>836</v>
      </c>
      <c r="T1973" t="s">
        <v>836</v>
      </c>
      <c r="U1973" t="str">
        <f t="shared" si="559"/>
        <v>2500-12-31 00:00:00.0</v>
      </c>
      <c r="V1973" t="s">
        <v>837</v>
      </c>
      <c r="W1973" t="str">
        <f t="shared" si="558"/>
        <v>048314-038430-**-**</v>
      </c>
      <c r="X1973" t="s">
        <v>838</v>
      </c>
      <c r="Y1973">
        <v>1206.25</v>
      </c>
      <c r="Z1973">
        <v>1206.25</v>
      </c>
      <c r="AA1973" t="str">
        <f t="shared" si="545"/>
        <v>06/08/2016</v>
      </c>
    </row>
    <row r="1974" spans="1:27" x14ac:dyDescent="0.3">
      <c r="A1974" t="str">
        <f t="shared" si="548"/>
        <v>048314</v>
      </c>
      <c r="B1974" t="str">
        <f t="shared" si="557"/>
        <v>038430</v>
      </c>
      <c r="C1974" t="s">
        <v>3307</v>
      </c>
      <c r="D1974" t="s">
        <v>3839</v>
      </c>
      <c r="E1974" t="s">
        <v>3840</v>
      </c>
      <c r="F1974" t="s">
        <v>3841</v>
      </c>
      <c r="G1974" t="s">
        <v>3842</v>
      </c>
      <c r="H1974" t="str">
        <f t="shared" si="544"/>
        <v>048314</v>
      </c>
      <c r="I1974" t="s">
        <v>833</v>
      </c>
      <c r="J1974" t="str">
        <f t="shared" si="560"/>
        <v>2015-07-01 00:00:00.0</v>
      </c>
      <c r="K1974" t="s">
        <v>834</v>
      </c>
      <c r="L1974" t="s">
        <v>0</v>
      </c>
      <c r="M1974" t="str">
        <f t="shared" si="554"/>
        <v>048314</v>
      </c>
      <c r="N1974">
        <v>1</v>
      </c>
      <c r="O1974">
        <v>1</v>
      </c>
      <c r="P1974" t="str">
        <f>"04"</f>
        <v>04</v>
      </c>
      <c r="Q1974" t="s">
        <v>835</v>
      </c>
      <c r="S1974" t="s">
        <v>836</v>
      </c>
      <c r="T1974" t="s">
        <v>836</v>
      </c>
      <c r="U1974" t="str">
        <f t="shared" si="559"/>
        <v>2500-12-31 00:00:00.0</v>
      </c>
      <c r="V1974" t="s">
        <v>837</v>
      </c>
      <c r="W1974" t="str">
        <f t="shared" si="558"/>
        <v>048314-038430-**-**</v>
      </c>
      <c r="X1974" t="s">
        <v>838</v>
      </c>
      <c r="Y1974">
        <v>1206.25</v>
      </c>
      <c r="Z1974">
        <v>1206.25</v>
      </c>
      <c r="AA1974" t="str">
        <f t="shared" si="545"/>
        <v>06/08/2016</v>
      </c>
    </row>
    <row r="1975" spans="1:27" x14ac:dyDescent="0.3">
      <c r="A1975" t="str">
        <f t="shared" si="548"/>
        <v>048314</v>
      </c>
      <c r="B1975" t="str">
        <f t="shared" si="557"/>
        <v>038430</v>
      </c>
      <c r="C1975" t="s">
        <v>3480</v>
      </c>
      <c r="D1975" t="s">
        <v>3839</v>
      </c>
      <c r="E1975" t="s">
        <v>3840</v>
      </c>
      <c r="F1975" t="s">
        <v>3841</v>
      </c>
      <c r="G1975" t="s">
        <v>3842</v>
      </c>
      <c r="H1975" t="str">
        <f>"048397"</f>
        <v>048397</v>
      </c>
      <c r="I1975" t="s">
        <v>833</v>
      </c>
      <c r="J1975" t="str">
        <f t="shared" si="560"/>
        <v>2015-07-01 00:00:00.0</v>
      </c>
      <c r="K1975" t="s">
        <v>834</v>
      </c>
      <c r="L1975" t="s">
        <v>1</v>
      </c>
      <c r="M1975" t="str">
        <f t="shared" si="554"/>
        <v>048314</v>
      </c>
      <c r="N1975">
        <v>1</v>
      </c>
      <c r="O1975">
        <v>1</v>
      </c>
      <c r="P1975" t="str">
        <f>"02"</f>
        <v>02</v>
      </c>
      <c r="Q1975" t="s">
        <v>835</v>
      </c>
      <c r="S1975" t="s">
        <v>860</v>
      </c>
      <c r="T1975" t="s">
        <v>836</v>
      </c>
      <c r="U1975" t="str">
        <f t="shared" si="559"/>
        <v>2500-12-31 00:00:00.0</v>
      </c>
      <c r="V1975" t="s">
        <v>837</v>
      </c>
      <c r="W1975" t="str">
        <f>"048397-010298-**-**"</f>
        <v>048397-010298-**-**</v>
      </c>
      <c r="X1975" t="s">
        <v>838</v>
      </c>
      <c r="Y1975">
        <v>1113.0999999999999</v>
      </c>
      <c r="Z1975">
        <v>1113.0999999999999</v>
      </c>
      <c r="AA1975" t="str">
        <f t="shared" si="545"/>
        <v>06/08/2016</v>
      </c>
    </row>
    <row r="1976" spans="1:27" x14ac:dyDescent="0.3">
      <c r="A1976" t="str">
        <f t="shared" si="548"/>
        <v>048314</v>
      </c>
      <c r="B1976" t="str">
        <f t="shared" si="557"/>
        <v>038430</v>
      </c>
      <c r="C1976" t="s">
        <v>1435</v>
      </c>
      <c r="D1976" t="s">
        <v>3839</v>
      </c>
      <c r="E1976" t="s">
        <v>3840</v>
      </c>
      <c r="F1976" t="s">
        <v>3841</v>
      </c>
      <c r="G1976" t="s">
        <v>3842</v>
      </c>
      <c r="H1976" t="str">
        <f>"048397"</f>
        <v>048397</v>
      </c>
      <c r="I1976" t="s">
        <v>833</v>
      </c>
      <c r="J1976" t="str">
        <f t="shared" si="560"/>
        <v>2015-07-01 00:00:00.0</v>
      </c>
      <c r="K1976" t="s">
        <v>834</v>
      </c>
      <c r="L1976" t="s">
        <v>1</v>
      </c>
      <c r="M1976" t="str">
        <f t="shared" si="554"/>
        <v>048314</v>
      </c>
      <c r="N1976">
        <v>1</v>
      </c>
      <c r="O1976">
        <v>1</v>
      </c>
      <c r="P1976" t="str">
        <f>"01"</f>
        <v>01</v>
      </c>
      <c r="Q1976" t="s">
        <v>835</v>
      </c>
      <c r="S1976" t="s">
        <v>860</v>
      </c>
      <c r="T1976" t="s">
        <v>836</v>
      </c>
      <c r="U1976" t="str">
        <f t="shared" si="559"/>
        <v>2500-12-31 00:00:00.0</v>
      </c>
      <c r="V1976" t="s">
        <v>837</v>
      </c>
      <c r="W1976" t="str">
        <f>"048397-010298-**-**"</f>
        <v>048397-010298-**-**</v>
      </c>
      <c r="X1976" t="s">
        <v>838</v>
      </c>
      <c r="Y1976">
        <v>1113.0999999999999</v>
      </c>
      <c r="Z1976">
        <v>1113.0999999999999</v>
      </c>
      <c r="AA1976" t="str">
        <f t="shared" si="545"/>
        <v>06/08/2016</v>
      </c>
    </row>
    <row r="1977" spans="1:27" x14ac:dyDescent="0.3">
      <c r="A1977" t="str">
        <f t="shared" si="548"/>
        <v>048314</v>
      </c>
      <c r="B1977" t="str">
        <f t="shared" si="557"/>
        <v>038430</v>
      </c>
      <c r="C1977" t="s">
        <v>3144</v>
      </c>
      <c r="D1977" t="s">
        <v>3839</v>
      </c>
      <c r="E1977" t="s">
        <v>3840</v>
      </c>
      <c r="F1977" t="s">
        <v>3841</v>
      </c>
      <c r="G1977" t="s">
        <v>3842</v>
      </c>
      <c r="H1977" t="str">
        <f>"048397"</f>
        <v>048397</v>
      </c>
      <c r="I1977" t="s">
        <v>833</v>
      </c>
      <c r="J1977" t="str">
        <f t="shared" si="560"/>
        <v>2015-07-01 00:00:00.0</v>
      </c>
      <c r="K1977" t="s">
        <v>834</v>
      </c>
      <c r="L1977" t="s">
        <v>1</v>
      </c>
      <c r="M1977" t="str">
        <f t="shared" si="554"/>
        <v>048314</v>
      </c>
      <c r="N1977">
        <v>1</v>
      </c>
      <c r="O1977">
        <v>1</v>
      </c>
      <c r="P1977" t="str">
        <f>"05"</f>
        <v>05</v>
      </c>
      <c r="Q1977" t="s">
        <v>835</v>
      </c>
      <c r="S1977" t="s">
        <v>860</v>
      </c>
      <c r="T1977" t="s">
        <v>836</v>
      </c>
      <c r="U1977" t="str">
        <f t="shared" si="559"/>
        <v>2500-12-31 00:00:00.0</v>
      </c>
      <c r="V1977" t="s">
        <v>837</v>
      </c>
      <c r="W1977" t="str">
        <f>"048397-010298-**-**"</f>
        <v>048397-010298-**-**</v>
      </c>
      <c r="X1977" t="s">
        <v>838</v>
      </c>
      <c r="Y1977">
        <v>1113.0999999999999</v>
      </c>
      <c r="Z1977">
        <v>1113.0999999999999</v>
      </c>
      <c r="AA1977" t="str">
        <f t="shared" ref="AA1977:AA1988" si="561">"06/08/2016"</f>
        <v>06/08/2016</v>
      </c>
    </row>
    <row r="1978" spans="1:27" x14ac:dyDescent="0.3">
      <c r="A1978" t="str">
        <f t="shared" si="548"/>
        <v>048314</v>
      </c>
      <c r="B1978" t="str">
        <f t="shared" si="557"/>
        <v>038430</v>
      </c>
      <c r="C1978" t="s">
        <v>1078</v>
      </c>
      <c r="D1978" t="s">
        <v>3839</v>
      </c>
      <c r="E1978" t="s">
        <v>3840</v>
      </c>
      <c r="F1978" t="s">
        <v>3841</v>
      </c>
      <c r="G1978" t="s">
        <v>3842</v>
      </c>
      <c r="H1978" t="str">
        <f t="shared" ref="H1978:H1988" si="562">"048314"</f>
        <v>048314</v>
      </c>
      <c r="I1978" t="s">
        <v>833</v>
      </c>
      <c r="J1978" t="str">
        <f>"2015-08-01 00:00:00.0"</f>
        <v>2015-08-01 00:00:00.0</v>
      </c>
      <c r="K1978" t="s">
        <v>834</v>
      </c>
      <c r="L1978" t="s">
        <v>0</v>
      </c>
      <c r="M1978" t="str">
        <f t="shared" si="554"/>
        <v>048314</v>
      </c>
      <c r="N1978">
        <v>1</v>
      </c>
      <c r="O1978">
        <v>1</v>
      </c>
      <c r="P1978" t="s">
        <v>764</v>
      </c>
      <c r="Q1978" t="s">
        <v>835</v>
      </c>
      <c r="S1978" t="s">
        <v>836</v>
      </c>
      <c r="T1978" t="s">
        <v>836</v>
      </c>
      <c r="U1978" t="str">
        <f t="shared" si="559"/>
        <v>2500-12-31 00:00:00.0</v>
      </c>
      <c r="V1978" t="s">
        <v>837</v>
      </c>
      <c r="W1978" t="str">
        <f>"048314-038430-**-**"</f>
        <v>048314-038430-**-**</v>
      </c>
      <c r="X1978" t="s">
        <v>838</v>
      </c>
      <c r="Y1978">
        <v>1206.25</v>
      </c>
      <c r="Z1978">
        <v>1206.25</v>
      </c>
      <c r="AA1978" t="str">
        <f t="shared" si="561"/>
        <v>06/08/2016</v>
      </c>
    </row>
    <row r="1979" spans="1:27" x14ac:dyDescent="0.3">
      <c r="A1979" t="str">
        <f t="shared" si="548"/>
        <v>048314</v>
      </c>
      <c r="B1979" t="str">
        <f t="shared" si="557"/>
        <v>038430</v>
      </c>
      <c r="C1979" t="s">
        <v>2924</v>
      </c>
      <c r="D1979" t="s">
        <v>3839</v>
      </c>
      <c r="E1979" t="s">
        <v>3840</v>
      </c>
      <c r="F1979" t="s">
        <v>3841</v>
      </c>
      <c r="G1979" t="s">
        <v>3842</v>
      </c>
      <c r="H1979" t="str">
        <f t="shared" si="562"/>
        <v>048314</v>
      </c>
      <c r="I1979" t="s">
        <v>833</v>
      </c>
      <c r="J1979" t="str">
        <f>"2015-07-01 00:00:00.0"</f>
        <v>2015-07-01 00:00:00.0</v>
      </c>
      <c r="K1979" t="s">
        <v>834</v>
      </c>
      <c r="L1979" t="s">
        <v>0</v>
      </c>
      <c r="M1979" t="str">
        <f t="shared" si="554"/>
        <v>048314</v>
      </c>
      <c r="N1979">
        <v>1</v>
      </c>
      <c r="O1979">
        <v>1</v>
      </c>
      <c r="P1979" t="str">
        <f>"05"</f>
        <v>05</v>
      </c>
      <c r="Q1979" t="s">
        <v>835</v>
      </c>
      <c r="S1979" t="s">
        <v>836</v>
      </c>
      <c r="T1979" t="s">
        <v>836</v>
      </c>
      <c r="U1979" t="str">
        <f t="shared" si="559"/>
        <v>2500-12-31 00:00:00.0</v>
      </c>
      <c r="V1979" t="s">
        <v>837</v>
      </c>
      <c r="W1979" t="str">
        <f>"048314-070417-**-**"</f>
        <v>048314-070417-**-**</v>
      </c>
      <c r="X1979" t="s">
        <v>838</v>
      </c>
      <c r="Y1979">
        <v>1125</v>
      </c>
      <c r="Z1979">
        <v>1125</v>
      </c>
      <c r="AA1979" t="str">
        <f t="shared" si="561"/>
        <v>06/08/2016</v>
      </c>
    </row>
    <row r="1980" spans="1:27" x14ac:dyDescent="0.3">
      <c r="A1980" t="str">
        <f t="shared" si="548"/>
        <v>048314</v>
      </c>
      <c r="B1980" t="str">
        <f t="shared" si="557"/>
        <v>038430</v>
      </c>
      <c r="C1980" t="s">
        <v>3521</v>
      </c>
      <c r="D1980" t="s">
        <v>3839</v>
      </c>
      <c r="E1980" t="s">
        <v>3840</v>
      </c>
      <c r="F1980" t="s">
        <v>3841</v>
      </c>
      <c r="G1980" t="s">
        <v>3842</v>
      </c>
      <c r="H1980" t="str">
        <f t="shared" si="562"/>
        <v>048314</v>
      </c>
      <c r="I1980" t="s">
        <v>833</v>
      </c>
      <c r="J1980" t="str">
        <f>"2015-07-01 00:00:00.0"</f>
        <v>2015-07-01 00:00:00.0</v>
      </c>
      <c r="K1980" t="s">
        <v>834</v>
      </c>
      <c r="L1980" t="s">
        <v>0</v>
      </c>
      <c r="M1980" t="str">
        <f t="shared" si="554"/>
        <v>048314</v>
      </c>
      <c r="N1980">
        <v>1</v>
      </c>
      <c r="O1980">
        <v>1</v>
      </c>
      <c r="P1980" t="str">
        <f>"03"</f>
        <v>03</v>
      </c>
      <c r="Q1980" t="s">
        <v>835</v>
      </c>
      <c r="S1980" t="s">
        <v>836</v>
      </c>
      <c r="T1980" t="s">
        <v>836</v>
      </c>
      <c r="U1980" t="str">
        <f t="shared" si="559"/>
        <v>2500-12-31 00:00:00.0</v>
      </c>
      <c r="V1980" t="s">
        <v>837</v>
      </c>
      <c r="W1980" t="str">
        <f>"048314-038430-**-**"</f>
        <v>048314-038430-**-**</v>
      </c>
      <c r="X1980" t="s">
        <v>838</v>
      </c>
      <c r="Y1980">
        <v>1206.25</v>
      </c>
      <c r="Z1980">
        <v>1206.25</v>
      </c>
      <c r="AA1980" t="str">
        <f t="shared" si="561"/>
        <v>06/08/2016</v>
      </c>
    </row>
    <row r="1981" spans="1:27" x14ac:dyDescent="0.3">
      <c r="A1981" t="str">
        <f t="shared" si="548"/>
        <v>048314</v>
      </c>
      <c r="B1981" t="str">
        <f t="shared" si="557"/>
        <v>038430</v>
      </c>
      <c r="C1981" t="s">
        <v>3466</v>
      </c>
      <c r="D1981" t="s">
        <v>3839</v>
      </c>
      <c r="E1981" t="s">
        <v>3840</v>
      </c>
      <c r="F1981" t="s">
        <v>3841</v>
      </c>
      <c r="G1981" t="s">
        <v>3842</v>
      </c>
      <c r="H1981" t="str">
        <f t="shared" si="562"/>
        <v>048314</v>
      </c>
      <c r="I1981" t="s">
        <v>833</v>
      </c>
      <c r="J1981" t="str">
        <f>"2015-08-01 00:00:00.0"</f>
        <v>2015-08-01 00:00:00.0</v>
      </c>
      <c r="K1981" t="s">
        <v>834</v>
      </c>
      <c r="L1981" t="s">
        <v>0</v>
      </c>
      <c r="M1981" t="str">
        <f t="shared" si="554"/>
        <v>048314</v>
      </c>
      <c r="N1981">
        <v>1</v>
      </c>
      <c r="O1981">
        <v>1</v>
      </c>
      <c r="P1981" t="s">
        <v>764</v>
      </c>
      <c r="Q1981" t="s">
        <v>835</v>
      </c>
      <c r="S1981" t="s">
        <v>836</v>
      </c>
      <c r="T1981" t="s">
        <v>836</v>
      </c>
      <c r="U1981" t="str">
        <f t="shared" si="559"/>
        <v>2500-12-31 00:00:00.0</v>
      </c>
      <c r="V1981" t="s">
        <v>837</v>
      </c>
      <c r="W1981" t="str">
        <f>"048314-038430-**-**"</f>
        <v>048314-038430-**-**</v>
      </c>
      <c r="X1981" t="s">
        <v>838</v>
      </c>
      <c r="Y1981">
        <v>1206.25</v>
      </c>
      <c r="Z1981">
        <v>1206.25</v>
      </c>
      <c r="AA1981" t="str">
        <f t="shared" si="561"/>
        <v>06/08/2016</v>
      </c>
    </row>
    <row r="1982" spans="1:27" x14ac:dyDescent="0.3">
      <c r="A1982" t="str">
        <f t="shared" si="548"/>
        <v>048314</v>
      </c>
      <c r="B1982" t="str">
        <f t="shared" si="557"/>
        <v>038430</v>
      </c>
      <c r="C1982" t="s">
        <v>2926</v>
      </c>
      <c r="D1982" t="s">
        <v>3839</v>
      </c>
      <c r="E1982" t="s">
        <v>3840</v>
      </c>
      <c r="F1982" t="s">
        <v>3841</v>
      </c>
      <c r="G1982" t="s">
        <v>3842</v>
      </c>
      <c r="H1982" t="str">
        <f t="shared" si="562"/>
        <v>048314</v>
      </c>
      <c r="I1982" t="s">
        <v>833</v>
      </c>
      <c r="J1982" t="str">
        <f>"2015-07-01 00:00:00.0"</f>
        <v>2015-07-01 00:00:00.0</v>
      </c>
      <c r="K1982" t="s">
        <v>834</v>
      </c>
      <c r="L1982" t="s">
        <v>0</v>
      </c>
      <c r="M1982" t="str">
        <f t="shared" si="554"/>
        <v>048314</v>
      </c>
      <c r="N1982">
        <v>1</v>
      </c>
      <c r="O1982">
        <v>1</v>
      </c>
      <c r="P1982" t="str">
        <f>"05"</f>
        <v>05</v>
      </c>
      <c r="Q1982" t="s">
        <v>835</v>
      </c>
      <c r="S1982" t="s">
        <v>836</v>
      </c>
      <c r="T1982" t="s">
        <v>836</v>
      </c>
      <c r="U1982" t="str">
        <f t="shared" si="559"/>
        <v>2500-12-31 00:00:00.0</v>
      </c>
      <c r="V1982" t="s">
        <v>837</v>
      </c>
      <c r="W1982" t="str">
        <f>"048314-070417-**-**"</f>
        <v>048314-070417-**-**</v>
      </c>
      <c r="X1982" t="s">
        <v>838</v>
      </c>
      <c r="Y1982">
        <v>1125</v>
      </c>
      <c r="Z1982">
        <v>1125</v>
      </c>
      <c r="AA1982" t="str">
        <f t="shared" si="561"/>
        <v>06/08/2016</v>
      </c>
    </row>
    <row r="1983" spans="1:27" x14ac:dyDescent="0.3">
      <c r="A1983" t="str">
        <f t="shared" si="548"/>
        <v>048314</v>
      </c>
      <c r="B1983" t="str">
        <f t="shared" si="557"/>
        <v>038430</v>
      </c>
      <c r="C1983" t="s">
        <v>2927</v>
      </c>
      <c r="D1983" t="s">
        <v>3839</v>
      </c>
      <c r="E1983" t="s">
        <v>3840</v>
      </c>
      <c r="F1983" t="s">
        <v>3841</v>
      </c>
      <c r="G1983" t="s">
        <v>3842</v>
      </c>
      <c r="H1983" t="str">
        <f t="shared" si="562"/>
        <v>048314</v>
      </c>
      <c r="I1983" t="s">
        <v>833</v>
      </c>
      <c r="J1983" t="str">
        <f>"2015-07-01 00:00:00.0"</f>
        <v>2015-07-01 00:00:00.0</v>
      </c>
      <c r="K1983" t="s">
        <v>834</v>
      </c>
      <c r="L1983" t="s">
        <v>0</v>
      </c>
      <c r="M1983" t="str">
        <f t="shared" si="554"/>
        <v>048314</v>
      </c>
      <c r="N1983">
        <v>1</v>
      </c>
      <c r="O1983">
        <v>1</v>
      </c>
      <c r="P1983" t="str">
        <f>"05"</f>
        <v>05</v>
      </c>
      <c r="Q1983" t="s">
        <v>835</v>
      </c>
      <c r="S1983" t="s">
        <v>836</v>
      </c>
      <c r="T1983" t="s">
        <v>836</v>
      </c>
      <c r="U1983" t="str">
        <f t="shared" si="559"/>
        <v>2500-12-31 00:00:00.0</v>
      </c>
      <c r="V1983" t="s">
        <v>837</v>
      </c>
      <c r="W1983" t="str">
        <f>"048314-070417-**-**"</f>
        <v>048314-070417-**-**</v>
      </c>
      <c r="X1983" t="s">
        <v>838</v>
      </c>
      <c r="Y1983">
        <v>1125</v>
      </c>
      <c r="Z1983">
        <v>1125</v>
      </c>
      <c r="AA1983" t="str">
        <f t="shared" si="561"/>
        <v>06/08/2016</v>
      </c>
    </row>
    <row r="1984" spans="1:27" x14ac:dyDescent="0.3">
      <c r="A1984" t="str">
        <f t="shared" si="548"/>
        <v>048314</v>
      </c>
      <c r="B1984" t="str">
        <f t="shared" si="557"/>
        <v>038430</v>
      </c>
      <c r="C1984" t="s">
        <v>3364</v>
      </c>
      <c r="D1984" t="s">
        <v>3839</v>
      </c>
      <c r="E1984" t="s">
        <v>3840</v>
      </c>
      <c r="F1984" t="s">
        <v>3841</v>
      </c>
      <c r="G1984" t="s">
        <v>3842</v>
      </c>
      <c r="H1984" t="str">
        <f t="shared" si="562"/>
        <v>048314</v>
      </c>
      <c r="I1984" t="s">
        <v>833</v>
      </c>
      <c r="J1984" t="str">
        <f>"2015-07-01 00:00:00.0"</f>
        <v>2015-07-01 00:00:00.0</v>
      </c>
      <c r="K1984" t="s">
        <v>834</v>
      </c>
      <c r="L1984" t="s">
        <v>0</v>
      </c>
      <c r="M1984" t="str">
        <f t="shared" si="554"/>
        <v>048314</v>
      </c>
      <c r="N1984">
        <v>1</v>
      </c>
      <c r="O1984">
        <v>1</v>
      </c>
      <c r="P1984" t="str">
        <f>"04"</f>
        <v>04</v>
      </c>
      <c r="Q1984" t="s">
        <v>835</v>
      </c>
      <c r="S1984" t="s">
        <v>860</v>
      </c>
      <c r="T1984" t="s">
        <v>836</v>
      </c>
      <c r="U1984" t="str">
        <f t="shared" si="559"/>
        <v>2500-12-31 00:00:00.0</v>
      </c>
      <c r="V1984" t="s">
        <v>837</v>
      </c>
      <c r="W1984" t="str">
        <f>"048314-038430-**-**"</f>
        <v>048314-038430-**-**</v>
      </c>
      <c r="X1984" t="s">
        <v>838</v>
      </c>
      <c r="Y1984">
        <v>1206.25</v>
      </c>
      <c r="Z1984">
        <v>1206.25</v>
      </c>
      <c r="AA1984" t="str">
        <f t="shared" si="561"/>
        <v>06/08/2016</v>
      </c>
    </row>
    <row r="1985" spans="1:27" x14ac:dyDescent="0.3">
      <c r="A1985" t="str">
        <f t="shared" si="548"/>
        <v>048314</v>
      </c>
      <c r="B1985" t="str">
        <f t="shared" si="557"/>
        <v>038430</v>
      </c>
      <c r="C1985" t="s">
        <v>1114</v>
      </c>
      <c r="D1985" t="s">
        <v>3839</v>
      </c>
      <c r="E1985" t="s">
        <v>3840</v>
      </c>
      <c r="F1985" t="s">
        <v>3841</v>
      </c>
      <c r="G1985" t="s">
        <v>3842</v>
      </c>
      <c r="H1985" t="str">
        <f t="shared" si="562"/>
        <v>048314</v>
      </c>
      <c r="I1985" t="s">
        <v>833</v>
      </c>
      <c r="J1985" t="str">
        <f>"2015-12-07 00:00:00.0"</f>
        <v>2015-12-07 00:00:00.0</v>
      </c>
      <c r="K1985" t="s">
        <v>834</v>
      </c>
      <c r="L1985" t="s">
        <v>0</v>
      </c>
      <c r="M1985" t="str">
        <f t="shared" si="554"/>
        <v>048314</v>
      </c>
      <c r="N1985">
        <v>0.65285000000000004</v>
      </c>
      <c r="O1985">
        <v>0.65285000000000004</v>
      </c>
      <c r="P1985" t="str">
        <f>"02"</f>
        <v>02</v>
      </c>
      <c r="Q1985" t="s">
        <v>835</v>
      </c>
      <c r="S1985" t="s">
        <v>860</v>
      </c>
      <c r="T1985" t="s">
        <v>836</v>
      </c>
      <c r="U1985" t="str">
        <f t="shared" si="559"/>
        <v>2500-12-31 00:00:00.0</v>
      </c>
      <c r="V1985" t="s">
        <v>837</v>
      </c>
      <c r="W1985" t="str">
        <f>"048314-038430-**-**"</f>
        <v>048314-038430-**-**</v>
      </c>
      <c r="X1985" t="s">
        <v>838</v>
      </c>
      <c r="Y1985">
        <v>787.5</v>
      </c>
      <c r="Z1985">
        <v>1206.25</v>
      </c>
      <c r="AA1985" t="str">
        <f t="shared" si="561"/>
        <v>06/08/2016</v>
      </c>
    </row>
    <row r="1986" spans="1:27" x14ac:dyDescent="0.3">
      <c r="A1986" t="str">
        <f t="shared" ref="A1986:A2049" si="563">"048314"</f>
        <v>048314</v>
      </c>
      <c r="B1986" t="str">
        <f t="shared" si="557"/>
        <v>038430</v>
      </c>
      <c r="C1986" t="s">
        <v>1114</v>
      </c>
      <c r="D1986" t="s">
        <v>3839</v>
      </c>
      <c r="E1986" t="s">
        <v>3840</v>
      </c>
      <c r="F1986" t="s">
        <v>3841</v>
      </c>
      <c r="G1986" t="s">
        <v>3842</v>
      </c>
      <c r="H1986" t="str">
        <f t="shared" si="562"/>
        <v>048314</v>
      </c>
      <c r="I1986" t="s">
        <v>833</v>
      </c>
      <c r="J1986" t="str">
        <f t="shared" ref="J1986:J1992" si="564">"2015-07-01 00:00:00.0"</f>
        <v>2015-07-01 00:00:00.0</v>
      </c>
      <c r="K1986" t="s">
        <v>834</v>
      </c>
      <c r="L1986" t="s">
        <v>0</v>
      </c>
      <c r="M1986" t="str">
        <f t="shared" si="554"/>
        <v>048314</v>
      </c>
      <c r="N1986">
        <v>0.34715000000000001</v>
      </c>
      <c r="O1986">
        <v>0.34715000000000001</v>
      </c>
      <c r="P1986" t="str">
        <f>"02"</f>
        <v>02</v>
      </c>
      <c r="Q1986" t="str">
        <f>"05"</f>
        <v>05</v>
      </c>
      <c r="R1986" t="str">
        <f>"1"</f>
        <v>1</v>
      </c>
      <c r="S1986" t="s">
        <v>860</v>
      </c>
      <c r="T1986" t="s">
        <v>836</v>
      </c>
      <c r="U1986" t="str">
        <f>"2015-12-06 00:00:00.0"</f>
        <v>2015-12-06 00:00:00.0</v>
      </c>
      <c r="V1986" t="s">
        <v>837</v>
      </c>
      <c r="W1986" t="str">
        <f>"048314-038430-**-**"</f>
        <v>048314-038430-**-**</v>
      </c>
      <c r="X1986" t="s">
        <v>838</v>
      </c>
      <c r="Y1986">
        <v>418.75</v>
      </c>
      <c r="Z1986">
        <v>1206.25</v>
      </c>
      <c r="AA1986" t="str">
        <f t="shared" si="561"/>
        <v>06/08/2016</v>
      </c>
    </row>
    <row r="1987" spans="1:27" x14ac:dyDescent="0.3">
      <c r="A1987" t="str">
        <f t="shared" si="563"/>
        <v>048314</v>
      </c>
      <c r="B1987" t="str">
        <f t="shared" si="557"/>
        <v>038430</v>
      </c>
      <c r="C1987" t="s">
        <v>3277</v>
      </c>
      <c r="D1987" t="s">
        <v>3839</v>
      </c>
      <c r="E1987" t="s">
        <v>3840</v>
      </c>
      <c r="F1987" t="s">
        <v>3841</v>
      </c>
      <c r="G1987" t="s">
        <v>3842</v>
      </c>
      <c r="H1987" t="str">
        <f t="shared" si="562"/>
        <v>048314</v>
      </c>
      <c r="I1987" t="s">
        <v>833</v>
      </c>
      <c r="J1987" t="str">
        <f t="shared" si="564"/>
        <v>2015-07-01 00:00:00.0</v>
      </c>
      <c r="K1987" t="s">
        <v>834</v>
      </c>
      <c r="L1987" t="s">
        <v>0</v>
      </c>
      <c r="M1987" t="str">
        <f t="shared" si="554"/>
        <v>048314</v>
      </c>
      <c r="N1987">
        <v>1</v>
      </c>
      <c r="O1987">
        <v>1</v>
      </c>
      <c r="P1987" t="str">
        <f>"05"</f>
        <v>05</v>
      </c>
      <c r="Q1987" t="s">
        <v>835</v>
      </c>
      <c r="S1987" t="s">
        <v>836</v>
      </c>
      <c r="T1987" t="s">
        <v>836</v>
      </c>
      <c r="U1987" t="str">
        <f t="shared" ref="U1987:U2007" si="565">"2500-12-31 00:00:00.0"</f>
        <v>2500-12-31 00:00:00.0</v>
      </c>
      <c r="V1987" t="s">
        <v>837</v>
      </c>
      <c r="W1987" t="str">
        <f>"048314-070417-**-**"</f>
        <v>048314-070417-**-**</v>
      </c>
      <c r="X1987" t="s">
        <v>838</v>
      </c>
      <c r="Y1987">
        <v>1125</v>
      </c>
      <c r="Z1987">
        <v>1125</v>
      </c>
      <c r="AA1987" t="str">
        <f t="shared" si="561"/>
        <v>06/08/2016</v>
      </c>
    </row>
    <row r="1988" spans="1:27" x14ac:dyDescent="0.3">
      <c r="A1988" t="str">
        <f t="shared" si="563"/>
        <v>048314</v>
      </c>
      <c r="B1988" t="str">
        <f t="shared" si="557"/>
        <v>038430</v>
      </c>
      <c r="C1988" t="s">
        <v>3086</v>
      </c>
      <c r="D1988" t="s">
        <v>3839</v>
      </c>
      <c r="E1988" t="s">
        <v>3840</v>
      </c>
      <c r="F1988" t="s">
        <v>3841</v>
      </c>
      <c r="G1988" t="s">
        <v>3842</v>
      </c>
      <c r="H1988" t="str">
        <f t="shared" si="562"/>
        <v>048314</v>
      </c>
      <c r="I1988" t="s">
        <v>833</v>
      </c>
      <c r="J1988" t="str">
        <f t="shared" si="564"/>
        <v>2015-07-01 00:00:00.0</v>
      </c>
      <c r="K1988" t="s">
        <v>834</v>
      </c>
      <c r="L1988" t="s">
        <v>0</v>
      </c>
      <c r="M1988" t="str">
        <f t="shared" si="554"/>
        <v>048314</v>
      </c>
      <c r="N1988">
        <v>1</v>
      </c>
      <c r="O1988">
        <v>1</v>
      </c>
      <c r="P1988" t="str">
        <f>"03"</f>
        <v>03</v>
      </c>
      <c r="Q1988" t="s">
        <v>835</v>
      </c>
      <c r="S1988" t="s">
        <v>836</v>
      </c>
      <c r="T1988" t="s">
        <v>836</v>
      </c>
      <c r="U1988" t="str">
        <f t="shared" si="565"/>
        <v>2500-12-31 00:00:00.0</v>
      </c>
      <c r="V1988" t="s">
        <v>837</v>
      </c>
      <c r="W1988" t="str">
        <f>"048314-038430-**-**"</f>
        <v>048314-038430-**-**</v>
      </c>
      <c r="X1988" t="s">
        <v>838</v>
      </c>
      <c r="Y1988">
        <v>1206.25</v>
      </c>
      <c r="Z1988">
        <v>1206.25</v>
      </c>
      <c r="AA1988" t="str">
        <f t="shared" si="561"/>
        <v>06/08/2016</v>
      </c>
    </row>
    <row r="1989" spans="1:27" x14ac:dyDescent="0.3">
      <c r="A1989" t="str">
        <f t="shared" si="563"/>
        <v>048314</v>
      </c>
      <c r="B1989" t="str">
        <f t="shared" si="557"/>
        <v>038430</v>
      </c>
      <c r="C1989" t="s">
        <v>3669</v>
      </c>
      <c r="D1989" t="s">
        <v>3839</v>
      </c>
      <c r="E1989" t="s">
        <v>3840</v>
      </c>
      <c r="F1989" t="s">
        <v>3841</v>
      </c>
      <c r="G1989" t="s">
        <v>3842</v>
      </c>
      <c r="H1989" t="str">
        <f>"048363"</f>
        <v>048363</v>
      </c>
      <c r="I1989" t="s">
        <v>833</v>
      </c>
      <c r="J1989" t="str">
        <f t="shared" si="564"/>
        <v>2015-07-01 00:00:00.0</v>
      </c>
      <c r="K1989" t="s">
        <v>834</v>
      </c>
      <c r="L1989" t="s">
        <v>1</v>
      </c>
      <c r="M1989" t="str">
        <f t="shared" si="554"/>
        <v>048314</v>
      </c>
      <c r="N1989">
        <v>1</v>
      </c>
      <c r="O1989">
        <v>1</v>
      </c>
      <c r="P1989" t="str">
        <f>"03"</f>
        <v>03</v>
      </c>
      <c r="Q1989" t="s">
        <v>835</v>
      </c>
      <c r="S1989" t="s">
        <v>836</v>
      </c>
      <c r="T1989" t="s">
        <v>836</v>
      </c>
      <c r="U1989" t="str">
        <f t="shared" si="565"/>
        <v>2500-12-31 00:00:00.0</v>
      </c>
      <c r="V1989" t="s">
        <v>837</v>
      </c>
      <c r="W1989" t="str">
        <f>"048363-026211-**-**"</f>
        <v>048363-026211-**-**</v>
      </c>
      <c r="X1989" t="s">
        <v>838</v>
      </c>
      <c r="Y1989">
        <v>1127</v>
      </c>
      <c r="Z1989">
        <v>1127</v>
      </c>
      <c r="AA1989" t="str">
        <f>"06/15/2016"</f>
        <v>06/15/2016</v>
      </c>
    </row>
    <row r="1990" spans="1:27" x14ac:dyDescent="0.3">
      <c r="A1990" t="str">
        <f t="shared" si="563"/>
        <v>048314</v>
      </c>
      <c r="B1990" t="str">
        <f t="shared" si="557"/>
        <v>038430</v>
      </c>
      <c r="C1990" t="s">
        <v>3401</v>
      </c>
      <c r="D1990" t="s">
        <v>3839</v>
      </c>
      <c r="E1990" t="s">
        <v>3840</v>
      </c>
      <c r="F1990" t="s">
        <v>3841</v>
      </c>
      <c r="G1990" t="s">
        <v>3842</v>
      </c>
      <c r="H1990" t="str">
        <f t="shared" ref="H1990:H1997" si="566">"048314"</f>
        <v>048314</v>
      </c>
      <c r="I1990" t="s">
        <v>833</v>
      </c>
      <c r="J1990" t="str">
        <f t="shared" si="564"/>
        <v>2015-07-01 00:00:00.0</v>
      </c>
      <c r="K1990" t="s">
        <v>834</v>
      </c>
      <c r="L1990" t="s">
        <v>0</v>
      </c>
      <c r="M1990" t="str">
        <f t="shared" si="554"/>
        <v>048314</v>
      </c>
      <c r="N1990">
        <v>1</v>
      </c>
      <c r="O1990">
        <v>1</v>
      </c>
      <c r="P1990" t="str">
        <f>"01"</f>
        <v>01</v>
      </c>
      <c r="Q1990" t="s">
        <v>835</v>
      </c>
      <c r="S1990" t="s">
        <v>836</v>
      </c>
      <c r="T1990" t="s">
        <v>836</v>
      </c>
      <c r="U1990" t="str">
        <f t="shared" si="565"/>
        <v>2500-12-31 00:00:00.0</v>
      </c>
      <c r="V1990" t="s">
        <v>837</v>
      </c>
      <c r="W1990" t="str">
        <f>"048314-038430-**-**"</f>
        <v>048314-038430-**-**</v>
      </c>
      <c r="X1990" t="s">
        <v>838</v>
      </c>
      <c r="Y1990">
        <v>1206.25</v>
      </c>
      <c r="Z1990">
        <v>1206.25</v>
      </c>
      <c r="AA1990" t="str">
        <f t="shared" ref="AA1990:AA1997" si="567">"06/08/2016"</f>
        <v>06/08/2016</v>
      </c>
    </row>
    <row r="1991" spans="1:27" x14ac:dyDescent="0.3">
      <c r="A1991" t="str">
        <f t="shared" si="563"/>
        <v>048314</v>
      </c>
      <c r="B1991" t="str">
        <f t="shared" si="557"/>
        <v>038430</v>
      </c>
      <c r="C1991" t="s">
        <v>1259</v>
      </c>
      <c r="D1991" t="s">
        <v>3839</v>
      </c>
      <c r="E1991" t="s">
        <v>3840</v>
      </c>
      <c r="F1991" t="s">
        <v>3841</v>
      </c>
      <c r="G1991" t="s">
        <v>3842</v>
      </c>
      <c r="H1991" t="str">
        <f t="shared" si="566"/>
        <v>048314</v>
      </c>
      <c r="I1991" t="s">
        <v>833</v>
      </c>
      <c r="J1991" t="str">
        <f t="shared" si="564"/>
        <v>2015-07-01 00:00:00.0</v>
      </c>
      <c r="K1991" t="s">
        <v>834</v>
      </c>
      <c r="L1991" t="s">
        <v>0</v>
      </c>
      <c r="M1991" t="str">
        <f t="shared" si="554"/>
        <v>048314</v>
      </c>
      <c r="N1991">
        <v>1</v>
      </c>
      <c r="O1991">
        <v>1</v>
      </c>
      <c r="P1991" t="str">
        <f>"01"</f>
        <v>01</v>
      </c>
      <c r="Q1991" t="s">
        <v>835</v>
      </c>
      <c r="S1991" t="s">
        <v>836</v>
      </c>
      <c r="T1991" t="s">
        <v>836</v>
      </c>
      <c r="U1991" t="str">
        <f t="shared" si="565"/>
        <v>2500-12-31 00:00:00.0</v>
      </c>
      <c r="V1991" t="s">
        <v>837</v>
      </c>
      <c r="W1991" t="str">
        <f>"048314-038430-**-**"</f>
        <v>048314-038430-**-**</v>
      </c>
      <c r="X1991" t="s">
        <v>838</v>
      </c>
      <c r="Y1991">
        <v>1206.25</v>
      </c>
      <c r="Z1991">
        <v>1206.25</v>
      </c>
      <c r="AA1991" t="str">
        <f t="shared" si="567"/>
        <v>06/08/2016</v>
      </c>
    </row>
    <row r="1992" spans="1:27" x14ac:dyDescent="0.3">
      <c r="A1992" t="str">
        <f t="shared" si="563"/>
        <v>048314</v>
      </c>
      <c r="B1992" t="str">
        <f t="shared" si="557"/>
        <v>038430</v>
      </c>
      <c r="C1992" t="s">
        <v>1785</v>
      </c>
      <c r="D1992" t="s">
        <v>3839</v>
      </c>
      <c r="E1992" t="s">
        <v>3840</v>
      </c>
      <c r="F1992" t="s">
        <v>3841</v>
      </c>
      <c r="G1992" t="s">
        <v>3842</v>
      </c>
      <c r="H1992" t="str">
        <f t="shared" si="566"/>
        <v>048314</v>
      </c>
      <c r="I1992" t="s">
        <v>833</v>
      </c>
      <c r="J1992" t="str">
        <f t="shared" si="564"/>
        <v>2015-07-01 00:00:00.0</v>
      </c>
      <c r="K1992" t="s">
        <v>834</v>
      </c>
      <c r="L1992" t="s">
        <v>0</v>
      </c>
      <c r="M1992" t="str">
        <f t="shared" si="554"/>
        <v>048314</v>
      </c>
      <c r="N1992">
        <v>1</v>
      </c>
      <c r="O1992">
        <v>1</v>
      </c>
      <c r="P1992" t="str">
        <f>"01"</f>
        <v>01</v>
      </c>
      <c r="Q1992" t="s">
        <v>835</v>
      </c>
      <c r="S1992" t="s">
        <v>836</v>
      </c>
      <c r="T1992" t="s">
        <v>836</v>
      </c>
      <c r="U1992" t="str">
        <f t="shared" si="565"/>
        <v>2500-12-31 00:00:00.0</v>
      </c>
      <c r="V1992" t="s">
        <v>837</v>
      </c>
      <c r="W1992" t="str">
        <f>"048314-038430-**-**"</f>
        <v>048314-038430-**-**</v>
      </c>
      <c r="X1992" t="s">
        <v>838</v>
      </c>
      <c r="Y1992">
        <v>1206.25</v>
      </c>
      <c r="Z1992">
        <v>1206.25</v>
      </c>
      <c r="AA1992" t="str">
        <f t="shared" si="567"/>
        <v>06/08/2016</v>
      </c>
    </row>
    <row r="1993" spans="1:27" x14ac:dyDescent="0.3">
      <c r="A1993" t="str">
        <f t="shared" si="563"/>
        <v>048314</v>
      </c>
      <c r="B1993" t="str">
        <f t="shared" si="557"/>
        <v>038430</v>
      </c>
      <c r="C1993" t="s">
        <v>3742</v>
      </c>
      <c r="D1993" t="s">
        <v>3839</v>
      </c>
      <c r="E1993" t="s">
        <v>3840</v>
      </c>
      <c r="F1993" t="s">
        <v>3841</v>
      </c>
      <c r="G1993" t="s">
        <v>3842</v>
      </c>
      <c r="H1993" t="str">
        <f t="shared" si="566"/>
        <v>048314</v>
      </c>
      <c r="I1993" t="s">
        <v>833</v>
      </c>
      <c r="J1993" t="str">
        <f>"2015-08-01 00:00:00.0"</f>
        <v>2015-08-01 00:00:00.0</v>
      </c>
      <c r="K1993" t="s">
        <v>834</v>
      </c>
      <c r="L1993" t="s">
        <v>0</v>
      </c>
      <c r="M1993" t="str">
        <f t="shared" si="554"/>
        <v>048314</v>
      </c>
      <c r="N1993">
        <v>1</v>
      </c>
      <c r="O1993">
        <v>1</v>
      </c>
      <c r="P1993" t="s">
        <v>764</v>
      </c>
      <c r="Q1993" t="s">
        <v>835</v>
      </c>
      <c r="S1993" t="s">
        <v>836</v>
      </c>
      <c r="T1993" t="s">
        <v>836</v>
      </c>
      <c r="U1993" t="str">
        <f t="shared" si="565"/>
        <v>2500-12-31 00:00:00.0</v>
      </c>
      <c r="V1993" t="s">
        <v>837</v>
      </c>
      <c r="W1993" t="str">
        <f>"048314-038430-**-**"</f>
        <v>048314-038430-**-**</v>
      </c>
      <c r="X1993" t="s">
        <v>838</v>
      </c>
      <c r="Y1993">
        <v>1206.25</v>
      </c>
      <c r="Z1993">
        <v>1206.25</v>
      </c>
      <c r="AA1993" t="str">
        <f t="shared" si="567"/>
        <v>06/08/2016</v>
      </c>
    </row>
    <row r="1994" spans="1:27" x14ac:dyDescent="0.3">
      <c r="A1994" t="str">
        <f t="shared" si="563"/>
        <v>048314</v>
      </c>
      <c r="B1994" t="str">
        <f t="shared" si="557"/>
        <v>038430</v>
      </c>
      <c r="C1994" t="s">
        <v>3029</v>
      </c>
      <c r="D1994" t="s">
        <v>3839</v>
      </c>
      <c r="E1994" t="s">
        <v>3840</v>
      </c>
      <c r="F1994" t="s">
        <v>3841</v>
      </c>
      <c r="G1994" t="s">
        <v>3842</v>
      </c>
      <c r="H1994" t="str">
        <f t="shared" si="566"/>
        <v>048314</v>
      </c>
      <c r="I1994" t="s">
        <v>833</v>
      </c>
      <c r="J1994" t="str">
        <f t="shared" ref="J1994:J2000" si="568">"2015-07-01 00:00:00.0"</f>
        <v>2015-07-01 00:00:00.0</v>
      </c>
      <c r="K1994" t="s">
        <v>834</v>
      </c>
      <c r="L1994" t="s">
        <v>0</v>
      </c>
      <c r="M1994" t="str">
        <f t="shared" si="554"/>
        <v>048314</v>
      </c>
      <c r="N1994">
        <v>1</v>
      </c>
      <c r="O1994">
        <v>1</v>
      </c>
      <c r="P1994" t="str">
        <f>"01"</f>
        <v>01</v>
      </c>
      <c r="Q1994" t="s">
        <v>835</v>
      </c>
      <c r="S1994" t="s">
        <v>836</v>
      </c>
      <c r="T1994" t="s">
        <v>836</v>
      </c>
      <c r="U1994" t="str">
        <f t="shared" si="565"/>
        <v>2500-12-31 00:00:00.0</v>
      </c>
      <c r="V1994" t="s">
        <v>837</v>
      </c>
      <c r="W1994" t="str">
        <f>"048314-038430-**-**"</f>
        <v>048314-038430-**-**</v>
      </c>
      <c r="X1994" t="s">
        <v>838</v>
      </c>
      <c r="Y1994">
        <v>1206.25</v>
      </c>
      <c r="Z1994">
        <v>1206.25</v>
      </c>
      <c r="AA1994" t="str">
        <f t="shared" si="567"/>
        <v>06/08/2016</v>
      </c>
    </row>
    <row r="1995" spans="1:27" x14ac:dyDescent="0.3">
      <c r="A1995" t="str">
        <f t="shared" si="563"/>
        <v>048314</v>
      </c>
      <c r="B1995" t="str">
        <f t="shared" si="557"/>
        <v>038430</v>
      </c>
      <c r="C1995" t="s">
        <v>3278</v>
      </c>
      <c r="D1995" t="s">
        <v>3839</v>
      </c>
      <c r="E1995" t="s">
        <v>3840</v>
      </c>
      <c r="F1995" t="s">
        <v>3841</v>
      </c>
      <c r="G1995" t="s">
        <v>3842</v>
      </c>
      <c r="H1995" t="str">
        <f t="shared" si="566"/>
        <v>048314</v>
      </c>
      <c r="I1995" t="s">
        <v>833</v>
      </c>
      <c r="J1995" t="str">
        <f t="shared" si="568"/>
        <v>2015-07-01 00:00:00.0</v>
      </c>
      <c r="K1995" t="s">
        <v>834</v>
      </c>
      <c r="L1995" t="s">
        <v>0</v>
      </c>
      <c r="M1995" t="str">
        <f t="shared" si="554"/>
        <v>048314</v>
      </c>
      <c r="N1995">
        <v>1</v>
      </c>
      <c r="O1995">
        <v>1</v>
      </c>
      <c r="P1995" t="str">
        <f>"05"</f>
        <v>05</v>
      </c>
      <c r="Q1995" t="s">
        <v>835</v>
      </c>
      <c r="S1995" t="s">
        <v>836</v>
      </c>
      <c r="T1995" t="s">
        <v>836</v>
      </c>
      <c r="U1995" t="str">
        <f t="shared" si="565"/>
        <v>2500-12-31 00:00:00.0</v>
      </c>
      <c r="V1995" t="s">
        <v>837</v>
      </c>
      <c r="W1995" t="str">
        <f>"048314-070417-**-**"</f>
        <v>048314-070417-**-**</v>
      </c>
      <c r="X1995" t="s">
        <v>838</v>
      </c>
      <c r="Y1995">
        <v>1125</v>
      </c>
      <c r="Z1995">
        <v>1125</v>
      </c>
      <c r="AA1995" t="str">
        <f t="shared" si="567"/>
        <v>06/08/2016</v>
      </c>
    </row>
    <row r="1996" spans="1:27" x14ac:dyDescent="0.3">
      <c r="A1996" t="str">
        <f t="shared" si="563"/>
        <v>048314</v>
      </c>
      <c r="B1996" t="str">
        <f t="shared" si="557"/>
        <v>038430</v>
      </c>
      <c r="C1996" t="s">
        <v>3204</v>
      </c>
      <c r="D1996" t="s">
        <v>3839</v>
      </c>
      <c r="E1996" t="s">
        <v>3840</v>
      </c>
      <c r="F1996" t="s">
        <v>3841</v>
      </c>
      <c r="G1996" t="s">
        <v>3842</v>
      </c>
      <c r="H1996" t="str">
        <f t="shared" si="566"/>
        <v>048314</v>
      </c>
      <c r="I1996" t="s">
        <v>833</v>
      </c>
      <c r="J1996" t="str">
        <f t="shared" si="568"/>
        <v>2015-07-01 00:00:00.0</v>
      </c>
      <c r="K1996" t="s">
        <v>834</v>
      </c>
      <c r="L1996" t="s">
        <v>0</v>
      </c>
      <c r="M1996" t="str">
        <f t="shared" si="554"/>
        <v>048314</v>
      </c>
      <c r="N1996">
        <v>1</v>
      </c>
      <c r="O1996">
        <v>1</v>
      </c>
      <c r="P1996" t="str">
        <f>"02"</f>
        <v>02</v>
      </c>
      <c r="Q1996" t="s">
        <v>835</v>
      </c>
      <c r="S1996" t="s">
        <v>836</v>
      </c>
      <c r="T1996" t="s">
        <v>836</v>
      </c>
      <c r="U1996" t="str">
        <f t="shared" si="565"/>
        <v>2500-12-31 00:00:00.0</v>
      </c>
      <c r="V1996" t="s">
        <v>837</v>
      </c>
      <c r="W1996" t="str">
        <f>"048314-038430-**-**"</f>
        <v>048314-038430-**-**</v>
      </c>
      <c r="X1996" t="s">
        <v>838</v>
      </c>
      <c r="Y1996">
        <v>1206.25</v>
      </c>
      <c r="Z1996">
        <v>1206.25</v>
      </c>
      <c r="AA1996" t="str">
        <f t="shared" si="567"/>
        <v>06/08/2016</v>
      </c>
    </row>
    <row r="1997" spans="1:27" x14ac:dyDescent="0.3">
      <c r="A1997" t="str">
        <f t="shared" si="563"/>
        <v>048314</v>
      </c>
      <c r="B1997" t="str">
        <f t="shared" si="557"/>
        <v>038430</v>
      </c>
      <c r="C1997" t="s">
        <v>850</v>
      </c>
      <c r="D1997" t="s">
        <v>3839</v>
      </c>
      <c r="E1997" t="s">
        <v>3840</v>
      </c>
      <c r="F1997" t="s">
        <v>3841</v>
      </c>
      <c r="G1997" t="s">
        <v>3842</v>
      </c>
      <c r="H1997" t="str">
        <f t="shared" si="566"/>
        <v>048314</v>
      </c>
      <c r="I1997" t="s">
        <v>833</v>
      </c>
      <c r="J1997" t="str">
        <f t="shared" si="568"/>
        <v>2015-07-01 00:00:00.0</v>
      </c>
      <c r="K1997" t="s">
        <v>834</v>
      </c>
      <c r="L1997" t="s">
        <v>0</v>
      </c>
      <c r="M1997" t="str">
        <f t="shared" si="554"/>
        <v>048314</v>
      </c>
      <c r="N1997">
        <v>1</v>
      </c>
      <c r="O1997">
        <v>1</v>
      </c>
      <c r="P1997" t="str">
        <f>"01"</f>
        <v>01</v>
      </c>
      <c r="Q1997" t="s">
        <v>835</v>
      </c>
      <c r="S1997" t="s">
        <v>836</v>
      </c>
      <c r="T1997" t="s">
        <v>836</v>
      </c>
      <c r="U1997" t="str">
        <f t="shared" si="565"/>
        <v>2500-12-31 00:00:00.0</v>
      </c>
      <c r="V1997" t="s">
        <v>837</v>
      </c>
      <c r="W1997" t="str">
        <f>"048314-038430-**-**"</f>
        <v>048314-038430-**-**</v>
      </c>
      <c r="X1997" t="s">
        <v>838</v>
      </c>
      <c r="Y1997">
        <v>1206.25</v>
      </c>
      <c r="Z1997">
        <v>1206.25</v>
      </c>
      <c r="AA1997" t="str">
        <f t="shared" si="567"/>
        <v>06/08/2016</v>
      </c>
    </row>
    <row r="1998" spans="1:27" x14ac:dyDescent="0.3">
      <c r="A1998" t="str">
        <f t="shared" si="563"/>
        <v>048314</v>
      </c>
      <c r="B1998" t="str">
        <f t="shared" si="557"/>
        <v>038430</v>
      </c>
      <c r="C1998" t="s">
        <v>3247</v>
      </c>
      <c r="D1998" t="s">
        <v>3839</v>
      </c>
      <c r="E1998" t="s">
        <v>3840</v>
      </c>
      <c r="F1998" t="s">
        <v>3841</v>
      </c>
      <c r="G1998" t="s">
        <v>3842</v>
      </c>
      <c r="H1998" t="str">
        <f>"048363"</f>
        <v>048363</v>
      </c>
      <c r="I1998" t="s">
        <v>833</v>
      </c>
      <c r="J1998" t="str">
        <f t="shared" si="568"/>
        <v>2015-07-01 00:00:00.0</v>
      </c>
      <c r="K1998" t="s">
        <v>834</v>
      </c>
      <c r="L1998" t="s">
        <v>1</v>
      </c>
      <c r="M1998" t="str">
        <f t="shared" si="554"/>
        <v>048314</v>
      </c>
      <c r="N1998">
        <v>1</v>
      </c>
      <c r="O1998">
        <v>1</v>
      </c>
      <c r="P1998" t="str">
        <f>"04"</f>
        <v>04</v>
      </c>
      <c r="Q1998" t="s">
        <v>835</v>
      </c>
      <c r="S1998" t="s">
        <v>836</v>
      </c>
      <c r="T1998" t="s">
        <v>836</v>
      </c>
      <c r="U1998" t="str">
        <f t="shared" si="565"/>
        <v>2500-12-31 00:00:00.0</v>
      </c>
      <c r="V1998" t="s">
        <v>837</v>
      </c>
      <c r="W1998" t="str">
        <f>"048363-026211-**-**"</f>
        <v>048363-026211-**-**</v>
      </c>
      <c r="X1998" t="s">
        <v>838</v>
      </c>
      <c r="Y1998">
        <v>1127</v>
      </c>
      <c r="Z1998">
        <v>1127</v>
      </c>
      <c r="AA1998" t="str">
        <f>"06/15/2016"</f>
        <v>06/15/2016</v>
      </c>
    </row>
    <row r="1999" spans="1:27" x14ac:dyDescent="0.3">
      <c r="A1999" t="str">
        <f t="shared" si="563"/>
        <v>048314</v>
      </c>
      <c r="B1999" t="str">
        <f t="shared" si="557"/>
        <v>038430</v>
      </c>
      <c r="C1999" t="s">
        <v>2933</v>
      </c>
      <c r="D1999" t="s">
        <v>3839</v>
      </c>
      <c r="E1999" t="s">
        <v>3840</v>
      </c>
      <c r="F1999" t="s">
        <v>3841</v>
      </c>
      <c r="G1999" t="s">
        <v>3842</v>
      </c>
      <c r="H1999" t="str">
        <f>"048314"</f>
        <v>048314</v>
      </c>
      <c r="I1999" t="s">
        <v>833</v>
      </c>
      <c r="J1999" t="str">
        <f t="shared" si="568"/>
        <v>2015-07-01 00:00:00.0</v>
      </c>
      <c r="K1999" t="s">
        <v>834</v>
      </c>
      <c r="L1999" t="s">
        <v>0</v>
      </c>
      <c r="M1999" t="str">
        <f t="shared" si="554"/>
        <v>048314</v>
      </c>
      <c r="N1999">
        <v>1</v>
      </c>
      <c r="O1999">
        <v>1</v>
      </c>
      <c r="P1999" t="str">
        <f>"05"</f>
        <v>05</v>
      </c>
      <c r="Q1999" t="s">
        <v>835</v>
      </c>
      <c r="S1999" t="s">
        <v>836</v>
      </c>
      <c r="T1999" t="s">
        <v>836</v>
      </c>
      <c r="U1999" t="str">
        <f t="shared" si="565"/>
        <v>2500-12-31 00:00:00.0</v>
      </c>
      <c r="V1999" t="s">
        <v>837</v>
      </c>
      <c r="W1999" t="str">
        <f>"048314-070417-**-**"</f>
        <v>048314-070417-**-**</v>
      </c>
      <c r="X1999" t="s">
        <v>838</v>
      </c>
      <c r="Y1999">
        <v>1125</v>
      </c>
      <c r="Z1999">
        <v>1125</v>
      </c>
      <c r="AA1999" t="str">
        <f>"06/08/2016"</f>
        <v>06/08/2016</v>
      </c>
    </row>
    <row r="2000" spans="1:27" x14ac:dyDescent="0.3">
      <c r="A2000" t="str">
        <f t="shared" si="563"/>
        <v>048314</v>
      </c>
      <c r="B2000" t="str">
        <f t="shared" si="557"/>
        <v>038430</v>
      </c>
      <c r="C2000" t="s">
        <v>1519</v>
      </c>
      <c r="D2000" t="s">
        <v>3839</v>
      </c>
      <c r="E2000" t="s">
        <v>3840</v>
      </c>
      <c r="F2000" t="s">
        <v>3841</v>
      </c>
      <c r="G2000" t="s">
        <v>3842</v>
      </c>
      <c r="H2000" t="str">
        <f>"048280"</f>
        <v>048280</v>
      </c>
      <c r="I2000" t="s">
        <v>833</v>
      </c>
      <c r="J2000" t="str">
        <f t="shared" si="568"/>
        <v>2015-07-01 00:00:00.0</v>
      </c>
      <c r="K2000" t="s">
        <v>834</v>
      </c>
      <c r="L2000" t="s">
        <v>142</v>
      </c>
      <c r="M2000" t="str">
        <f t="shared" si="554"/>
        <v>048314</v>
      </c>
      <c r="N2000">
        <v>1</v>
      </c>
      <c r="O2000">
        <v>1</v>
      </c>
      <c r="P2000" t="s">
        <v>841</v>
      </c>
      <c r="Q2000" t="str">
        <f>"12"</f>
        <v>12</v>
      </c>
      <c r="R2000" t="str">
        <f>"6"</f>
        <v>6</v>
      </c>
      <c r="S2000" t="s">
        <v>836</v>
      </c>
      <c r="T2000" t="s">
        <v>836</v>
      </c>
      <c r="U2000" t="str">
        <f t="shared" si="565"/>
        <v>2500-12-31 00:00:00.0</v>
      </c>
      <c r="V2000" t="s">
        <v>837</v>
      </c>
      <c r="W2000" t="str">
        <f>"048280-048280-PS-BP"</f>
        <v>048280-048280-PS-BP</v>
      </c>
      <c r="X2000" t="s">
        <v>838</v>
      </c>
      <c r="Y2000">
        <v>145</v>
      </c>
      <c r="Z2000">
        <v>145</v>
      </c>
      <c r="AA2000" t="str">
        <f>"06/15/2016"</f>
        <v>06/15/2016</v>
      </c>
    </row>
    <row r="2001" spans="1:27" x14ac:dyDescent="0.3">
      <c r="A2001" t="str">
        <f t="shared" si="563"/>
        <v>048314</v>
      </c>
      <c r="B2001" t="str">
        <f t="shared" si="557"/>
        <v>038430</v>
      </c>
      <c r="C2001" t="s">
        <v>882</v>
      </c>
      <c r="D2001" t="s">
        <v>3839</v>
      </c>
      <c r="E2001" t="s">
        <v>3840</v>
      </c>
      <c r="F2001" t="s">
        <v>3841</v>
      </c>
      <c r="G2001" t="s">
        <v>3842</v>
      </c>
      <c r="H2001" t="str">
        <f t="shared" ref="H2001:H2038" si="569">"048314"</f>
        <v>048314</v>
      </c>
      <c r="I2001" t="s">
        <v>833</v>
      </c>
      <c r="J2001" t="str">
        <f>"2015-08-01 00:00:00.0"</f>
        <v>2015-08-01 00:00:00.0</v>
      </c>
      <c r="K2001" t="s">
        <v>834</v>
      </c>
      <c r="L2001" t="s">
        <v>0</v>
      </c>
      <c r="M2001" t="str">
        <f t="shared" si="554"/>
        <v>048314</v>
      </c>
      <c r="N2001">
        <v>1</v>
      </c>
      <c r="O2001">
        <v>1</v>
      </c>
      <c r="P2001" t="str">
        <f>"01"</f>
        <v>01</v>
      </c>
      <c r="Q2001" t="s">
        <v>835</v>
      </c>
      <c r="S2001" t="s">
        <v>836</v>
      </c>
      <c r="T2001" t="s">
        <v>836</v>
      </c>
      <c r="U2001" t="str">
        <f t="shared" si="565"/>
        <v>2500-12-31 00:00:00.0</v>
      </c>
      <c r="V2001" t="s">
        <v>837</v>
      </c>
      <c r="W2001" t="str">
        <f>"048314-038430-**-**"</f>
        <v>048314-038430-**-**</v>
      </c>
      <c r="X2001" t="s">
        <v>838</v>
      </c>
      <c r="Y2001">
        <v>1206.25</v>
      </c>
      <c r="Z2001">
        <v>1206.25</v>
      </c>
      <c r="AA2001" t="str">
        <f t="shared" ref="AA2001:AA2038" si="570">"06/08/2016"</f>
        <v>06/08/2016</v>
      </c>
    </row>
    <row r="2002" spans="1:27" x14ac:dyDescent="0.3">
      <c r="A2002" t="str">
        <f t="shared" si="563"/>
        <v>048314</v>
      </c>
      <c r="B2002" t="str">
        <f t="shared" si="557"/>
        <v>038430</v>
      </c>
      <c r="C2002" t="s">
        <v>2972</v>
      </c>
      <c r="D2002" t="s">
        <v>3839</v>
      </c>
      <c r="E2002" t="s">
        <v>3840</v>
      </c>
      <c r="F2002" t="s">
        <v>3841</v>
      </c>
      <c r="G2002" t="s">
        <v>3842</v>
      </c>
      <c r="H2002" t="str">
        <f t="shared" si="569"/>
        <v>048314</v>
      </c>
      <c r="I2002" t="s">
        <v>833</v>
      </c>
      <c r="J2002" t="str">
        <f t="shared" ref="J2002:J2007" si="571">"2015-07-01 00:00:00.0"</f>
        <v>2015-07-01 00:00:00.0</v>
      </c>
      <c r="K2002" t="s">
        <v>834</v>
      </c>
      <c r="L2002" t="s">
        <v>0</v>
      </c>
      <c r="M2002" t="str">
        <f t="shared" si="554"/>
        <v>048314</v>
      </c>
      <c r="N2002">
        <v>1</v>
      </c>
      <c r="O2002">
        <v>1</v>
      </c>
      <c r="P2002" t="str">
        <f>"02"</f>
        <v>02</v>
      </c>
      <c r="Q2002" t="str">
        <f>"10"</f>
        <v>10</v>
      </c>
      <c r="R2002" t="str">
        <f>"2"</f>
        <v>2</v>
      </c>
      <c r="S2002" t="s">
        <v>836</v>
      </c>
      <c r="T2002" t="s">
        <v>836</v>
      </c>
      <c r="U2002" t="str">
        <f t="shared" si="565"/>
        <v>2500-12-31 00:00:00.0</v>
      </c>
      <c r="V2002" t="s">
        <v>837</v>
      </c>
      <c r="W2002" t="str">
        <f>"048314-038430-**-**"</f>
        <v>048314-038430-**-**</v>
      </c>
      <c r="X2002" t="s">
        <v>838</v>
      </c>
      <c r="Y2002">
        <v>1206.25</v>
      </c>
      <c r="Z2002">
        <v>1206.25</v>
      </c>
      <c r="AA2002" t="str">
        <f t="shared" si="570"/>
        <v>06/08/2016</v>
      </c>
    </row>
    <row r="2003" spans="1:27" x14ac:dyDescent="0.3">
      <c r="A2003" t="str">
        <f t="shared" si="563"/>
        <v>048314</v>
      </c>
      <c r="B2003" t="str">
        <f t="shared" si="557"/>
        <v>038430</v>
      </c>
      <c r="C2003" t="s">
        <v>3305</v>
      </c>
      <c r="D2003" t="s">
        <v>3839</v>
      </c>
      <c r="E2003" t="s">
        <v>3840</v>
      </c>
      <c r="F2003" t="s">
        <v>3841</v>
      </c>
      <c r="G2003" t="s">
        <v>3842</v>
      </c>
      <c r="H2003" t="str">
        <f t="shared" si="569"/>
        <v>048314</v>
      </c>
      <c r="I2003" t="s">
        <v>833</v>
      </c>
      <c r="J2003" t="str">
        <f t="shared" si="571"/>
        <v>2015-07-01 00:00:00.0</v>
      </c>
      <c r="K2003" t="s">
        <v>834</v>
      </c>
      <c r="L2003" t="s">
        <v>0</v>
      </c>
      <c r="M2003" t="str">
        <f t="shared" si="554"/>
        <v>048314</v>
      </c>
      <c r="N2003">
        <v>1</v>
      </c>
      <c r="O2003">
        <v>1</v>
      </c>
      <c r="P2003" t="str">
        <f>"04"</f>
        <v>04</v>
      </c>
      <c r="Q2003" t="s">
        <v>835</v>
      </c>
      <c r="S2003" t="s">
        <v>836</v>
      </c>
      <c r="T2003" t="s">
        <v>836</v>
      </c>
      <c r="U2003" t="str">
        <f t="shared" si="565"/>
        <v>2500-12-31 00:00:00.0</v>
      </c>
      <c r="V2003" t="s">
        <v>837</v>
      </c>
      <c r="W2003" t="str">
        <f>"048314-038430-**-**"</f>
        <v>048314-038430-**-**</v>
      </c>
      <c r="X2003" t="s">
        <v>838</v>
      </c>
      <c r="Y2003">
        <v>1206.25</v>
      </c>
      <c r="Z2003">
        <v>1206.25</v>
      </c>
      <c r="AA2003" t="str">
        <f t="shared" si="570"/>
        <v>06/08/2016</v>
      </c>
    </row>
    <row r="2004" spans="1:27" x14ac:dyDescent="0.3">
      <c r="A2004" t="str">
        <f t="shared" si="563"/>
        <v>048314</v>
      </c>
      <c r="B2004" t="str">
        <f t="shared" si="557"/>
        <v>038430</v>
      </c>
      <c r="C2004" t="s">
        <v>3366</v>
      </c>
      <c r="D2004" t="s">
        <v>3839</v>
      </c>
      <c r="E2004" t="s">
        <v>3840</v>
      </c>
      <c r="F2004" t="s">
        <v>3841</v>
      </c>
      <c r="G2004" t="s">
        <v>3842</v>
      </c>
      <c r="H2004" t="str">
        <f t="shared" si="569"/>
        <v>048314</v>
      </c>
      <c r="I2004" t="s">
        <v>833</v>
      </c>
      <c r="J2004" t="str">
        <f t="shared" si="571"/>
        <v>2015-07-01 00:00:00.0</v>
      </c>
      <c r="K2004" t="s">
        <v>834</v>
      </c>
      <c r="L2004" t="s">
        <v>0</v>
      </c>
      <c r="M2004" t="str">
        <f t="shared" si="554"/>
        <v>048314</v>
      </c>
      <c r="N2004">
        <v>1</v>
      </c>
      <c r="O2004">
        <v>1</v>
      </c>
      <c r="P2004" t="str">
        <f>"04"</f>
        <v>04</v>
      </c>
      <c r="Q2004" t="str">
        <f>"10"</f>
        <v>10</v>
      </c>
      <c r="R2004" t="str">
        <f>"2"</f>
        <v>2</v>
      </c>
      <c r="S2004" t="s">
        <v>836</v>
      </c>
      <c r="T2004" t="s">
        <v>836</v>
      </c>
      <c r="U2004" t="str">
        <f t="shared" si="565"/>
        <v>2500-12-31 00:00:00.0</v>
      </c>
      <c r="V2004" t="s">
        <v>837</v>
      </c>
      <c r="W2004" t="str">
        <f>"048314-038430-**-**"</f>
        <v>048314-038430-**-**</v>
      </c>
      <c r="X2004" t="s">
        <v>838</v>
      </c>
      <c r="Y2004">
        <v>1206.25</v>
      </c>
      <c r="Z2004">
        <v>1206.25</v>
      </c>
      <c r="AA2004" t="str">
        <f t="shared" si="570"/>
        <v>06/08/2016</v>
      </c>
    </row>
    <row r="2005" spans="1:27" x14ac:dyDescent="0.3">
      <c r="A2005" t="str">
        <f t="shared" si="563"/>
        <v>048314</v>
      </c>
      <c r="B2005" t="str">
        <f t="shared" si="557"/>
        <v>038430</v>
      </c>
      <c r="C2005" t="s">
        <v>3091</v>
      </c>
      <c r="D2005" t="s">
        <v>3839</v>
      </c>
      <c r="E2005" t="s">
        <v>3840</v>
      </c>
      <c r="F2005" t="s">
        <v>3841</v>
      </c>
      <c r="G2005" t="s">
        <v>3842</v>
      </c>
      <c r="H2005" t="str">
        <f t="shared" si="569"/>
        <v>048314</v>
      </c>
      <c r="I2005" t="s">
        <v>833</v>
      </c>
      <c r="J2005" t="str">
        <f t="shared" si="571"/>
        <v>2015-07-01 00:00:00.0</v>
      </c>
      <c r="K2005" t="s">
        <v>834</v>
      </c>
      <c r="L2005" t="s">
        <v>0</v>
      </c>
      <c r="M2005" t="str">
        <f t="shared" si="554"/>
        <v>048314</v>
      </c>
      <c r="N2005">
        <v>1</v>
      </c>
      <c r="O2005">
        <v>1</v>
      </c>
      <c r="P2005" t="str">
        <f>"05"</f>
        <v>05</v>
      </c>
      <c r="Q2005" t="s">
        <v>835</v>
      </c>
      <c r="S2005" t="s">
        <v>836</v>
      </c>
      <c r="T2005" t="s">
        <v>836</v>
      </c>
      <c r="U2005" t="str">
        <f t="shared" si="565"/>
        <v>2500-12-31 00:00:00.0</v>
      </c>
      <c r="V2005" t="s">
        <v>837</v>
      </c>
      <c r="W2005" t="str">
        <f>"048314-070417-**-**"</f>
        <v>048314-070417-**-**</v>
      </c>
      <c r="X2005" t="s">
        <v>838</v>
      </c>
      <c r="Y2005">
        <v>1125</v>
      </c>
      <c r="Z2005">
        <v>1125</v>
      </c>
      <c r="AA2005" t="str">
        <f t="shared" si="570"/>
        <v>06/08/2016</v>
      </c>
    </row>
    <row r="2006" spans="1:27" x14ac:dyDescent="0.3">
      <c r="A2006" t="str">
        <f t="shared" si="563"/>
        <v>048314</v>
      </c>
      <c r="B2006" t="str">
        <f t="shared" si="557"/>
        <v>038430</v>
      </c>
      <c r="C2006" t="s">
        <v>2785</v>
      </c>
      <c r="D2006" t="s">
        <v>3839</v>
      </c>
      <c r="E2006" t="s">
        <v>3840</v>
      </c>
      <c r="F2006" t="s">
        <v>3841</v>
      </c>
      <c r="G2006" t="s">
        <v>3842</v>
      </c>
      <c r="H2006" t="str">
        <f t="shared" si="569"/>
        <v>048314</v>
      </c>
      <c r="I2006" t="s">
        <v>833</v>
      </c>
      <c r="J2006" t="str">
        <f t="shared" si="571"/>
        <v>2015-07-01 00:00:00.0</v>
      </c>
      <c r="K2006" t="s">
        <v>834</v>
      </c>
      <c r="L2006" t="s">
        <v>0</v>
      </c>
      <c r="M2006" t="str">
        <f t="shared" si="554"/>
        <v>048314</v>
      </c>
      <c r="N2006">
        <v>1</v>
      </c>
      <c r="O2006">
        <v>1</v>
      </c>
      <c r="P2006" t="str">
        <f>"03"</f>
        <v>03</v>
      </c>
      <c r="Q2006" t="str">
        <f>"12"</f>
        <v>12</v>
      </c>
      <c r="R2006" t="str">
        <f>"6"</f>
        <v>6</v>
      </c>
      <c r="S2006" t="s">
        <v>836</v>
      </c>
      <c r="T2006" t="s">
        <v>836</v>
      </c>
      <c r="U2006" t="str">
        <f t="shared" si="565"/>
        <v>2500-12-31 00:00:00.0</v>
      </c>
      <c r="V2006" t="s">
        <v>837</v>
      </c>
      <c r="W2006" t="str">
        <f t="shared" ref="W2006:W2011" si="572">"048314-038430-**-**"</f>
        <v>048314-038430-**-**</v>
      </c>
      <c r="X2006" t="s">
        <v>838</v>
      </c>
      <c r="Y2006">
        <v>1206.25</v>
      </c>
      <c r="Z2006">
        <v>1206.25</v>
      </c>
      <c r="AA2006" t="str">
        <f t="shared" si="570"/>
        <v>06/08/2016</v>
      </c>
    </row>
    <row r="2007" spans="1:27" x14ac:dyDescent="0.3">
      <c r="A2007" t="str">
        <f t="shared" si="563"/>
        <v>048314</v>
      </c>
      <c r="B2007" t="str">
        <f t="shared" si="557"/>
        <v>038430</v>
      </c>
      <c r="C2007" t="s">
        <v>3303</v>
      </c>
      <c r="D2007" t="s">
        <v>3839</v>
      </c>
      <c r="E2007" t="s">
        <v>3840</v>
      </c>
      <c r="F2007" t="s">
        <v>3841</v>
      </c>
      <c r="G2007" t="s">
        <v>3842</v>
      </c>
      <c r="H2007" t="str">
        <f t="shared" si="569"/>
        <v>048314</v>
      </c>
      <c r="I2007" t="s">
        <v>833</v>
      </c>
      <c r="J2007" t="str">
        <f t="shared" si="571"/>
        <v>2015-07-01 00:00:00.0</v>
      </c>
      <c r="K2007" t="s">
        <v>834</v>
      </c>
      <c r="L2007" t="s">
        <v>0</v>
      </c>
      <c r="M2007" t="str">
        <f t="shared" si="554"/>
        <v>048314</v>
      </c>
      <c r="N2007">
        <v>1</v>
      </c>
      <c r="O2007">
        <v>1</v>
      </c>
      <c r="P2007" t="str">
        <f>"04"</f>
        <v>04</v>
      </c>
      <c r="Q2007" t="s">
        <v>835</v>
      </c>
      <c r="S2007" t="s">
        <v>836</v>
      </c>
      <c r="T2007" t="s">
        <v>836</v>
      </c>
      <c r="U2007" t="str">
        <f t="shared" si="565"/>
        <v>2500-12-31 00:00:00.0</v>
      </c>
      <c r="V2007" t="s">
        <v>837</v>
      </c>
      <c r="W2007" t="str">
        <f t="shared" si="572"/>
        <v>048314-038430-**-**</v>
      </c>
      <c r="X2007" t="s">
        <v>838</v>
      </c>
      <c r="Y2007">
        <v>1206.25</v>
      </c>
      <c r="Z2007">
        <v>1206.25</v>
      </c>
      <c r="AA2007" t="str">
        <f t="shared" si="570"/>
        <v>06/08/2016</v>
      </c>
    </row>
    <row r="2008" spans="1:27" x14ac:dyDescent="0.3">
      <c r="A2008" t="str">
        <f t="shared" si="563"/>
        <v>048314</v>
      </c>
      <c r="B2008" t="str">
        <f t="shared" si="557"/>
        <v>038430</v>
      </c>
      <c r="C2008" t="s">
        <v>3057</v>
      </c>
      <c r="D2008" t="s">
        <v>3839</v>
      </c>
      <c r="E2008" t="s">
        <v>3840</v>
      </c>
      <c r="F2008" t="s">
        <v>3841</v>
      </c>
      <c r="G2008" t="s">
        <v>3842</v>
      </c>
      <c r="H2008" t="str">
        <f t="shared" si="569"/>
        <v>048314</v>
      </c>
      <c r="I2008" t="s">
        <v>833</v>
      </c>
      <c r="J2008" t="str">
        <f>"2015-08-31 00:00:00.0"</f>
        <v>2015-08-31 00:00:00.0</v>
      </c>
      <c r="K2008" t="s">
        <v>834</v>
      </c>
      <c r="L2008" t="s">
        <v>0</v>
      </c>
      <c r="M2008" t="str">
        <f t="shared" si="554"/>
        <v>048314</v>
      </c>
      <c r="N2008">
        <v>0.186528</v>
      </c>
      <c r="O2008">
        <v>0.186528</v>
      </c>
      <c r="P2008" t="s">
        <v>764</v>
      </c>
      <c r="Q2008" t="s">
        <v>835</v>
      </c>
      <c r="S2008" t="s">
        <v>836</v>
      </c>
      <c r="T2008" t="s">
        <v>836</v>
      </c>
      <c r="U2008" t="str">
        <f>"2015-10-20 00:00:00.0"</f>
        <v>2015-10-20 00:00:00.0</v>
      </c>
      <c r="V2008" t="s">
        <v>837</v>
      </c>
      <c r="W2008" t="str">
        <f t="shared" si="572"/>
        <v>048314-038430-**-**</v>
      </c>
      <c r="X2008" t="s">
        <v>838</v>
      </c>
      <c r="Y2008">
        <v>225</v>
      </c>
      <c r="Z2008">
        <v>1206.25</v>
      </c>
      <c r="AA2008" t="str">
        <f t="shared" si="570"/>
        <v>06/08/2016</v>
      </c>
    </row>
    <row r="2009" spans="1:27" x14ac:dyDescent="0.3">
      <c r="A2009" t="str">
        <f t="shared" si="563"/>
        <v>048314</v>
      </c>
      <c r="B2009" t="str">
        <f t="shared" si="557"/>
        <v>038430</v>
      </c>
      <c r="C2009" t="s">
        <v>3697</v>
      </c>
      <c r="D2009" t="s">
        <v>3839</v>
      </c>
      <c r="E2009" t="s">
        <v>3840</v>
      </c>
      <c r="F2009" t="s">
        <v>3841</v>
      </c>
      <c r="G2009" t="s">
        <v>3842</v>
      </c>
      <c r="H2009" t="str">
        <f t="shared" si="569"/>
        <v>048314</v>
      </c>
      <c r="I2009" t="s">
        <v>833</v>
      </c>
      <c r="J2009" t="str">
        <f>"2015-07-01 00:00:00.0"</f>
        <v>2015-07-01 00:00:00.0</v>
      </c>
      <c r="K2009" t="s">
        <v>834</v>
      </c>
      <c r="L2009" t="s">
        <v>0</v>
      </c>
      <c r="M2009" t="str">
        <f t="shared" ref="M2009:M2072" si="573">"048314"</f>
        <v>048314</v>
      </c>
      <c r="N2009">
        <v>1</v>
      </c>
      <c r="O2009">
        <v>1</v>
      </c>
      <c r="P2009" t="str">
        <f>"03"</f>
        <v>03</v>
      </c>
      <c r="Q2009" t="s">
        <v>835</v>
      </c>
      <c r="S2009" t="s">
        <v>860</v>
      </c>
      <c r="T2009" t="s">
        <v>836</v>
      </c>
      <c r="U2009" t="str">
        <f>"2500-12-31 00:00:00.0"</f>
        <v>2500-12-31 00:00:00.0</v>
      </c>
      <c r="V2009" t="s">
        <v>837</v>
      </c>
      <c r="W2009" t="str">
        <f t="shared" si="572"/>
        <v>048314-038430-**-**</v>
      </c>
      <c r="X2009" t="s">
        <v>838</v>
      </c>
      <c r="Y2009">
        <v>1206.25</v>
      </c>
      <c r="Z2009">
        <v>1206.25</v>
      </c>
      <c r="AA2009" t="str">
        <f t="shared" si="570"/>
        <v>06/08/2016</v>
      </c>
    </row>
    <row r="2010" spans="1:27" x14ac:dyDescent="0.3">
      <c r="A2010" t="str">
        <f t="shared" si="563"/>
        <v>048314</v>
      </c>
      <c r="B2010" t="str">
        <f t="shared" si="557"/>
        <v>038430</v>
      </c>
      <c r="C2010" t="s">
        <v>3390</v>
      </c>
      <c r="D2010" t="s">
        <v>3839</v>
      </c>
      <c r="E2010" t="s">
        <v>3840</v>
      </c>
      <c r="F2010" t="s">
        <v>3841</v>
      </c>
      <c r="G2010" t="s">
        <v>3842</v>
      </c>
      <c r="H2010" t="str">
        <f t="shared" si="569"/>
        <v>048314</v>
      </c>
      <c r="I2010" t="s">
        <v>833</v>
      </c>
      <c r="J2010" t="str">
        <f>"2015-07-01 00:00:00.0"</f>
        <v>2015-07-01 00:00:00.0</v>
      </c>
      <c r="K2010" t="s">
        <v>834</v>
      </c>
      <c r="L2010" t="s">
        <v>0</v>
      </c>
      <c r="M2010" t="str">
        <f t="shared" si="573"/>
        <v>048314</v>
      </c>
      <c r="N2010">
        <v>1</v>
      </c>
      <c r="O2010">
        <v>1</v>
      </c>
      <c r="P2010" t="str">
        <f>"02"</f>
        <v>02</v>
      </c>
      <c r="Q2010" t="s">
        <v>835</v>
      </c>
      <c r="S2010" t="s">
        <v>836</v>
      </c>
      <c r="T2010" t="s">
        <v>836</v>
      </c>
      <c r="U2010" t="str">
        <f>"2500-12-31 00:00:00.0"</f>
        <v>2500-12-31 00:00:00.0</v>
      </c>
      <c r="V2010" t="s">
        <v>837</v>
      </c>
      <c r="W2010" t="str">
        <f t="shared" si="572"/>
        <v>048314-038430-**-**</v>
      </c>
      <c r="X2010" t="s">
        <v>838</v>
      </c>
      <c r="Y2010">
        <v>1206.25</v>
      </c>
      <c r="Z2010">
        <v>1206.25</v>
      </c>
      <c r="AA2010" t="str">
        <f t="shared" si="570"/>
        <v>06/08/2016</v>
      </c>
    </row>
    <row r="2011" spans="1:27" x14ac:dyDescent="0.3">
      <c r="A2011" t="str">
        <f t="shared" si="563"/>
        <v>048314</v>
      </c>
      <c r="B2011" t="str">
        <f t="shared" si="557"/>
        <v>038430</v>
      </c>
      <c r="C2011" t="s">
        <v>1721</v>
      </c>
      <c r="D2011" t="s">
        <v>3839</v>
      </c>
      <c r="E2011" t="s">
        <v>3840</v>
      </c>
      <c r="F2011" t="s">
        <v>3841</v>
      </c>
      <c r="G2011" t="s">
        <v>3842</v>
      </c>
      <c r="H2011" t="str">
        <f t="shared" si="569"/>
        <v>048314</v>
      </c>
      <c r="I2011" t="s">
        <v>833</v>
      </c>
      <c r="J2011" t="str">
        <f>"2015-07-01 00:00:00.0"</f>
        <v>2015-07-01 00:00:00.0</v>
      </c>
      <c r="K2011" t="s">
        <v>834</v>
      </c>
      <c r="L2011" t="s">
        <v>0</v>
      </c>
      <c r="M2011" t="str">
        <f t="shared" si="573"/>
        <v>048314</v>
      </c>
      <c r="N2011">
        <v>1</v>
      </c>
      <c r="O2011">
        <v>1</v>
      </c>
      <c r="P2011" t="str">
        <f>"03"</f>
        <v>03</v>
      </c>
      <c r="Q2011" t="str">
        <f>"08"</f>
        <v>08</v>
      </c>
      <c r="R2011" t="str">
        <f>"3"</f>
        <v>3</v>
      </c>
      <c r="S2011" t="s">
        <v>836</v>
      </c>
      <c r="T2011" t="s">
        <v>836</v>
      </c>
      <c r="U2011" t="str">
        <f>"2500-12-31 00:00:00.0"</f>
        <v>2500-12-31 00:00:00.0</v>
      </c>
      <c r="V2011" t="s">
        <v>837</v>
      </c>
      <c r="W2011" t="str">
        <f t="shared" si="572"/>
        <v>048314-038430-**-**</v>
      </c>
      <c r="X2011" t="s">
        <v>838</v>
      </c>
      <c r="Y2011">
        <v>1206.25</v>
      </c>
      <c r="Z2011">
        <v>1206.25</v>
      </c>
      <c r="AA2011" t="str">
        <f t="shared" si="570"/>
        <v>06/08/2016</v>
      </c>
    </row>
    <row r="2012" spans="1:27" x14ac:dyDescent="0.3">
      <c r="A2012" t="str">
        <f t="shared" si="563"/>
        <v>048314</v>
      </c>
      <c r="B2012" t="str">
        <f t="shared" si="557"/>
        <v>038430</v>
      </c>
      <c r="C2012" t="s">
        <v>3099</v>
      </c>
      <c r="D2012" t="s">
        <v>3839</v>
      </c>
      <c r="E2012" t="s">
        <v>3840</v>
      </c>
      <c r="F2012" t="s">
        <v>3841</v>
      </c>
      <c r="G2012" t="s">
        <v>3842</v>
      </c>
      <c r="H2012" t="str">
        <f t="shared" si="569"/>
        <v>048314</v>
      </c>
      <c r="I2012" t="s">
        <v>833</v>
      </c>
      <c r="J2012" t="str">
        <f>"2015-07-01 00:00:00.0"</f>
        <v>2015-07-01 00:00:00.0</v>
      </c>
      <c r="K2012" t="s">
        <v>834</v>
      </c>
      <c r="L2012" t="s">
        <v>0</v>
      </c>
      <c r="M2012" t="str">
        <f t="shared" si="573"/>
        <v>048314</v>
      </c>
      <c r="N2012">
        <v>1</v>
      </c>
      <c r="O2012">
        <v>1</v>
      </c>
      <c r="P2012" t="str">
        <f>"05"</f>
        <v>05</v>
      </c>
      <c r="Q2012" t="s">
        <v>835</v>
      </c>
      <c r="S2012" t="s">
        <v>836</v>
      </c>
      <c r="T2012" t="s">
        <v>836</v>
      </c>
      <c r="U2012" t="str">
        <f>"2500-12-31 00:00:00.0"</f>
        <v>2500-12-31 00:00:00.0</v>
      </c>
      <c r="V2012" t="s">
        <v>837</v>
      </c>
      <c r="W2012" t="str">
        <f>"048314-070417-**-**"</f>
        <v>048314-070417-**-**</v>
      </c>
      <c r="X2012" t="s">
        <v>838</v>
      </c>
      <c r="Y2012">
        <v>1125</v>
      </c>
      <c r="Z2012">
        <v>1125</v>
      </c>
      <c r="AA2012" t="str">
        <f t="shared" si="570"/>
        <v>06/08/2016</v>
      </c>
    </row>
    <row r="2013" spans="1:27" x14ac:dyDescent="0.3">
      <c r="A2013" t="str">
        <f t="shared" si="563"/>
        <v>048314</v>
      </c>
      <c r="B2013" t="str">
        <f t="shared" si="557"/>
        <v>038430</v>
      </c>
      <c r="C2013" t="s">
        <v>2973</v>
      </c>
      <c r="D2013" t="s">
        <v>3839</v>
      </c>
      <c r="E2013" t="s">
        <v>3840</v>
      </c>
      <c r="F2013" t="s">
        <v>3841</v>
      </c>
      <c r="G2013" t="s">
        <v>3842</v>
      </c>
      <c r="H2013" t="str">
        <f t="shared" si="569"/>
        <v>048314</v>
      </c>
      <c r="I2013" t="s">
        <v>833</v>
      </c>
      <c r="J2013" t="str">
        <f>"2015-07-01 00:00:00.0"</f>
        <v>2015-07-01 00:00:00.0</v>
      </c>
      <c r="K2013" t="s">
        <v>834</v>
      </c>
      <c r="L2013" t="s">
        <v>0</v>
      </c>
      <c r="M2013" t="str">
        <f t="shared" si="573"/>
        <v>048314</v>
      </c>
      <c r="N2013">
        <v>0.24870500000000001</v>
      </c>
      <c r="O2013">
        <v>0.24870500000000001</v>
      </c>
      <c r="P2013" t="str">
        <f>"02"</f>
        <v>02</v>
      </c>
      <c r="Q2013" t="str">
        <f>"10"</f>
        <v>10</v>
      </c>
      <c r="R2013" t="str">
        <f>"2"</f>
        <v>2</v>
      </c>
      <c r="S2013" t="s">
        <v>836</v>
      </c>
      <c r="T2013" t="s">
        <v>836</v>
      </c>
      <c r="U2013" t="str">
        <f>"2015-11-05 00:00:00.0"</f>
        <v>2015-11-05 00:00:00.0</v>
      </c>
      <c r="V2013" t="s">
        <v>837</v>
      </c>
      <c r="W2013" t="str">
        <f t="shared" ref="W2013:W2024" si="574">"048314-038430-**-**"</f>
        <v>048314-038430-**-**</v>
      </c>
      <c r="X2013" t="s">
        <v>838</v>
      </c>
      <c r="Y2013">
        <v>300</v>
      </c>
      <c r="Z2013">
        <v>1206.25</v>
      </c>
      <c r="AA2013" t="str">
        <f t="shared" si="570"/>
        <v>06/08/2016</v>
      </c>
    </row>
    <row r="2014" spans="1:27" x14ac:dyDescent="0.3">
      <c r="A2014" t="str">
        <f t="shared" si="563"/>
        <v>048314</v>
      </c>
      <c r="B2014" t="str">
        <f t="shared" si="557"/>
        <v>038430</v>
      </c>
      <c r="C2014" t="s">
        <v>2973</v>
      </c>
      <c r="D2014" t="s">
        <v>3839</v>
      </c>
      <c r="E2014" t="s">
        <v>3840</v>
      </c>
      <c r="F2014" t="s">
        <v>3841</v>
      </c>
      <c r="G2014" t="s">
        <v>3842</v>
      </c>
      <c r="H2014" t="str">
        <f t="shared" si="569"/>
        <v>048314</v>
      </c>
      <c r="I2014" t="s">
        <v>833</v>
      </c>
      <c r="J2014" t="str">
        <f>"2015-11-06 00:00:00.0"</f>
        <v>2015-11-06 00:00:00.0</v>
      </c>
      <c r="K2014" t="s">
        <v>834</v>
      </c>
      <c r="L2014" t="s">
        <v>0</v>
      </c>
      <c r="M2014" t="str">
        <f t="shared" si="573"/>
        <v>048314</v>
      </c>
      <c r="N2014">
        <v>0.75129500000000005</v>
      </c>
      <c r="O2014">
        <v>0.75129500000000005</v>
      </c>
      <c r="P2014" t="str">
        <f>"02"</f>
        <v>02</v>
      </c>
      <c r="Q2014" t="str">
        <f>"10"</f>
        <v>10</v>
      </c>
      <c r="R2014" t="str">
        <f>"2"</f>
        <v>2</v>
      </c>
      <c r="S2014" t="s">
        <v>860</v>
      </c>
      <c r="T2014" t="s">
        <v>836</v>
      </c>
      <c r="U2014" t="str">
        <f>"2500-12-31 00:00:00.0"</f>
        <v>2500-12-31 00:00:00.0</v>
      </c>
      <c r="V2014" t="s">
        <v>837</v>
      </c>
      <c r="W2014" t="str">
        <f t="shared" si="574"/>
        <v>048314-038430-**-**</v>
      </c>
      <c r="X2014" t="s">
        <v>838</v>
      </c>
      <c r="Y2014">
        <v>906.25</v>
      </c>
      <c r="Z2014">
        <v>1206.25</v>
      </c>
      <c r="AA2014" t="str">
        <f t="shared" si="570"/>
        <v>06/08/2016</v>
      </c>
    </row>
    <row r="2015" spans="1:27" x14ac:dyDescent="0.3">
      <c r="A2015" t="str">
        <f t="shared" si="563"/>
        <v>048314</v>
      </c>
      <c r="B2015" t="str">
        <f t="shared" si="557"/>
        <v>038430</v>
      </c>
      <c r="C2015" t="s">
        <v>3259</v>
      </c>
      <c r="D2015" t="s">
        <v>3839</v>
      </c>
      <c r="E2015" t="s">
        <v>3840</v>
      </c>
      <c r="F2015" t="s">
        <v>3841</v>
      </c>
      <c r="G2015" t="s">
        <v>3842</v>
      </c>
      <c r="H2015" t="str">
        <f t="shared" si="569"/>
        <v>048314</v>
      </c>
      <c r="I2015" t="s">
        <v>833</v>
      </c>
      <c r="J2015" t="str">
        <f>"2015-07-01 00:00:00.0"</f>
        <v>2015-07-01 00:00:00.0</v>
      </c>
      <c r="K2015" t="s">
        <v>834</v>
      </c>
      <c r="L2015" t="s">
        <v>0</v>
      </c>
      <c r="M2015" t="str">
        <f t="shared" si="573"/>
        <v>048314</v>
      </c>
      <c r="N2015">
        <v>0.24870500000000001</v>
      </c>
      <c r="O2015">
        <v>0.24870500000000001</v>
      </c>
      <c r="P2015" t="str">
        <f>"04"</f>
        <v>04</v>
      </c>
      <c r="Q2015" t="str">
        <f>"10"</f>
        <v>10</v>
      </c>
      <c r="R2015" t="str">
        <f>"2"</f>
        <v>2</v>
      </c>
      <c r="S2015" t="s">
        <v>836</v>
      </c>
      <c r="T2015" t="s">
        <v>836</v>
      </c>
      <c r="U2015" t="str">
        <f>"2015-11-05 00:00:00.0"</f>
        <v>2015-11-05 00:00:00.0</v>
      </c>
      <c r="V2015" t="s">
        <v>837</v>
      </c>
      <c r="W2015" t="str">
        <f t="shared" si="574"/>
        <v>048314-038430-**-**</v>
      </c>
      <c r="X2015" t="s">
        <v>838</v>
      </c>
      <c r="Y2015">
        <v>300</v>
      </c>
      <c r="Z2015">
        <v>1206.25</v>
      </c>
      <c r="AA2015" t="str">
        <f t="shared" si="570"/>
        <v>06/08/2016</v>
      </c>
    </row>
    <row r="2016" spans="1:27" x14ac:dyDescent="0.3">
      <c r="A2016" t="str">
        <f t="shared" si="563"/>
        <v>048314</v>
      </c>
      <c r="B2016" t="str">
        <f t="shared" si="557"/>
        <v>038430</v>
      </c>
      <c r="C2016" t="s">
        <v>3259</v>
      </c>
      <c r="D2016" t="s">
        <v>3839</v>
      </c>
      <c r="E2016" t="s">
        <v>3840</v>
      </c>
      <c r="F2016" t="s">
        <v>3841</v>
      </c>
      <c r="G2016" t="s">
        <v>3842</v>
      </c>
      <c r="H2016" t="str">
        <f t="shared" si="569"/>
        <v>048314</v>
      </c>
      <c r="I2016" t="s">
        <v>833</v>
      </c>
      <c r="J2016" t="str">
        <f>"2015-11-06 00:00:00.0"</f>
        <v>2015-11-06 00:00:00.0</v>
      </c>
      <c r="K2016" t="s">
        <v>834</v>
      </c>
      <c r="L2016" t="s">
        <v>0</v>
      </c>
      <c r="M2016" t="str">
        <f t="shared" si="573"/>
        <v>048314</v>
      </c>
      <c r="N2016">
        <v>0.75129500000000005</v>
      </c>
      <c r="O2016">
        <v>0.75129500000000005</v>
      </c>
      <c r="P2016" t="str">
        <f>"04"</f>
        <v>04</v>
      </c>
      <c r="Q2016" t="str">
        <f>"10"</f>
        <v>10</v>
      </c>
      <c r="R2016" t="str">
        <f>"2"</f>
        <v>2</v>
      </c>
      <c r="S2016" t="s">
        <v>860</v>
      </c>
      <c r="T2016" t="s">
        <v>836</v>
      </c>
      <c r="U2016" t="str">
        <f t="shared" ref="U2016:U2037" si="575">"2500-12-31 00:00:00.0"</f>
        <v>2500-12-31 00:00:00.0</v>
      </c>
      <c r="V2016" t="s">
        <v>837</v>
      </c>
      <c r="W2016" t="str">
        <f t="shared" si="574"/>
        <v>048314-038430-**-**</v>
      </c>
      <c r="X2016" t="s">
        <v>838</v>
      </c>
      <c r="Y2016">
        <v>906.25</v>
      </c>
      <c r="Z2016">
        <v>1206.25</v>
      </c>
      <c r="AA2016" t="str">
        <f t="shared" si="570"/>
        <v>06/08/2016</v>
      </c>
    </row>
    <row r="2017" spans="1:27" x14ac:dyDescent="0.3">
      <c r="A2017" t="str">
        <f t="shared" si="563"/>
        <v>048314</v>
      </c>
      <c r="B2017" t="str">
        <f t="shared" si="557"/>
        <v>038430</v>
      </c>
      <c r="C2017" t="s">
        <v>3648</v>
      </c>
      <c r="D2017" t="s">
        <v>3839</v>
      </c>
      <c r="E2017" t="s">
        <v>3840</v>
      </c>
      <c r="F2017" t="s">
        <v>3841</v>
      </c>
      <c r="G2017" t="s">
        <v>3842</v>
      </c>
      <c r="H2017" t="str">
        <f t="shared" si="569"/>
        <v>048314</v>
      </c>
      <c r="I2017" t="s">
        <v>833</v>
      </c>
      <c r="J2017" t="str">
        <f>"2015-07-01 00:00:00.0"</f>
        <v>2015-07-01 00:00:00.0</v>
      </c>
      <c r="K2017" t="s">
        <v>834</v>
      </c>
      <c r="L2017" t="s">
        <v>0</v>
      </c>
      <c r="M2017" t="str">
        <f t="shared" si="573"/>
        <v>048314</v>
      </c>
      <c r="N2017">
        <v>1</v>
      </c>
      <c r="O2017">
        <v>1</v>
      </c>
      <c r="P2017" t="str">
        <f>"04"</f>
        <v>04</v>
      </c>
      <c r="Q2017" t="s">
        <v>835</v>
      </c>
      <c r="S2017" t="s">
        <v>860</v>
      </c>
      <c r="T2017" t="s">
        <v>836</v>
      </c>
      <c r="U2017" t="str">
        <f t="shared" si="575"/>
        <v>2500-12-31 00:00:00.0</v>
      </c>
      <c r="V2017" t="s">
        <v>837</v>
      </c>
      <c r="W2017" t="str">
        <f t="shared" si="574"/>
        <v>048314-038430-**-**</v>
      </c>
      <c r="X2017" t="s">
        <v>838</v>
      </c>
      <c r="Y2017">
        <v>1206.25</v>
      </c>
      <c r="Z2017">
        <v>1206.25</v>
      </c>
      <c r="AA2017" t="str">
        <f t="shared" si="570"/>
        <v>06/08/2016</v>
      </c>
    </row>
    <row r="2018" spans="1:27" x14ac:dyDescent="0.3">
      <c r="A2018" t="str">
        <f t="shared" si="563"/>
        <v>048314</v>
      </c>
      <c r="B2018" t="str">
        <f t="shared" si="557"/>
        <v>038430</v>
      </c>
      <c r="C2018" t="s">
        <v>3189</v>
      </c>
      <c r="D2018" t="s">
        <v>3839</v>
      </c>
      <c r="E2018" t="s">
        <v>3840</v>
      </c>
      <c r="F2018" t="s">
        <v>3841</v>
      </c>
      <c r="G2018" t="s">
        <v>3842</v>
      </c>
      <c r="H2018" t="str">
        <f t="shared" si="569"/>
        <v>048314</v>
      </c>
      <c r="I2018" t="s">
        <v>833</v>
      </c>
      <c r="J2018" t="str">
        <f>"2015-07-01 00:00:00.0"</f>
        <v>2015-07-01 00:00:00.0</v>
      </c>
      <c r="K2018" t="s">
        <v>834</v>
      </c>
      <c r="L2018" t="s">
        <v>0</v>
      </c>
      <c r="M2018" t="str">
        <f t="shared" si="573"/>
        <v>048314</v>
      </c>
      <c r="N2018">
        <v>1</v>
      </c>
      <c r="O2018">
        <v>1</v>
      </c>
      <c r="P2018" t="str">
        <f>"04"</f>
        <v>04</v>
      </c>
      <c r="Q2018" t="s">
        <v>835</v>
      </c>
      <c r="S2018" t="s">
        <v>836</v>
      </c>
      <c r="T2018" t="s">
        <v>836</v>
      </c>
      <c r="U2018" t="str">
        <f t="shared" si="575"/>
        <v>2500-12-31 00:00:00.0</v>
      </c>
      <c r="V2018" t="s">
        <v>837</v>
      </c>
      <c r="W2018" t="str">
        <f t="shared" si="574"/>
        <v>048314-038430-**-**</v>
      </c>
      <c r="X2018" t="s">
        <v>838</v>
      </c>
      <c r="Y2018">
        <v>1206.25</v>
      </c>
      <c r="Z2018">
        <v>1206.25</v>
      </c>
      <c r="AA2018" t="str">
        <f t="shared" si="570"/>
        <v>06/08/2016</v>
      </c>
    </row>
    <row r="2019" spans="1:27" x14ac:dyDescent="0.3">
      <c r="A2019" t="str">
        <f t="shared" si="563"/>
        <v>048314</v>
      </c>
      <c r="B2019" t="str">
        <f t="shared" si="557"/>
        <v>038430</v>
      </c>
      <c r="C2019" t="s">
        <v>3016</v>
      </c>
      <c r="D2019" t="s">
        <v>3839</v>
      </c>
      <c r="E2019" t="s">
        <v>3840</v>
      </c>
      <c r="F2019" t="s">
        <v>3841</v>
      </c>
      <c r="G2019" t="s">
        <v>3842</v>
      </c>
      <c r="H2019" t="str">
        <f t="shared" si="569"/>
        <v>048314</v>
      </c>
      <c r="I2019" t="s">
        <v>833</v>
      </c>
      <c r="J2019" t="str">
        <f>"2015-07-01 00:00:00.0"</f>
        <v>2015-07-01 00:00:00.0</v>
      </c>
      <c r="K2019" t="s">
        <v>834</v>
      </c>
      <c r="L2019" t="s">
        <v>0</v>
      </c>
      <c r="M2019" t="str">
        <f t="shared" si="573"/>
        <v>048314</v>
      </c>
      <c r="N2019">
        <v>1</v>
      </c>
      <c r="O2019">
        <v>1</v>
      </c>
      <c r="P2019" t="str">
        <f>"02"</f>
        <v>02</v>
      </c>
      <c r="Q2019" t="str">
        <f>"05"</f>
        <v>05</v>
      </c>
      <c r="R2019" t="str">
        <f>"1"</f>
        <v>1</v>
      </c>
      <c r="S2019" t="s">
        <v>860</v>
      </c>
      <c r="T2019" t="s">
        <v>836</v>
      </c>
      <c r="U2019" t="str">
        <f t="shared" si="575"/>
        <v>2500-12-31 00:00:00.0</v>
      </c>
      <c r="V2019" t="s">
        <v>837</v>
      </c>
      <c r="W2019" t="str">
        <f t="shared" si="574"/>
        <v>048314-038430-**-**</v>
      </c>
      <c r="X2019" t="s">
        <v>838</v>
      </c>
      <c r="Y2019">
        <v>1206.25</v>
      </c>
      <c r="Z2019">
        <v>1206.25</v>
      </c>
      <c r="AA2019" t="str">
        <f t="shared" si="570"/>
        <v>06/08/2016</v>
      </c>
    </row>
    <row r="2020" spans="1:27" x14ac:dyDescent="0.3">
      <c r="A2020" t="str">
        <f t="shared" si="563"/>
        <v>048314</v>
      </c>
      <c r="B2020" t="str">
        <f t="shared" ref="B2020:B2083" si="576">"038430"</f>
        <v>038430</v>
      </c>
      <c r="C2020" t="s">
        <v>3017</v>
      </c>
      <c r="D2020" t="s">
        <v>3839</v>
      </c>
      <c r="E2020" t="s">
        <v>3840</v>
      </c>
      <c r="F2020" t="s">
        <v>3841</v>
      </c>
      <c r="G2020" t="s">
        <v>3842</v>
      </c>
      <c r="H2020" t="str">
        <f t="shared" si="569"/>
        <v>048314</v>
      </c>
      <c r="I2020" t="s">
        <v>833</v>
      </c>
      <c r="J2020" t="str">
        <f>"2015-07-01 00:00:00.0"</f>
        <v>2015-07-01 00:00:00.0</v>
      </c>
      <c r="K2020" t="s">
        <v>834</v>
      </c>
      <c r="L2020" t="s">
        <v>0</v>
      </c>
      <c r="M2020" t="str">
        <f t="shared" si="573"/>
        <v>048314</v>
      </c>
      <c r="N2020">
        <v>1</v>
      </c>
      <c r="O2020">
        <v>1</v>
      </c>
      <c r="P2020" t="str">
        <f>"02"</f>
        <v>02</v>
      </c>
      <c r="Q2020" t="str">
        <f>"05"</f>
        <v>05</v>
      </c>
      <c r="R2020" t="str">
        <f>"1"</f>
        <v>1</v>
      </c>
      <c r="S2020" t="s">
        <v>860</v>
      </c>
      <c r="T2020" t="s">
        <v>836</v>
      </c>
      <c r="U2020" t="str">
        <f t="shared" si="575"/>
        <v>2500-12-31 00:00:00.0</v>
      </c>
      <c r="V2020" t="s">
        <v>837</v>
      </c>
      <c r="W2020" t="str">
        <f t="shared" si="574"/>
        <v>048314-038430-**-**</v>
      </c>
      <c r="X2020" t="s">
        <v>838</v>
      </c>
      <c r="Y2020">
        <v>1206.25</v>
      </c>
      <c r="Z2020">
        <v>1206.25</v>
      </c>
      <c r="AA2020" t="str">
        <f t="shared" si="570"/>
        <v>06/08/2016</v>
      </c>
    </row>
    <row r="2021" spans="1:27" x14ac:dyDescent="0.3">
      <c r="A2021" t="str">
        <f t="shared" si="563"/>
        <v>048314</v>
      </c>
      <c r="B2021" t="str">
        <f t="shared" si="576"/>
        <v>038430</v>
      </c>
      <c r="C2021" t="s">
        <v>3018</v>
      </c>
      <c r="D2021" t="s">
        <v>3839</v>
      </c>
      <c r="E2021" t="s">
        <v>3840</v>
      </c>
      <c r="F2021" t="s">
        <v>3841</v>
      </c>
      <c r="G2021" t="s">
        <v>3842</v>
      </c>
      <c r="H2021" t="str">
        <f t="shared" si="569"/>
        <v>048314</v>
      </c>
      <c r="I2021" t="s">
        <v>833</v>
      </c>
      <c r="J2021" t="str">
        <f>"2015-07-01 00:00:00.0"</f>
        <v>2015-07-01 00:00:00.0</v>
      </c>
      <c r="K2021" t="s">
        <v>834</v>
      </c>
      <c r="L2021" t="s">
        <v>0</v>
      </c>
      <c r="M2021" t="str">
        <f t="shared" si="573"/>
        <v>048314</v>
      </c>
      <c r="N2021">
        <v>1</v>
      </c>
      <c r="O2021">
        <v>1</v>
      </c>
      <c r="P2021" t="str">
        <f>"01"</f>
        <v>01</v>
      </c>
      <c r="Q2021" t="s">
        <v>835</v>
      </c>
      <c r="S2021" t="s">
        <v>836</v>
      </c>
      <c r="T2021" t="s">
        <v>836</v>
      </c>
      <c r="U2021" t="str">
        <f t="shared" si="575"/>
        <v>2500-12-31 00:00:00.0</v>
      </c>
      <c r="V2021" t="s">
        <v>837</v>
      </c>
      <c r="W2021" t="str">
        <f t="shared" si="574"/>
        <v>048314-038430-**-**</v>
      </c>
      <c r="X2021" t="s">
        <v>838</v>
      </c>
      <c r="Y2021">
        <v>1206.25</v>
      </c>
      <c r="Z2021">
        <v>1206.25</v>
      </c>
      <c r="AA2021" t="str">
        <f t="shared" si="570"/>
        <v>06/08/2016</v>
      </c>
    </row>
    <row r="2022" spans="1:27" x14ac:dyDescent="0.3">
      <c r="A2022" t="str">
        <f t="shared" si="563"/>
        <v>048314</v>
      </c>
      <c r="B2022" t="str">
        <f t="shared" si="576"/>
        <v>038430</v>
      </c>
      <c r="C2022" t="s">
        <v>952</v>
      </c>
      <c r="D2022" t="s">
        <v>3839</v>
      </c>
      <c r="E2022" t="s">
        <v>3840</v>
      </c>
      <c r="F2022" t="s">
        <v>3841</v>
      </c>
      <c r="G2022" t="s">
        <v>3842</v>
      </c>
      <c r="H2022" t="str">
        <f t="shared" si="569"/>
        <v>048314</v>
      </c>
      <c r="I2022" t="s">
        <v>833</v>
      </c>
      <c r="J2022" t="str">
        <f>"2015-08-01 00:00:00.0"</f>
        <v>2015-08-01 00:00:00.0</v>
      </c>
      <c r="K2022" t="s">
        <v>834</v>
      </c>
      <c r="L2022" t="s">
        <v>0</v>
      </c>
      <c r="M2022" t="str">
        <f t="shared" si="573"/>
        <v>048314</v>
      </c>
      <c r="N2022">
        <v>1</v>
      </c>
      <c r="O2022">
        <v>1</v>
      </c>
      <c r="P2022" t="s">
        <v>764</v>
      </c>
      <c r="Q2022" t="s">
        <v>835</v>
      </c>
      <c r="S2022" t="s">
        <v>836</v>
      </c>
      <c r="T2022" t="s">
        <v>836</v>
      </c>
      <c r="U2022" t="str">
        <f t="shared" si="575"/>
        <v>2500-12-31 00:00:00.0</v>
      </c>
      <c r="V2022" t="s">
        <v>837</v>
      </c>
      <c r="W2022" t="str">
        <f t="shared" si="574"/>
        <v>048314-038430-**-**</v>
      </c>
      <c r="X2022" t="s">
        <v>838</v>
      </c>
      <c r="Y2022">
        <v>1206.25</v>
      </c>
      <c r="Z2022">
        <v>1206.25</v>
      </c>
      <c r="AA2022" t="str">
        <f t="shared" si="570"/>
        <v>06/08/2016</v>
      </c>
    </row>
    <row r="2023" spans="1:27" x14ac:dyDescent="0.3">
      <c r="A2023" t="str">
        <f t="shared" si="563"/>
        <v>048314</v>
      </c>
      <c r="B2023" t="str">
        <f t="shared" si="576"/>
        <v>038430</v>
      </c>
      <c r="C2023" t="s">
        <v>3299</v>
      </c>
      <c r="D2023" t="s">
        <v>3839</v>
      </c>
      <c r="E2023" t="s">
        <v>3840</v>
      </c>
      <c r="F2023" t="s">
        <v>3841</v>
      </c>
      <c r="G2023" t="s">
        <v>3842</v>
      </c>
      <c r="H2023" t="str">
        <f t="shared" si="569"/>
        <v>048314</v>
      </c>
      <c r="I2023" t="s">
        <v>833</v>
      </c>
      <c r="J2023" t="str">
        <f t="shared" ref="J2023:J2032" si="577">"2015-07-01 00:00:00.0"</f>
        <v>2015-07-01 00:00:00.0</v>
      </c>
      <c r="K2023" t="s">
        <v>834</v>
      </c>
      <c r="L2023" t="s">
        <v>0</v>
      </c>
      <c r="M2023" t="str">
        <f t="shared" si="573"/>
        <v>048314</v>
      </c>
      <c r="N2023">
        <v>1</v>
      </c>
      <c r="O2023">
        <v>1</v>
      </c>
      <c r="P2023" t="str">
        <f>"04"</f>
        <v>04</v>
      </c>
      <c r="Q2023" t="s">
        <v>835</v>
      </c>
      <c r="S2023" t="s">
        <v>836</v>
      </c>
      <c r="T2023" t="s">
        <v>836</v>
      </c>
      <c r="U2023" t="str">
        <f t="shared" si="575"/>
        <v>2500-12-31 00:00:00.0</v>
      </c>
      <c r="V2023" t="s">
        <v>837</v>
      </c>
      <c r="W2023" t="str">
        <f t="shared" si="574"/>
        <v>048314-038430-**-**</v>
      </c>
      <c r="X2023" t="s">
        <v>838</v>
      </c>
      <c r="Y2023">
        <v>1206.25</v>
      </c>
      <c r="Z2023">
        <v>1206.25</v>
      </c>
      <c r="AA2023" t="str">
        <f t="shared" si="570"/>
        <v>06/08/2016</v>
      </c>
    </row>
    <row r="2024" spans="1:27" x14ac:dyDescent="0.3">
      <c r="A2024" t="str">
        <f t="shared" si="563"/>
        <v>048314</v>
      </c>
      <c r="B2024" t="str">
        <f t="shared" si="576"/>
        <v>038430</v>
      </c>
      <c r="C2024" t="s">
        <v>2955</v>
      </c>
      <c r="D2024" t="s">
        <v>3839</v>
      </c>
      <c r="E2024" t="s">
        <v>3840</v>
      </c>
      <c r="F2024" t="s">
        <v>3841</v>
      </c>
      <c r="G2024" t="s">
        <v>3842</v>
      </c>
      <c r="H2024" t="str">
        <f t="shared" si="569"/>
        <v>048314</v>
      </c>
      <c r="I2024" t="s">
        <v>833</v>
      </c>
      <c r="J2024" t="str">
        <f t="shared" si="577"/>
        <v>2015-07-01 00:00:00.0</v>
      </c>
      <c r="K2024" t="s">
        <v>834</v>
      </c>
      <c r="L2024" t="s">
        <v>0</v>
      </c>
      <c r="M2024" t="str">
        <f t="shared" si="573"/>
        <v>048314</v>
      </c>
      <c r="N2024">
        <v>1</v>
      </c>
      <c r="O2024">
        <v>1</v>
      </c>
      <c r="P2024" t="str">
        <f>"02"</f>
        <v>02</v>
      </c>
      <c r="Q2024" t="s">
        <v>835</v>
      </c>
      <c r="S2024" t="s">
        <v>836</v>
      </c>
      <c r="T2024" t="s">
        <v>836</v>
      </c>
      <c r="U2024" t="str">
        <f t="shared" si="575"/>
        <v>2500-12-31 00:00:00.0</v>
      </c>
      <c r="V2024" t="s">
        <v>837</v>
      </c>
      <c r="W2024" t="str">
        <f t="shared" si="574"/>
        <v>048314-038430-**-**</v>
      </c>
      <c r="X2024" t="s">
        <v>838</v>
      </c>
      <c r="Y2024">
        <v>1206.25</v>
      </c>
      <c r="Z2024">
        <v>1206.25</v>
      </c>
      <c r="AA2024" t="str">
        <f t="shared" si="570"/>
        <v>06/08/2016</v>
      </c>
    </row>
    <row r="2025" spans="1:27" x14ac:dyDescent="0.3">
      <c r="A2025" t="str">
        <f t="shared" si="563"/>
        <v>048314</v>
      </c>
      <c r="B2025" t="str">
        <f t="shared" si="576"/>
        <v>038430</v>
      </c>
      <c r="C2025" t="s">
        <v>2938</v>
      </c>
      <c r="D2025" t="s">
        <v>3839</v>
      </c>
      <c r="E2025" t="s">
        <v>3840</v>
      </c>
      <c r="F2025" t="s">
        <v>3841</v>
      </c>
      <c r="G2025" t="s">
        <v>3842</v>
      </c>
      <c r="H2025" t="str">
        <f t="shared" si="569"/>
        <v>048314</v>
      </c>
      <c r="I2025" t="s">
        <v>833</v>
      </c>
      <c r="J2025" t="str">
        <f t="shared" si="577"/>
        <v>2015-07-01 00:00:00.0</v>
      </c>
      <c r="K2025" t="s">
        <v>834</v>
      </c>
      <c r="L2025" t="s">
        <v>0</v>
      </c>
      <c r="M2025" t="str">
        <f t="shared" si="573"/>
        <v>048314</v>
      </c>
      <c r="N2025">
        <v>1</v>
      </c>
      <c r="O2025">
        <v>1</v>
      </c>
      <c r="P2025" t="str">
        <f>"05"</f>
        <v>05</v>
      </c>
      <c r="Q2025" t="s">
        <v>835</v>
      </c>
      <c r="S2025" t="s">
        <v>836</v>
      </c>
      <c r="T2025" t="s">
        <v>836</v>
      </c>
      <c r="U2025" t="str">
        <f t="shared" si="575"/>
        <v>2500-12-31 00:00:00.0</v>
      </c>
      <c r="V2025" t="s">
        <v>837</v>
      </c>
      <c r="W2025" t="str">
        <f>"048314-070417-**-**"</f>
        <v>048314-070417-**-**</v>
      </c>
      <c r="X2025" t="s">
        <v>838</v>
      </c>
      <c r="Y2025">
        <v>1125</v>
      </c>
      <c r="Z2025">
        <v>1125</v>
      </c>
      <c r="AA2025" t="str">
        <f t="shared" si="570"/>
        <v>06/08/2016</v>
      </c>
    </row>
    <row r="2026" spans="1:27" x14ac:dyDescent="0.3">
      <c r="A2026" t="str">
        <f t="shared" si="563"/>
        <v>048314</v>
      </c>
      <c r="B2026" t="str">
        <f t="shared" si="576"/>
        <v>038430</v>
      </c>
      <c r="C2026" t="s">
        <v>972</v>
      </c>
      <c r="D2026" t="s">
        <v>3839</v>
      </c>
      <c r="E2026" t="s">
        <v>3840</v>
      </c>
      <c r="F2026" t="s">
        <v>3841</v>
      </c>
      <c r="G2026" t="s">
        <v>3842</v>
      </c>
      <c r="H2026" t="str">
        <f t="shared" si="569"/>
        <v>048314</v>
      </c>
      <c r="I2026" t="s">
        <v>833</v>
      </c>
      <c r="J2026" t="str">
        <f t="shared" si="577"/>
        <v>2015-07-01 00:00:00.0</v>
      </c>
      <c r="K2026" t="s">
        <v>834</v>
      </c>
      <c r="L2026" t="s">
        <v>0</v>
      </c>
      <c r="M2026" t="str">
        <f t="shared" si="573"/>
        <v>048314</v>
      </c>
      <c r="N2026">
        <v>1</v>
      </c>
      <c r="O2026">
        <v>1</v>
      </c>
      <c r="P2026" t="str">
        <f>"02"</f>
        <v>02</v>
      </c>
      <c r="Q2026" t="s">
        <v>835</v>
      </c>
      <c r="S2026" t="s">
        <v>836</v>
      </c>
      <c r="T2026" t="s">
        <v>836</v>
      </c>
      <c r="U2026" t="str">
        <f t="shared" si="575"/>
        <v>2500-12-31 00:00:00.0</v>
      </c>
      <c r="V2026" t="s">
        <v>837</v>
      </c>
      <c r="W2026" t="str">
        <f>"048314-038430-**-**"</f>
        <v>048314-038430-**-**</v>
      </c>
      <c r="X2026" t="s">
        <v>838</v>
      </c>
      <c r="Y2026">
        <v>1206.25</v>
      </c>
      <c r="Z2026">
        <v>1206.25</v>
      </c>
      <c r="AA2026" t="str">
        <f t="shared" si="570"/>
        <v>06/08/2016</v>
      </c>
    </row>
    <row r="2027" spans="1:27" x14ac:dyDescent="0.3">
      <c r="A2027" t="str">
        <f t="shared" si="563"/>
        <v>048314</v>
      </c>
      <c r="B2027" t="str">
        <f t="shared" si="576"/>
        <v>038430</v>
      </c>
      <c r="C2027" t="s">
        <v>3531</v>
      </c>
      <c r="D2027" t="s">
        <v>3839</v>
      </c>
      <c r="E2027" t="s">
        <v>3840</v>
      </c>
      <c r="F2027" t="s">
        <v>3841</v>
      </c>
      <c r="G2027" t="s">
        <v>3842</v>
      </c>
      <c r="H2027" t="str">
        <f t="shared" si="569"/>
        <v>048314</v>
      </c>
      <c r="I2027" t="s">
        <v>833</v>
      </c>
      <c r="J2027" t="str">
        <f t="shared" si="577"/>
        <v>2015-07-01 00:00:00.0</v>
      </c>
      <c r="K2027" t="s">
        <v>834</v>
      </c>
      <c r="L2027" t="s">
        <v>0</v>
      </c>
      <c r="M2027" t="str">
        <f t="shared" si="573"/>
        <v>048314</v>
      </c>
      <c r="N2027">
        <v>1</v>
      </c>
      <c r="O2027">
        <v>1</v>
      </c>
      <c r="P2027" t="str">
        <f>"04"</f>
        <v>04</v>
      </c>
      <c r="Q2027" t="s">
        <v>835</v>
      </c>
      <c r="S2027" t="s">
        <v>836</v>
      </c>
      <c r="T2027" t="s">
        <v>836</v>
      </c>
      <c r="U2027" t="str">
        <f t="shared" si="575"/>
        <v>2500-12-31 00:00:00.0</v>
      </c>
      <c r="V2027" t="s">
        <v>837</v>
      </c>
      <c r="W2027" t="str">
        <f>"048314-038430-**-**"</f>
        <v>048314-038430-**-**</v>
      </c>
      <c r="X2027" t="s">
        <v>838</v>
      </c>
      <c r="Y2027">
        <v>1206.25</v>
      </c>
      <c r="Z2027">
        <v>1206.25</v>
      </c>
      <c r="AA2027" t="str">
        <f t="shared" si="570"/>
        <v>06/08/2016</v>
      </c>
    </row>
    <row r="2028" spans="1:27" x14ac:dyDescent="0.3">
      <c r="A2028" t="str">
        <f t="shared" si="563"/>
        <v>048314</v>
      </c>
      <c r="B2028" t="str">
        <f t="shared" si="576"/>
        <v>038430</v>
      </c>
      <c r="C2028" t="s">
        <v>2996</v>
      </c>
      <c r="D2028" t="s">
        <v>3839</v>
      </c>
      <c r="E2028" t="s">
        <v>3840</v>
      </c>
      <c r="F2028" t="s">
        <v>3841</v>
      </c>
      <c r="G2028" t="s">
        <v>3842</v>
      </c>
      <c r="H2028" t="str">
        <f t="shared" si="569"/>
        <v>048314</v>
      </c>
      <c r="I2028" t="s">
        <v>833</v>
      </c>
      <c r="J2028" t="str">
        <f t="shared" si="577"/>
        <v>2015-07-01 00:00:00.0</v>
      </c>
      <c r="K2028" t="s">
        <v>834</v>
      </c>
      <c r="L2028" t="s">
        <v>0</v>
      </c>
      <c r="M2028" t="str">
        <f t="shared" si="573"/>
        <v>048314</v>
      </c>
      <c r="N2028">
        <v>1</v>
      </c>
      <c r="O2028">
        <v>1</v>
      </c>
      <c r="P2028" t="str">
        <f>"01"</f>
        <v>01</v>
      </c>
      <c r="Q2028" t="s">
        <v>835</v>
      </c>
      <c r="S2028" t="s">
        <v>836</v>
      </c>
      <c r="T2028" t="s">
        <v>836</v>
      </c>
      <c r="U2028" t="str">
        <f t="shared" si="575"/>
        <v>2500-12-31 00:00:00.0</v>
      </c>
      <c r="V2028" t="s">
        <v>837</v>
      </c>
      <c r="W2028" t="str">
        <f>"048314-038430-**-**"</f>
        <v>048314-038430-**-**</v>
      </c>
      <c r="X2028" t="s">
        <v>838</v>
      </c>
      <c r="Y2028">
        <v>1206.25</v>
      </c>
      <c r="Z2028">
        <v>1206.25</v>
      </c>
      <c r="AA2028" t="str">
        <f t="shared" si="570"/>
        <v>06/08/2016</v>
      </c>
    </row>
    <row r="2029" spans="1:27" x14ac:dyDescent="0.3">
      <c r="A2029" t="str">
        <f t="shared" si="563"/>
        <v>048314</v>
      </c>
      <c r="B2029" t="str">
        <f t="shared" si="576"/>
        <v>038430</v>
      </c>
      <c r="C2029" t="s">
        <v>3066</v>
      </c>
      <c r="D2029" t="s">
        <v>3839</v>
      </c>
      <c r="E2029" t="s">
        <v>3840</v>
      </c>
      <c r="F2029" t="s">
        <v>3841</v>
      </c>
      <c r="G2029" t="s">
        <v>3842</v>
      </c>
      <c r="H2029" t="str">
        <f t="shared" si="569"/>
        <v>048314</v>
      </c>
      <c r="I2029" t="s">
        <v>833</v>
      </c>
      <c r="J2029" t="str">
        <f t="shared" si="577"/>
        <v>2015-07-01 00:00:00.0</v>
      </c>
      <c r="K2029" t="s">
        <v>834</v>
      </c>
      <c r="L2029" t="s">
        <v>0</v>
      </c>
      <c r="M2029" t="str">
        <f t="shared" si="573"/>
        <v>048314</v>
      </c>
      <c r="N2029">
        <v>1</v>
      </c>
      <c r="O2029">
        <v>1</v>
      </c>
      <c r="P2029" t="s">
        <v>764</v>
      </c>
      <c r="Q2029" t="str">
        <f>"10"</f>
        <v>10</v>
      </c>
      <c r="R2029" t="str">
        <f>"2"</f>
        <v>2</v>
      </c>
      <c r="S2029" t="s">
        <v>836</v>
      </c>
      <c r="T2029" t="s">
        <v>836</v>
      </c>
      <c r="U2029" t="str">
        <f t="shared" si="575"/>
        <v>2500-12-31 00:00:00.0</v>
      </c>
      <c r="V2029" t="s">
        <v>837</v>
      </c>
      <c r="W2029" t="str">
        <f>"048314-004697-**-**"</f>
        <v>048314-004697-**-**</v>
      </c>
      <c r="X2029" t="s">
        <v>838</v>
      </c>
      <c r="Y2029">
        <v>1206.25</v>
      </c>
      <c r="Z2029">
        <v>1206.25</v>
      </c>
      <c r="AA2029" t="str">
        <f t="shared" si="570"/>
        <v>06/08/2016</v>
      </c>
    </row>
    <row r="2030" spans="1:27" x14ac:dyDescent="0.3">
      <c r="A2030" t="str">
        <f t="shared" si="563"/>
        <v>048314</v>
      </c>
      <c r="B2030" t="str">
        <f t="shared" si="576"/>
        <v>038430</v>
      </c>
      <c r="C2030" t="s">
        <v>3221</v>
      </c>
      <c r="D2030" t="s">
        <v>3839</v>
      </c>
      <c r="E2030" t="s">
        <v>3840</v>
      </c>
      <c r="F2030" t="s">
        <v>3841</v>
      </c>
      <c r="G2030" t="s">
        <v>3842</v>
      </c>
      <c r="H2030" t="str">
        <f t="shared" si="569"/>
        <v>048314</v>
      </c>
      <c r="I2030" t="s">
        <v>833</v>
      </c>
      <c r="J2030" t="str">
        <f t="shared" si="577"/>
        <v>2015-07-01 00:00:00.0</v>
      </c>
      <c r="K2030" t="s">
        <v>834</v>
      </c>
      <c r="L2030" t="s">
        <v>0</v>
      </c>
      <c r="M2030" t="str">
        <f t="shared" si="573"/>
        <v>048314</v>
      </c>
      <c r="N2030">
        <v>1</v>
      </c>
      <c r="O2030">
        <v>1</v>
      </c>
      <c r="P2030" t="str">
        <f>"02"</f>
        <v>02</v>
      </c>
      <c r="Q2030" t="s">
        <v>835</v>
      </c>
      <c r="S2030" t="s">
        <v>836</v>
      </c>
      <c r="T2030" t="s">
        <v>836</v>
      </c>
      <c r="U2030" t="str">
        <f t="shared" si="575"/>
        <v>2500-12-31 00:00:00.0</v>
      </c>
      <c r="V2030" t="s">
        <v>837</v>
      </c>
      <c r="W2030" t="str">
        <f t="shared" ref="W2030:W2038" si="578">"048314-038430-**-**"</f>
        <v>048314-038430-**-**</v>
      </c>
      <c r="X2030" t="s">
        <v>838</v>
      </c>
      <c r="Y2030">
        <v>1206.25</v>
      </c>
      <c r="Z2030">
        <v>1206.25</v>
      </c>
      <c r="AA2030" t="str">
        <f t="shared" si="570"/>
        <v>06/08/2016</v>
      </c>
    </row>
    <row r="2031" spans="1:27" x14ac:dyDescent="0.3">
      <c r="A2031" t="str">
        <f t="shared" si="563"/>
        <v>048314</v>
      </c>
      <c r="B2031" t="str">
        <f t="shared" si="576"/>
        <v>038430</v>
      </c>
      <c r="C2031" t="s">
        <v>2478</v>
      </c>
      <c r="D2031" t="s">
        <v>3839</v>
      </c>
      <c r="E2031" t="s">
        <v>3840</v>
      </c>
      <c r="F2031" t="s">
        <v>3841</v>
      </c>
      <c r="G2031" t="s">
        <v>3842</v>
      </c>
      <c r="H2031" t="str">
        <f t="shared" si="569"/>
        <v>048314</v>
      </c>
      <c r="I2031" t="s">
        <v>833</v>
      </c>
      <c r="J2031" t="str">
        <f t="shared" si="577"/>
        <v>2015-07-01 00:00:00.0</v>
      </c>
      <c r="K2031" t="s">
        <v>834</v>
      </c>
      <c r="L2031" t="s">
        <v>0</v>
      </c>
      <c r="M2031" t="str">
        <f t="shared" si="573"/>
        <v>048314</v>
      </c>
      <c r="N2031">
        <v>1</v>
      </c>
      <c r="O2031">
        <v>1</v>
      </c>
      <c r="P2031" t="s">
        <v>764</v>
      </c>
      <c r="Q2031" t="str">
        <f>"05"</f>
        <v>05</v>
      </c>
      <c r="R2031" t="str">
        <f>"1"</f>
        <v>1</v>
      </c>
      <c r="S2031" t="s">
        <v>836</v>
      </c>
      <c r="T2031" t="s">
        <v>836</v>
      </c>
      <c r="U2031" t="str">
        <f t="shared" si="575"/>
        <v>2500-12-31 00:00:00.0</v>
      </c>
      <c r="V2031" t="s">
        <v>837</v>
      </c>
      <c r="W2031" t="str">
        <f t="shared" si="578"/>
        <v>048314-038430-**-**</v>
      </c>
      <c r="X2031" t="s">
        <v>838</v>
      </c>
      <c r="Y2031">
        <v>1206.25</v>
      </c>
      <c r="Z2031">
        <v>1206.25</v>
      </c>
      <c r="AA2031" t="str">
        <f t="shared" si="570"/>
        <v>06/08/2016</v>
      </c>
    </row>
    <row r="2032" spans="1:27" x14ac:dyDescent="0.3">
      <c r="A2032" t="str">
        <f t="shared" si="563"/>
        <v>048314</v>
      </c>
      <c r="B2032" t="str">
        <f t="shared" si="576"/>
        <v>038430</v>
      </c>
      <c r="C2032" t="s">
        <v>3513</v>
      </c>
      <c r="D2032" t="s">
        <v>3839</v>
      </c>
      <c r="E2032" t="s">
        <v>3840</v>
      </c>
      <c r="F2032" t="s">
        <v>3841</v>
      </c>
      <c r="G2032" t="s">
        <v>3842</v>
      </c>
      <c r="H2032" t="str">
        <f t="shared" si="569"/>
        <v>048314</v>
      </c>
      <c r="I2032" t="s">
        <v>833</v>
      </c>
      <c r="J2032" t="str">
        <f t="shared" si="577"/>
        <v>2015-07-01 00:00:00.0</v>
      </c>
      <c r="K2032" t="s">
        <v>834</v>
      </c>
      <c r="L2032" t="s">
        <v>0</v>
      </c>
      <c r="M2032" t="str">
        <f t="shared" si="573"/>
        <v>048314</v>
      </c>
      <c r="N2032">
        <v>1</v>
      </c>
      <c r="O2032">
        <v>1</v>
      </c>
      <c r="P2032" t="str">
        <f>"04"</f>
        <v>04</v>
      </c>
      <c r="Q2032" t="s">
        <v>835</v>
      </c>
      <c r="S2032" t="s">
        <v>836</v>
      </c>
      <c r="T2032" t="s">
        <v>836</v>
      </c>
      <c r="U2032" t="str">
        <f t="shared" si="575"/>
        <v>2500-12-31 00:00:00.0</v>
      </c>
      <c r="V2032" t="s">
        <v>837</v>
      </c>
      <c r="W2032" t="str">
        <f t="shared" si="578"/>
        <v>048314-038430-**-**</v>
      </c>
      <c r="X2032" t="s">
        <v>838</v>
      </c>
      <c r="Y2032">
        <v>1206.25</v>
      </c>
      <c r="Z2032">
        <v>1206.25</v>
      </c>
      <c r="AA2032" t="str">
        <f t="shared" si="570"/>
        <v>06/08/2016</v>
      </c>
    </row>
    <row r="2033" spans="1:27" x14ac:dyDescent="0.3">
      <c r="A2033" t="str">
        <f t="shared" si="563"/>
        <v>048314</v>
      </c>
      <c r="B2033" t="str">
        <f t="shared" si="576"/>
        <v>038430</v>
      </c>
      <c r="C2033" t="s">
        <v>3432</v>
      </c>
      <c r="D2033" t="s">
        <v>3839</v>
      </c>
      <c r="E2033" t="s">
        <v>3840</v>
      </c>
      <c r="F2033" t="s">
        <v>3841</v>
      </c>
      <c r="G2033" t="s">
        <v>3842</v>
      </c>
      <c r="H2033" t="str">
        <f t="shared" si="569"/>
        <v>048314</v>
      </c>
      <c r="I2033" t="s">
        <v>833</v>
      </c>
      <c r="J2033" t="str">
        <f>"2015-08-01 00:00:00.0"</f>
        <v>2015-08-01 00:00:00.0</v>
      </c>
      <c r="K2033" t="s">
        <v>834</v>
      </c>
      <c r="L2033" t="s">
        <v>0</v>
      </c>
      <c r="M2033" t="str">
        <f t="shared" si="573"/>
        <v>048314</v>
      </c>
      <c r="N2033">
        <v>1</v>
      </c>
      <c r="O2033">
        <v>1</v>
      </c>
      <c r="P2033" t="s">
        <v>764</v>
      </c>
      <c r="Q2033" t="s">
        <v>835</v>
      </c>
      <c r="S2033" t="s">
        <v>836</v>
      </c>
      <c r="T2033" t="s">
        <v>836</v>
      </c>
      <c r="U2033" t="str">
        <f t="shared" si="575"/>
        <v>2500-12-31 00:00:00.0</v>
      </c>
      <c r="V2033" t="s">
        <v>837</v>
      </c>
      <c r="W2033" t="str">
        <f t="shared" si="578"/>
        <v>048314-038430-**-**</v>
      </c>
      <c r="X2033" t="s">
        <v>838</v>
      </c>
      <c r="Y2033">
        <v>1206.25</v>
      </c>
      <c r="Z2033">
        <v>1206.25</v>
      </c>
      <c r="AA2033" t="str">
        <f t="shared" si="570"/>
        <v>06/08/2016</v>
      </c>
    </row>
    <row r="2034" spans="1:27" x14ac:dyDescent="0.3">
      <c r="A2034" t="str">
        <f t="shared" si="563"/>
        <v>048314</v>
      </c>
      <c r="B2034" t="str">
        <f t="shared" si="576"/>
        <v>038430</v>
      </c>
      <c r="C2034" t="s">
        <v>3298</v>
      </c>
      <c r="D2034" t="s">
        <v>3839</v>
      </c>
      <c r="E2034" t="s">
        <v>3840</v>
      </c>
      <c r="F2034" t="s">
        <v>3841</v>
      </c>
      <c r="G2034" t="s">
        <v>3842</v>
      </c>
      <c r="H2034" t="str">
        <f t="shared" si="569"/>
        <v>048314</v>
      </c>
      <c r="I2034" t="s">
        <v>833</v>
      </c>
      <c r="J2034" t="str">
        <f>"2015-07-01 00:00:00.0"</f>
        <v>2015-07-01 00:00:00.0</v>
      </c>
      <c r="K2034" t="s">
        <v>834</v>
      </c>
      <c r="L2034" t="s">
        <v>0</v>
      </c>
      <c r="M2034" t="str">
        <f t="shared" si="573"/>
        <v>048314</v>
      </c>
      <c r="N2034">
        <v>1</v>
      </c>
      <c r="O2034">
        <v>1</v>
      </c>
      <c r="P2034" t="str">
        <f>"04"</f>
        <v>04</v>
      </c>
      <c r="Q2034" t="s">
        <v>835</v>
      </c>
      <c r="S2034" t="s">
        <v>836</v>
      </c>
      <c r="T2034" t="s">
        <v>836</v>
      </c>
      <c r="U2034" t="str">
        <f t="shared" si="575"/>
        <v>2500-12-31 00:00:00.0</v>
      </c>
      <c r="V2034" t="s">
        <v>837</v>
      </c>
      <c r="W2034" t="str">
        <f t="shared" si="578"/>
        <v>048314-038430-**-**</v>
      </c>
      <c r="X2034" t="s">
        <v>838</v>
      </c>
      <c r="Y2034">
        <v>1206.25</v>
      </c>
      <c r="Z2034">
        <v>1206.25</v>
      </c>
      <c r="AA2034" t="str">
        <f t="shared" si="570"/>
        <v>06/08/2016</v>
      </c>
    </row>
    <row r="2035" spans="1:27" x14ac:dyDescent="0.3">
      <c r="A2035" t="str">
        <f t="shared" si="563"/>
        <v>048314</v>
      </c>
      <c r="B2035" t="str">
        <f t="shared" si="576"/>
        <v>038430</v>
      </c>
      <c r="C2035" t="s">
        <v>1527</v>
      </c>
      <c r="D2035" t="s">
        <v>3839</v>
      </c>
      <c r="E2035" t="s">
        <v>3840</v>
      </c>
      <c r="F2035" t="s">
        <v>3841</v>
      </c>
      <c r="G2035" t="s">
        <v>3842</v>
      </c>
      <c r="H2035" t="str">
        <f t="shared" si="569"/>
        <v>048314</v>
      </c>
      <c r="I2035" t="s">
        <v>833</v>
      </c>
      <c r="J2035" t="str">
        <f>"2016-03-01 00:00:00.0"</f>
        <v>2016-03-01 00:00:00.0</v>
      </c>
      <c r="K2035" t="s">
        <v>834</v>
      </c>
      <c r="L2035" t="s">
        <v>0</v>
      </c>
      <c r="M2035" t="str">
        <f t="shared" si="573"/>
        <v>048314</v>
      </c>
      <c r="N2035">
        <v>0.36269400000000002</v>
      </c>
      <c r="O2035">
        <v>0.36269400000000002</v>
      </c>
      <c r="P2035" t="s">
        <v>764</v>
      </c>
      <c r="Q2035" t="s">
        <v>835</v>
      </c>
      <c r="S2035" t="s">
        <v>836</v>
      </c>
      <c r="T2035" t="s">
        <v>836</v>
      </c>
      <c r="U2035" t="str">
        <f t="shared" si="575"/>
        <v>2500-12-31 00:00:00.0</v>
      </c>
      <c r="V2035" t="s">
        <v>837</v>
      </c>
      <c r="W2035" t="str">
        <f t="shared" si="578"/>
        <v>048314-038430-**-**</v>
      </c>
      <c r="X2035" t="s">
        <v>838</v>
      </c>
      <c r="Y2035">
        <v>437.5</v>
      </c>
      <c r="Z2035">
        <v>1206.25</v>
      </c>
      <c r="AA2035" t="str">
        <f t="shared" si="570"/>
        <v>06/08/2016</v>
      </c>
    </row>
    <row r="2036" spans="1:27" x14ac:dyDescent="0.3">
      <c r="A2036" t="str">
        <f t="shared" si="563"/>
        <v>048314</v>
      </c>
      <c r="B2036" t="str">
        <f t="shared" si="576"/>
        <v>038430</v>
      </c>
      <c r="C2036" t="s">
        <v>3398</v>
      </c>
      <c r="D2036" t="s">
        <v>3839</v>
      </c>
      <c r="E2036" t="s">
        <v>3840</v>
      </c>
      <c r="F2036" t="s">
        <v>3841</v>
      </c>
      <c r="G2036" t="s">
        <v>3842</v>
      </c>
      <c r="H2036" t="str">
        <f t="shared" si="569"/>
        <v>048314</v>
      </c>
      <c r="I2036" t="s">
        <v>833</v>
      </c>
      <c r="J2036" t="str">
        <f>"2015-07-01 00:00:00.0"</f>
        <v>2015-07-01 00:00:00.0</v>
      </c>
      <c r="K2036" t="s">
        <v>834</v>
      </c>
      <c r="L2036" t="s">
        <v>0</v>
      </c>
      <c r="M2036" t="str">
        <f t="shared" si="573"/>
        <v>048314</v>
      </c>
      <c r="N2036">
        <v>1</v>
      </c>
      <c r="O2036">
        <v>1</v>
      </c>
      <c r="P2036" t="str">
        <f>"04"</f>
        <v>04</v>
      </c>
      <c r="Q2036" t="s">
        <v>835</v>
      </c>
      <c r="S2036" t="s">
        <v>836</v>
      </c>
      <c r="T2036" t="s">
        <v>860</v>
      </c>
      <c r="U2036" t="str">
        <f t="shared" si="575"/>
        <v>2500-12-31 00:00:00.0</v>
      </c>
      <c r="V2036" t="s">
        <v>837</v>
      </c>
      <c r="W2036" t="str">
        <f t="shared" si="578"/>
        <v>048314-038430-**-**</v>
      </c>
      <c r="X2036" t="s">
        <v>838</v>
      </c>
      <c r="Y2036">
        <v>1206.25</v>
      </c>
      <c r="Z2036">
        <v>1206.25</v>
      </c>
      <c r="AA2036" t="str">
        <f t="shared" si="570"/>
        <v>06/08/2016</v>
      </c>
    </row>
    <row r="2037" spans="1:27" x14ac:dyDescent="0.3">
      <c r="A2037" t="str">
        <f t="shared" si="563"/>
        <v>048314</v>
      </c>
      <c r="B2037" t="str">
        <f t="shared" si="576"/>
        <v>038430</v>
      </c>
      <c r="C2037" t="s">
        <v>1490</v>
      </c>
      <c r="D2037" t="s">
        <v>3839</v>
      </c>
      <c r="E2037" t="s">
        <v>3840</v>
      </c>
      <c r="F2037" t="s">
        <v>3841</v>
      </c>
      <c r="G2037" t="s">
        <v>3842</v>
      </c>
      <c r="H2037" t="str">
        <f t="shared" si="569"/>
        <v>048314</v>
      </c>
      <c r="I2037" t="s">
        <v>833</v>
      </c>
      <c r="J2037" t="str">
        <f>"2015-09-30 00:00:00.0"</f>
        <v>2015-09-30 00:00:00.0</v>
      </c>
      <c r="K2037" t="s">
        <v>834</v>
      </c>
      <c r="L2037" t="s">
        <v>0</v>
      </c>
      <c r="M2037" t="str">
        <f t="shared" si="573"/>
        <v>048314</v>
      </c>
      <c r="N2037">
        <v>0.89119199999999998</v>
      </c>
      <c r="O2037">
        <v>0.89119199999999998</v>
      </c>
      <c r="P2037" t="s">
        <v>764</v>
      </c>
      <c r="Q2037" t="s">
        <v>835</v>
      </c>
      <c r="S2037" t="s">
        <v>836</v>
      </c>
      <c r="T2037" t="s">
        <v>1004</v>
      </c>
      <c r="U2037" t="str">
        <f t="shared" si="575"/>
        <v>2500-12-31 00:00:00.0</v>
      </c>
      <c r="V2037" t="s">
        <v>837</v>
      </c>
      <c r="W2037" t="str">
        <f t="shared" si="578"/>
        <v>048314-038430-**-**</v>
      </c>
      <c r="X2037" t="s">
        <v>838</v>
      </c>
      <c r="Y2037">
        <v>1075</v>
      </c>
      <c r="Z2037">
        <v>1206.25</v>
      </c>
      <c r="AA2037" t="str">
        <f t="shared" si="570"/>
        <v>06/08/2016</v>
      </c>
    </row>
    <row r="2038" spans="1:27" x14ac:dyDescent="0.3">
      <c r="A2038" t="str">
        <f t="shared" si="563"/>
        <v>048314</v>
      </c>
      <c r="B2038" t="str">
        <f t="shared" si="576"/>
        <v>038430</v>
      </c>
      <c r="C2038" t="s">
        <v>1490</v>
      </c>
      <c r="D2038" t="s">
        <v>3839</v>
      </c>
      <c r="E2038" t="s">
        <v>3840</v>
      </c>
      <c r="F2038" t="s">
        <v>3841</v>
      </c>
      <c r="G2038" t="s">
        <v>3842</v>
      </c>
      <c r="H2038" t="str">
        <f t="shared" si="569"/>
        <v>048314</v>
      </c>
      <c r="I2038" t="s">
        <v>833</v>
      </c>
      <c r="J2038" t="str">
        <f>"2015-08-31 00:00:00.0"</f>
        <v>2015-08-31 00:00:00.0</v>
      </c>
      <c r="K2038" t="s">
        <v>834</v>
      </c>
      <c r="L2038" t="s">
        <v>0</v>
      </c>
      <c r="M2038" t="str">
        <f t="shared" si="573"/>
        <v>048314</v>
      </c>
      <c r="N2038">
        <v>0.108808</v>
      </c>
      <c r="O2038">
        <v>0.108808</v>
      </c>
      <c r="P2038" t="s">
        <v>764</v>
      </c>
      <c r="Q2038" t="s">
        <v>835</v>
      </c>
      <c r="S2038" t="s">
        <v>836</v>
      </c>
      <c r="T2038" t="s">
        <v>836</v>
      </c>
      <c r="U2038" t="str">
        <f>"2015-09-29 00:00:00.0"</f>
        <v>2015-09-29 00:00:00.0</v>
      </c>
      <c r="V2038" t="s">
        <v>837</v>
      </c>
      <c r="W2038" t="str">
        <f t="shared" si="578"/>
        <v>048314-038430-**-**</v>
      </c>
      <c r="X2038" t="s">
        <v>838</v>
      </c>
      <c r="Y2038">
        <v>131.25</v>
      </c>
      <c r="Z2038">
        <v>1206.25</v>
      </c>
      <c r="AA2038" t="str">
        <f t="shared" si="570"/>
        <v>06/08/2016</v>
      </c>
    </row>
    <row r="2039" spans="1:27" x14ac:dyDescent="0.3">
      <c r="A2039" t="str">
        <f t="shared" si="563"/>
        <v>048314</v>
      </c>
      <c r="B2039" t="str">
        <f t="shared" si="576"/>
        <v>038430</v>
      </c>
      <c r="C2039" t="s">
        <v>3238</v>
      </c>
      <c r="D2039" t="s">
        <v>3839</v>
      </c>
      <c r="E2039" t="s">
        <v>3840</v>
      </c>
      <c r="F2039" t="s">
        <v>3841</v>
      </c>
      <c r="G2039" t="s">
        <v>3842</v>
      </c>
      <c r="H2039" t="str">
        <f>"048363"</f>
        <v>048363</v>
      </c>
      <c r="I2039" t="s">
        <v>833</v>
      </c>
      <c r="J2039" t="str">
        <f t="shared" ref="J2039:J2045" si="579">"2015-07-01 00:00:00.0"</f>
        <v>2015-07-01 00:00:00.0</v>
      </c>
      <c r="K2039" t="s">
        <v>834</v>
      </c>
      <c r="L2039" t="s">
        <v>1</v>
      </c>
      <c r="M2039" t="str">
        <f t="shared" si="573"/>
        <v>048314</v>
      </c>
      <c r="N2039">
        <v>1</v>
      </c>
      <c r="O2039">
        <v>1</v>
      </c>
      <c r="P2039" t="str">
        <f>"02"</f>
        <v>02</v>
      </c>
      <c r="Q2039" t="s">
        <v>835</v>
      </c>
      <c r="S2039" t="s">
        <v>836</v>
      </c>
      <c r="T2039" t="s">
        <v>836</v>
      </c>
      <c r="U2039" t="str">
        <f t="shared" ref="U2039:U2049" si="580">"2500-12-31 00:00:00.0"</f>
        <v>2500-12-31 00:00:00.0</v>
      </c>
      <c r="V2039" t="s">
        <v>837</v>
      </c>
      <c r="W2039" t="str">
        <f>"048363-026211-**-**"</f>
        <v>048363-026211-**-**</v>
      </c>
      <c r="X2039" t="s">
        <v>838</v>
      </c>
      <c r="Y2039">
        <v>1127</v>
      </c>
      <c r="Z2039">
        <v>1127</v>
      </c>
      <c r="AA2039" t="str">
        <f>"06/15/2016"</f>
        <v>06/15/2016</v>
      </c>
    </row>
    <row r="2040" spans="1:27" x14ac:dyDescent="0.3">
      <c r="A2040" t="str">
        <f t="shared" si="563"/>
        <v>048314</v>
      </c>
      <c r="B2040" t="str">
        <f t="shared" si="576"/>
        <v>038430</v>
      </c>
      <c r="C2040" t="s">
        <v>3682</v>
      </c>
      <c r="D2040" t="s">
        <v>3839</v>
      </c>
      <c r="E2040" t="s">
        <v>3840</v>
      </c>
      <c r="F2040" t="s">
        <v>3841</v>
      </c>
      <c r="G2040" t="s">
        <v>3842</v>
      </c>
      <c r="H2040" t="str">
        <f>"048363"</f>
        <v>048363</v>
      </c>
      <c r="I2040" t="s">
        <v>833</v>
      </c>
      <c r="J2040" t="str">
        <f t="shared" si="579"/>
        <v>2015-07-01 00:00:00.0</v>
      </c>
      <c r="K2040" t="s">
        <v>834</v>
      </c>
      <c r="L2040" t="s">
        <v>1</v>
      </c>
      <c r="M2040" t="str">
        <f t="shared" si="573"/>
        <v>048314</v>
      </c>
      <c r="N2040">
        <v>1</v>
      </c>
      <c r="O2040">
        <v>1</v>
      </c>
      <c r="P2040" t="s">
        <v>764</v>
      </c>
      <c r="Q2040" t="s">
        <v>835</v>
      </c>
      <c r="S2040" t="s">
        <v>836</v>
      </c>
      <c r="T2040" t="s">
        <v>836</v>
      </c>
      <c r="U2040" t="str">
        <f t="shared" si="580"/>
        <v>2500-12-31 00:00:00.0</v>
      </c>
      <c r="V2040" t="s">
        <v>837</v>
      </c>
      <c r="W2040" t="str">
        <f>"048363-026211-**-**"</f>
        <v>048363-026211-**-**</v>
      </c>
      <c r="X2040" t="s">
        <v>838</v>
      </c>
      <c r="Y2040">
        <v>1127</v>
      </c>
      <c r="Z2040">
        <v>1127</v>
      </c>
      <c r="AA2040" t="str">
        <f>"06/15/2016"</f>
        <v>06/15/2016</v>
      </c>
    </row>
    <row r="2041" spans="1:27" x14ac:dyDescent="0.3">
      <c r="A2041" t="str">
        <f t="shared" si="563"/>
        <v>048314</v>
      </c>
      <c r="B2041" t="str">
        <f t="shared" si="576"/>
        <v>038430</v>
      </c>
      <c r="C2041" t="s">
        <v>3641</v>
      </c>
      <c r="D2041" t="s">
        <v>3839</v>
      </c>
      <c r="E2041" t="s">
        <v>3840</v>
      </c>
      <c r="F2041" t="s">
        <v>3841</v>
      </c>
      <c r="G2041" t="s">
        <v>3842</v>
      </c>
      <c r="H2041" t="str">
        <f t="shared" ref="H2041:H2104" si="581">"048314"</f>
        <v>048314</v>
      </c>
      <c r="I2041" t="s">
        <v>833</v>
      </c>
      <c r="J2041" t="str">
        <f t="shared" si="579"/>
        <v>2015-07-01 00:00:00.0</v>
      </c>
      <c r="K2041" t="s">
        <v>834</v>
      </c>
      <c r="L2041" t="s">
        <v>0</v>
      </c>
      <c r="M2041" t="str">
        <f t="shared" si="573"/>
        <v>048314</v>
      </c>
      <c r="N2041">
        <v>1</v>
      </c>
      <c r="O2041">
        <v>1</v>
      </c>
      <c r="P2041" t="str">
        <f>"04"</f>
        <v>04</v>
      </c>
      <c r="Q2041" t="s">
        <v>835</v>
      </c>
      <c r="S2041" t="s">
        <v>860</v>
      </c>
      <c r="T2041" t="s">
        <v>836</v>
      </c>
      <c r="U2041" t="str">
        <f t="shared" si="580"/>
        <v>2500-12-31 00:00:00.0</v>
      </c>
      <c r="V2041" t="s">
        <v>837</v>
      </c>
      <c r="W2041" t="str">
        <f t="shared" ref="W2041:W2050" si="582">"048314-038430-**-**"</f>
        <v>048314-038430-**-**</v>
      </c>
      <c r="X2041" t="s">
        <v>838</v>
      </c>
      <c r="Y2041">
        <v>1206.25</v>
      </c>
      <c r="Z2041">
        <v>1206.25</v>
      </c>
      <c r="AA2041" t="str">
        <f t="shared" ref="AA2041:AA2104" si="583">"06/08/2016"</f>
        <v>06/08/2016</v>
      </c>
    </row>
    <row r="2042" spans="1:27" x14ac:dyDescent="0.3">
      <c r="A2042" t="str">
        <f t="shared" si="563"/>
        <v>048314</v>
      </c>
      <c r="B2042" t="str">
        <f t="shared" si="576"/>
        <v>038430</v>
      </c>
      <c r="C2042" t="s">
        <v>3643</v>
      </c>
      <c r="D2042" t="s">
        <v>3839</v>
      </c>
      <c r="E2042" t="s">
        <v>3840</v>
      </c>
      <c r="F2042" t="s">
        <v>3841</v>
      </c>
      <c r="G2042" t="s">
        <v>3842</v>
      </c>
      <c r="H2042" t="str">
        <f t="shared" si="581"/>
        <v>048314</v>
      </c>
      <c r="I2042" t="s">
        <v>833</v>
      </c>
      <c r="J2042" t="str">
        <f t="shared" si="579"/>
        <v>2015-07-01 00:00:00.0</v>
      </c>
      <c r="K2042" t="s">
        <v>834</v>
      </c>
      <c r="L2042" t="s">
        <v>0</v>
      </c>
      <c r="M2042" t="str">
        <f t="shared" si="573"/>
        <v>048314</v>
      </c>
      <c r="N2042">
        <v>1</v>
      </c>
      <c r="O2042">
        <v>1</v>
      </c>
      <c r="P2042" t="str">
        <f>"02"</f>
        <v>02</v>
      </c>
      <c r="Q2042" t="s">
        <v>835</v>
      </c>
      <c r="S2042" t="s">
        <v>860</v>
      </c>
      <c r="T2042" t="s">
        <v>836</v>
      </c>
      <c r="U2042" t="str">
        <f t="shared" si="580"/>
        <v>2500-12-31 00:00:00.0</v>
      </c>
      <c r="V2042" t="s">
        <v>837</v>
      </c>
      <c r="W2042" t="str">
        <f t="shared" si="582"/>
        <v>048314-038430-**-**</v>
      </c>
      <c r="X2042" t="s">
        <v>838</v>
      </c>
      <c r="Y2042">
        <v>1206.25</v>
      </c>
      <c r="Z2042">
        <v>1206.25</v>
      </c>
      <c r="AA2042" t="str">
        <f t="shared" si="583"/>
        <v>06/08/2016</v>
      </c>
    </row>
    <row r="2043" spans="1:27" x14ac:dyDescent="0.3">
      <c r="A2043" t="str">
        <f t="shared" si="563"/>
        <v>048314</v>
      </c>
      <c r="B2043" t="str">
        <f t="shared" si="576"/>
        <v>038430</v>
      </c>
      <c r="C2043" t="s">
        <v>3421</v>
      </c>
      <c r="D2043" t="s">
        <v>3839</v>
      </c>
      <c r="E2043" t="s">
        <v>3840</v>
      </c>
      <c r="F2043" t="s">
        <v>3841</v>
      </c>
      <c r="G2043" t="s">
        <v>3842</v>
      </c>
      <c r="H2043" t="str">
        <f t="shared" si="581"/>
        <v>048314</v>
      </c>
      <c r="I2043" t="s">
        <v>833</v>
      </c>
      <c r="J2043" t="str">
        <f t="shared" si="579"/>
        <v>2015-07-01 00:00:00.0</v>
      </c>
      <c r="K2043" t="s">
        <v>834</v>
      </c>
      <c r="L2043" t="s">
        <v>0</v>
      </c>
      <c r="M2043" t="str">
        <f t="shared" si="573"/>
        <v>048314</v>
      </c>
      <c r="N2043">
        <v>1</v>
      </c>
      <c r="O2043">
        <v>1</v>
      </c>
      <c r="P2043" t="str">
        <f>"04"</f>
        <v>04</v>
      </c>
      <c r="Q2043" t="s">
        <v>835</v>
      </c>
      <c r="S2043" t="s">
        <v>836</v>
      </c>
      <c r="T2043" t="s">
        <v>836</v>
      </c>
      <c r="U2043" t="str">
        <f t="shared" si="580"/>
        <v>2500-12-31 00:00:00.0</v>
      </c>
      <c r="V2043" t="s">
        <v>837</v>
      </c>
      <c r="W2043" t="str">
        <f t="shared" si="582"/>
        <v>048314-038430-**-**</v>
      </c>
      <c r="X2043" t="s">
        <v>838</v>
      </c>
      <c r="Y2043">
        <v>1206.25</v>
      </c>
      <c r="Z2043">
        <v>1206.25</v>
      </c>
      <c r="AA2043" t="str">
        <f t="shared" si="583"/>
        <v>06/08/2016</v>
      </c>
    </row>
    <row r="2044" spans="1:27" x14ac:dyDescent="0.3">
      <c r="A2044" t="str">
        <f t="shared" si="563"/>
        <v>048314</v>
      </c>
      <c r="B2044" t="str">
        <f t="shared" si="576"/>
        <v>038430</v>
      </c>
      <c r="C2044" t="s">
        <v>968</v>
      </c>
      <c r="D2044" t="s">
        <v>3839</v>
      </c>
      <c r="E2044" t="s">
        <v>3840</v>
      </c>
      <c r="F2044" t="s">
        <v>3841</v>
      </c>
      <c r="G2044" t="s">
        <v>3842</v>
      </c>
      <c r="H2044" t="str">
        <f t="shared" si="581"/>
        <v>048314</v>
      </c>
      <c r="I2044" t="s">
        <v>833</v>
      </c>
      <c r="J2044" t="str">
        <f t="shared" si="579"/>
        <v>2015-07-01 00:00:00.0</v>
      </c>
      <c r="K2044" t="s">
        <v>834</v>
      </c>
      <c r="L2044" t="s">
        <v>0</v>
      </c>
      <c r="M2044" t="str">
        <f t="shared" si="573"/>
        <v>048314</v>
      </c>
      <c r="N2044">
        <v>1</v>
      </c>
      <c r="O2044">
        <v>1</v>
      </c>
      <c r="P2044" t="str">
        <f>"01"</f>
        <v>01</v>
      </c>
      <c r="Q2044" t="s">
        <v>835</v>
      </c>
      <c r="S2044" t="s">
        <v>836</v>
      </c>
      <c r="T2044" t="s">
        <v>836</v>
      </c>
      <c r="U2044" t="str">
        <f t="shared" si="580"/>
        <v>2500-12-31 00:00:00.0</v>
      </c>
      <c r="V2044" t="s">
        <v>837</v>
      </c>
      <c r="W2044" t="str">
        <f t="shared" si="582"/>
        <v>048314-038430-**-**</v>
      </c>
      <c r="X2044" t="s">
        <v>838</v>
      </c>
      <c r="Y2044">
        <v>1206.25</v>
      </c>
      <c r="Z2044">
        <v>1206.25</v>
      </c>
      <c r="AA2044" t="str">
        <f t="shared" si="583"/>
        <v>06/08/2016</v>
      </c>
    </row>
    <row r="2045" spans="1:27" x14ac:dyDescent="0.3">
      <c r="A2045" t="str">
        <f t="shared" si="563"/>
        <v>048314</v>
      </c>
      <c r="B2045" t="str">
        <f t="shared" si="576"/>
        <v>038430</v>
      </c>
      <c r="C2045" t="s">
        <v>1301</v>
      </c>
      <c r="D2045" t="s">
        <v>3839</v>
      </c>
      <c r="E2045" t="s">
        <v>3840</v>
      </c>
      <c r="F2045" t="s">
        <v>3841</v>
      </c>
      <c r="G2045" t="s">
        <v>3842</v>
      </c>
      <c r="H2045" t="str">
        <f t="shared" si="581"/>
        <v>048314</v>
      </c>
      <c r="I2045" t="s">
        <v>833</v>
      </c>
      <c r="J2045" t="str">
        <f t="shared" si="579"/>
        <v>2015-07-01 00:00:00.0</v>
      </c>
      <c r="K2045" t="s">
        <v>834</v>
      </c>
      <c r="L2045" t="s">
        <v>0</v>
      </c>
      <c r="M2045" t="str">
        <f t="shared" si="573"/>
        <v>048314</v>
      </c>
      <c r="N2045">
        <v>1</v>
      </c>
      <c r="O2045">
        <v>1</v>
      </c>
      <c r="P2045" t="str">
        <f>"03"</f>
        <v>03</v>
      </c>
      <c r="Q2045" t="s">
        <v>835</v>
      </c>
      <c r="S2045" t="s">
        <v>836</v>
      </c>
      <c r="T2045" t="s">
        <v>836</v>
      </c>
      <c r="U2045" t="str">
        <f t="shared" si="580"/>
        <v>2500-12-31 00:00:00.0</v>
      </c>
      <c r="V2045" t="s">
        <v>837</v>
      </c>
      <c r="W2045" t="str">
        <f t="shared" si="582"/>
        <v>048314-038430-**-**</v>
      </c>
      <c r="X2045" t="s">
        <v>838</v>
      </c>
      <c r="Y2045">
        <v>1206.25</v>
      </c>
      <c r="Z2045">
        <v>1206.25</v>
      </c>
      <c r="AA2045" t="str">
        <f t="shared" si="583"/>
        <v>06/08/2016</v>
      </c>
    </row>
    <row r="2046" spans="1:27" x14ac:dyDescent="0.3">
      <c r="A2046" t="str">
        <f t="shared" si="563"/>
        <v>048314</v>
      </c>
      <c r="B2046" t="str">
        <f t="shared" si="576"/>
        <v>038430</v>
      </c>
      <c r="C2046" t="s">
        <v>875</v>
      </c>
      <c r="D2046" t="s">
        <v>3839</v>
      </c>
      <c r="E2046" t="s">
        <v>3840</v>
      </c>
      <c r="F2046" t="s">
        <v>3841</v>
      </c>
      <c r="G2046" t="s">
        <v>3842</v>
      </c>
      <c r="H2046" t="str">
        <f t="shared" si="581"/>
        <v>048314</v>
      </c>
      <c r="I2046" t="s">
        <v>833</v>
      </c>
      <c r="J2046" t="str">
        <f>"2015-08-31 00:00:00.0"</f>
        <v>2015-08-31 00:00:00.0</v>
      </c>
      <c r="K2046" t="s">
        <v>834</v>
      </c>
      <c r="L2046" t="s">
        <v>0</v>
      </c>
      <c r="M2046" t="str">
        <f t="shared" si="573"/>
        <v>048314</v>
      </c>
      <c r="N2046">
        <v>1</v>
      </c>
      <c r="O2046">
        <v>1</v>
      </c>
      <c r="P2046" t="s">
        <v>764</v>
      </c>
      <c r="Q2046" t="s">
        <v>835</v>
      </c>
      <c r="S2046" t="s">
        <v>836</v>
      </c>
      <c r="T2046" t="s">
        <v>836</v>
      </c>
      <c r="U2046" t="str">
        <f t="shared" si="580"/>
        <v>2500-12-31 00:00:00.0</v>
      </c>
      <c r="V2046" t="s">
        <v>837</v>
      </c>
      <c r="W2046" t="str">
        <f t="shared" si="582"/>
        <v>048314-038430-**-**</v>
      </c>
      <c r="X2046" t="s">
        <v>838</v>
      </c>
      <c r="Y2046">
        <v>1206.25</v>
      </c>
      <c r="Z2046">
        <v>1206.25</v>
      </c>
      <c r="AA2046" t="str">
        <f t="shared" si="583"/>
        <v>06/08/2016</v>
      </c>
    </row>
    <row r="2047" spans="1:27" x14ac:dyDescent="0.3">
      <c r="A2047" t="str">
        <f t="shared" si="563"/>
        <v>048314</v>
      </c>
      <c r="B2047" t="str">
        <f t="shared" si="576"/>
        <v>038430</v>
      </c>
      <c r="C2047" t="s">
        <v>1029</v>
      </c>
      <c r="D2047" t="s">
        <v>3839</v>
      </c>
      <c r="E2047" t="s">
        <v>3840</v>
      </c>
      <c r="F2047" t="s">
        <v>3841</v>
      </c>
      <c r="G2047" t="s">
        <v>3842</v>
      </c>
      <c r="H2047" t="str">
        <f t="shared" si="581"/>
        <v>048314</v>
      </c>
      <c r="I2047" t="s">
        <v>833</v>
      </c>
      <c r="J2047" t="str">
        <f>"2015-08-01 00:00:00.0"</f>
        <v>2015-08-01 00:00:00.0</v>
      </c>
      <c r="K2047" t="s">
        <v>834</v>
      </c>
      <c r="L2047" t="s">
        <v>0</v>
      </c>
      <c r="M2047" t="str">
        <f t="shared" si="573"/>
        <v>048314</v>
      </c>
      <c r="N2047">
        <v>1</v>
      </c>
      <c r="O2047">
        <v>1</v>
      </c>
      <c r="P2047" t="s">
        <v>764</v>
      </c>
      <c r="Q2047" t="s">
        <v>835</v>
      </c>
      <c r="S2047" t="s">
        <v>836</v>
      </c>
      <c r="T2047" t="s">
        <v>836</v>
      </c>
      <c r="U2047" t="str">
        <f t="shared" si="580"/>
        <v>2500-12-31 00:00:00.0</v>
      </c>
      <c r="V2047" t="s">
        <v>837</v>
      </c>
      <c r="W2047" t="str">
        <f t="shared" si="582"/>
        <v>048314-038430-**-**</v>
      </c>
      <c r="X2047" t="s">
        <v>838</v>
      </c>
      <c r="Y2047">
        <v>1206.25</v>
      </c>
      <c r="Z2047">
        <v>1206.25</v>
      </c>
      <c r="AA2047" t="str">
        <f t="shared" si="583"/>
        <v>06/08/2016</v>
      </c>
    </row>
    <row r="2048" spans="1:27" x14ac:dyDescent="0.3">
      <c r="A2048" t="str">
        <f t="shared" si="563"/>
        <v>048314</v>
      </c>
      <c r="B2048" t="str">
        <f t="shared" si="576"/>
        <v>038430</v>
      </c>
      <c r="C2048" t="s">
        <v>2289</v>
      </c>
      <c r="D2048" t="s">
        <v>3839</v>
      </c>
      <c r="E2048" t="s">
        <v>3840</v>
      </c>
      <c r="F2048" t="s">
        <v>3841</v>
      </c>
      <c r="G2048" t="s">
        <v>3842</v>
      </c>
      <c r="H2048" t="str">
        <f t="shared" si="581"/>
        <v>048314</v>
      </c>
      <c r="I2048" t="s">
        <v>833</v>
      </c>
      <c r="J2048" t="str">
        <f>"2015-08-01 00:00:00.0"</f>
        <v>2015-08-01 00:00:00.0</v>
      </c>
      <c r="K2048" t="s">
        <v>834</v>
      </c>
      <c r="L2048" t="s">
        <v>0</v>
      </c>
      <c r="M2048" t="str">
        <f t="shared" si="573"/>
        <v>048314</v>
      </c>
      <c r="N2048">
        <v>1</v>
      </c>
      <c r="O2048">
        <v>1</v>
      </c>
      <c r="P2048" t="s">
        <v>764</v>
      </c>
      <c r="Q2048" t="s">
        <v>835</v>
      </c>
      <c r="S2048" t="s">
        <v>836</v>
      </c>
      <c r="T2048" t="s">
        <v>836</v>
      </c>
      <c r="U2048" t="str">
        <f t="shared" si="580"/>
        <v>2500-12-31 00:00:00.0</v>
      </c>
      <c r="V2048" t="s">
        <v>837</v>
      </c>
      <c r="W2048" t="str">
        <f t="shared" si="582"/>
        <v>048314-038430-**-**</v>
      </c>
      <c r="X2048" t="s">
        <v>838</v>
      </c>
      <c r="Y2048">
        <v>1206.25</v>
      </c>
      <c r="Z2048">
        <v>1206.25</v>
      </c>
      <c r="AA2048" t="str">
        <f t="shared" si="583"/>
        <v>06/08/2016</v>
      </c>
    </row>
    <row r="2049" spans="1:27" x14ac:dyDescent="0.3">
      <c r="A2049" t="str">
        <f t="shared" si="563"/>
        <v>048314</v>
      </c>
      <c r="B2049" t="str">
        <f t="shared" si="576"/>
        <v>038430</v>
      </c>
      <c r="C2049" t="s">
        <v>3498</v>
      </c>
      <c r="D2049" t="s">
        <v>3839</v>
      </c>
      <c r="E2049" t="s">
        <v>3840</v>
      </c>
      <c r="F2049" t="s">
        <v>3841</v>
      </c>
      <c r="G2049" t="s">
        <v>3842</v>
      </c>
      <c r="H2049" t="str">
        <f t="shared" si="581"/>
        <v>048314</v>
      </c>
      <c r="I2049" t="s">
        <v>833</v>
      </c>
      <c r="J2049" t="str">
        <f>"2015-07-01 00:00:00.0"</f>
        <v>2015-07-01 00:00:00.0</v>
      </c>
      <c r="K2049" t="s">
        <v>834</v>
      </c>
      <c r="L2049" t="s">
        <v>0</v>
      </c>
      <c r="M2049" t="str">
        <f t="shared" si="573"/>
        <v>048314</v>
      </c>
      <c r="N2049">
        <v>1</v>
      </c>
      <c r="O2049">
        <v>1</v>
      </c>
      <c r="P2049" t="str">
        <f>"03"</f>
        <v>03</v>
      </c>
      <c r="Q2049" t="str">
        <f>"05"</f>
        <v>05</v>
      </c>
      <c r="R2049" t="str">
        <f>"1"</f>
        <v>1</v>
      </c>
      <c r="S2049" t="s">
        <v>836</v>
      </c>
      <c r="T2049" t="s">
        <v>836</v>
      </c>
      <c r="U2049" t="str">
        <f t="shared" si="580"/>
        <v>2500-12-31 00:00:00.0</v>
      </c>
      <c r="V2049" t="s">
        <v>837</v>
      </c>
      <c r="W2049" t="str">
        <f t="shared" si="582"/>
        <v>048314-038430-**-**</v>
      </c>
      <c r="X2049" t="s">
        <v>838</v>
      </c>
      <c r="Y2049">
        <v>1206.25</v>
      </c>
      <c r="Z2049">
        <v>1206.25</v>
      </c>
      <c r="AA2049" t="str">
        <f t="shared" si="583"/>
        <v>06/08/2016</v>
      </c>
    </row>
    <row r="2050" spans="1:27" x14ac:dyDescent="0.3">
      <c r="A2050" t="str">
        <f t="shared" ref="A2050:A2113" si="584">"048314"</f>
        <v>048314</v>
      </c>
      <c r="B2050" t="str">
        <f t="shared" si="576"/>
        <v>038430</v>
      </c>
      <c r="C2050" t="s">
        <v>3222</v>
      </c>
      <c r="D2050" t="s">
        <v>3839</v>
      </c>
      <c r="E2050" t="s">
        <v>3840</v>
      </c>
      <c r="F2050" t="s">
        <v>3841</v>
      </c>
      <c r="G2050" t="s">
        <v>3842</v>
      </c>
      <c r="H2050" t="str">
        <f t="shared" si="581"/>
        <v>048314</v>
      </c>
      <c r="I2050" t="s">
        <v>833</v>
      </c>
      <c r="J2050" t="str">
        <f>"2015-07-01 00:00:00.0"</f>
        <v>2015-07-01 00:00:00.0</v>
      </c>
      <c r="K2050" t="s">
        <v>834</v>
      </c>
      <c r="L2050" t="s">
        <v>0</v>
      </c>
      <c r="M2050" t="str">
        <f t="shared" si="573"/>
        <v>048314</v>
      </c>
      <c r="N2050">
        <v>0.37305700000000003</v>
      </c>
      <c r="O2050">
        <v>0.37305700000000003</v>
      </c>
      <c r="P2050" t="str">
        <f>"03"</f>
        <v>03</v>
      </c>
      <c r="Q2050" t="s">
        <v>835</v>
      </c>
      <c r="S2050" t="s">
        <v>836</v>
      </c>
      <c r="T2050" t="s">
        <v>836</v>
      </c>
      <c r="U2050" t="str">
        <f>"2015-12-11 00:00:00.0"</f>
        <v>2015-12-11 00:00:00.0</v>
      </c>
      <c r="V2050" t="s">
        <v>837</v>
      </c>
      <c r="W2050" t="str">
        <f t="shared" si="582"/>
        <v>048314-038430-**-**</v>
      </c>
      <c r="X2050" t="s">
        <v>838</v>
      </c>
      <c r="Y2050">
        <v>450</v>
      </c>
      <c r="Z2050">
        <v>1206.25</v>
      </c>
      <c r="AA2050" t="str">
        <f t="shared" si="583"/>
        <v>06/08/2016</v>
      </c>
    </row>
    <row r="2051" spans="1:27" x14ac:dyDescent="0.3">
      <c r="A2051" t="str">
        <f t="shared" si="584"/>
        <v>048314</v>
      </c>
      <c r="B2051" t="str">
        <f t="shared" si="576"/>
        <v>038430</v>
      </c>
      <c r="C2051" t="s">
        <v>2941</v>
      </c>
      <c r="D2051" t="s">
        <v>3839</v>
      </c>
      <c r="E2051" t="s">
        <v>3840</v>
      </c>
      <c r="F2051" t="s">
        <v>3841</v>
      </c>
      <c r="G2051" t="s">
        <v>3842</v>
      </c>
      <c r="H2051" t="str">
        <f t="shared" si="581"/>
        <v>048314</v>
      </c>
      <c r="I2051" t="s">
        <v>833</v>
      </c>
      <c r="J2051" t="str">
        <f>"2015-07-01 00:00:00.0"</f>
        <v>2015-07-01 00:00:00.0</v>
      </c>
      <c r="K2051" t="s">
        <v>834</v>
      </c>
      <c r="L2051" t="s">
        <v>0</v>
      </c>
      <c r="M2051" t="str">
        <f t="shared" si="573"/>
        <v>048314</v>
      </c>
      <c r="N2051">
        <v>1</v>
      </c>
      <c r="O2051">
        <v>1</v>
      </c>
      <c r="P2051" t="str">
        <f>"05"</f>
        <v>05</v>
      </c>
      <c r="Q2051" t="s">
        <v>835</v>
      </c>
      <c r="S2051" t="s">
        <v>836</v>
      </c>
      <c r="T2051" t="s">
        <v>836</v>
      </c>
      <c r="U2051" t="str">
        <f>"2500-12-31 00:00:00.0"</f>
        <v>2500-12-31 00:00:00.0</v>
      </c>
      <c r="V2051" t="s">
        <v>837</v>
      </c>
      <c r="W2051" t="str">
        <f>"048314-070417-**-**"</f>
        <v>048314-070417-**-**</v>
      </c>
      <c r="X2051" t="s">
        <v>838</v>
      </c>
      <c r="Y2051">
        <v>1125</v>
      </c>
      <c r="Z2051">
        <v>1125</v>
      </c>
      <c r="AA2051" t="str">
        <f t="shared" si="583"/>
        <v>06/08/2016</v>
      </c>
    </row>
    <row r="2052" spans="1:27" x14ac:dyDescent="0.3">
      <c r="A2052" t="str">
        <f t="shared" si="584"/>
        <v>048314</v>
      </c>
      <c r="B2052" t="str">
        <f t="shared" si="576"/>
        <v>038430</v>
      </c>
      <c r="C2052" t="s">
        <v>3446</v>
      </c>
      <c r="D2052" t="s">
        <v>3839</v>
      </c>
      <c r="E2052" t="s">
        <v>3840</v>
      </c>
      <c r="F2052" t="s">
        <v>3841</v>
      </c>
      <c r="G2052" t="s">
        <v>3842</v>
      </c>
      <c r="H2052" t="str">
        <f t="shared" si="581"/>
        <v>048314</v>
      </c>
      <c r="I2052" t="s">
        <v>833</v>
      </c>
      <c r="J2052" t="str">
        <f>"2015-07-01 00:00:00.0"</f>
        <v>2015-07-01 00:00:00.0</v>
      </c>
      <c r="K2052" t="s">
        <v>834</v>
      </c>
      <c r="L2052" t="s">
        <v>0</v>
      </c>
      <c r="M2052" t="str">
        <f t="shared" si="573"/>
        <v>048314</v>
      </c>
      <c r="N2052">
        <v>1</v>
      </c>
      <c r="O2052">
        <v>1</v>
      </c>
      <c r="P2052" t="str">
        <f>"04"</f>
        <v>04</v>
      </c>
      <c r="Q2052" t="s">
        <v>835</v>
      </c>
      <c r="S2052" t="s">
        <v>836</v>
      </c>
      <c r="T2052" t="s">
        <v>836</v>
      </c>
      <c r="U2052" t="str">
        <f>"2500-12-31 00:00:00.0"</f>
        <v>2500-12-31 00:00:00.0</v>
      </c>
      <c r="V2052" t="s">
        <v>837</v>
      </c>
      <c r="W2052" t="str">
        <f>"048314-038430-**-**"</f>
        <v>048314-038430-**-**</v>
      </c>
      <c r="X2052" t="s">
        <v>838</v>
      </c>
      <c r="Y2052">
        <v>1206.25</v>
      </c>
      <c r="Z2052">
        <v>1206.25</v>
      </c>
      <c r="AA2052" t="str">
        <f t="shared" si="583"/>
        <v>06/08/2016</v>
      </c>
    </row>
    <row r="2053" spans="1:27" x14ac:dyDescent="0.3">
      <c r="A2053" t="str">
        <f t="shared" si="584"/>
        <v>048314</v>
      </c>
      <c r="B2053" t="str">
        <f t="shared" si="576"/>
        <v>038430</v>
      </c>
      <c r="C2053" t="s">
        <v>2942</v>
      </c>
      <c r="D2053" t="s">
        <v>3839</v>
      </c>
      <c r="E2053" t="s">
        <v>3840</v>
      </c>
      <c r="F2053" t="s">
        <v>3841</v>
      </c>
      <c r="G2053" t="s">
        <v>3842</v>
      </c>
      <c r="H2053" t="str">
        <f t="shared" si="581"/>
        <v>048314</v>
      </c>
      <c r="I2053" t="s">
        <v>833</v>
      </c>
      <c r="J2053" t="str">
        <f>"2015-07-01 00:00:00.0"</f>
        <v>2015-07-01 00:00:00.0</v>
      </c>
      <c r="K2053" t="s">
        <v>834</v>
      </c>
      <c r="L2053" t="s">
        <v>0</v>
      </c>
      <c r="M2053" t="str">
        <f t="shared" si="573"/>
        <v>048314</v>
      </c>
      <c r="N2053">
        <v>0.22777800000000001</v>
      </c>
      <c r="O2053">
        <v>0.22777800000000001</v>
      </c>
      <c r="P2053" t="str">
        <f>"05"</f>
        <v>05</v>
      </c>
      <c r="Q2053" t="str">
        <f>"10"</f>
        <v>10</v>
      </c>
      <c r="R2053" t="str">
        <f>"2"</f>
        <v>2</v>
      </c>
      <c r="S2053" t="s">
        <v>836</v>
      </c>
      <c r="T2053" t="s">
        <v>836</v>
      </c>
      <c r="U2053" t="str">
        <f>"2015-10-27 00:00:00.0"</f>
        <v>2015-10-27 00:00:00.0</v>
      </c>
      <c r="V2053" t="s">
        <v>837</v>
      </c>
      <c r="W2053" t="str">
        <f>"048314-070417-**-**"</f>
        <v>048314-070417-**-**</v>
      </c>
      <c r="X2053" t="s">
        <v>838</v>
      </c>
      <c r="Y2053">
        <v>256.25</v>
      </c>
      <c r="Z2053">
        <v>1125</v>
      </c>
      <c r="AA2053" t="str">
        <f t="shared" si="583"/>
        <v>06/08/2016</v>
      </c>
    </row>
    <row r="2054" spans="1:27" x14ac:dyDescent="0.3">
      <c r="A2054" t="str">
        <f t="shared" si="584"/>
        <v>048314</v>
      </c>
      <c r="B2054" t="str">
        <f t="shared" si="576"/>
        <v>038430</v>
      </c>
      <c r="C2054" t="s">
        <v>2942</v>
      </c>
      <c r="D2054" t="s">
        <v>3839</v>
      </c>
      <c r="E2054" t="s">
        <v>3840</v>
      </c>
      <c r="F2054" t="s">
        <v>3841</v>
      </c>
      <c r="G2054" t="s">
        <v>3842</v>
      </c>
      <c r="H2054" t="str">
        <f t="shared" si="581"/>
        <v>048314</v>
      </c>
      <c r="I2054" t="s">
        <v>833</v>
      </c>
      <c r="J2054" t="str">
        <f>"2015-10-28 00:00:00.0"</f>
        <v>2015-10-28 00:00:00.0</v>
      </c>
      <c r="K2054" t="s">
        <v>834</v>
      </c>
      <c r="L2054" t="s">
        <v>0</v>
      </c>
      <c r="M2054" t="str">
        <f t="shared" si="573"/>
        <v>048314</v>
      </c>
      <c r="N2054">
        <v>8.8888999999999996E-2</v>
      </c>
      <c r="O2054">
        <v>8.8888999999999996E-2</v>
      </c>
      <c r="P2054" t="str">
        <f>"05"</f>
        <v>05</v>
      </c>
      <c r="Q2054" t="str">
        <f>"10"</f>
        <v>10</v>
      </c>
      <c r="R2054" t="str">
        <f>"2"</f>
        <v>2</v>
      </c>
      <c r="S2054" t="s">
        <v>860</v>
      </c>
      <c r="T2054" t="s">
        <v>836</v>
      </c>
      <c r="U2054" t="str">
        <f>"2015-11-18 00:00:00.0"</f>
        <v>2015-11-18 00:00:00.0</v>
      </c>
      <c r="V2054" t="s">
        <v>837</v>
      </c>
      <c r="W2054" t="str">
        <f>"048314-070417-**-**"</f>
        <v>048314-070417-**-**</v>
      </c>
      <c r="X2054" t="s">
        <v>838</v>
      </c>
      <c r="Y2054">
        <v>100</v>
      </c>
      <c r="Z2054">
        <v>1125</v>
      </c>
      <c r="AA2054" t="str">
        <f t="shared" si="583"/>
        <v>06/08/2016</v>
      </c>
    </row>
    <row r="2055" spans="1:27" x14ac:dyDescent="0.3">
      <c r="A2055" t="str">
        <f t="shared" si="584"/>
        <v>048314</v>
      </c>
      <c r="B2055" t="str">
        <f t="shared" si="576"/>
        <v>038430</v>
      </c>
      <c r="C2055" t="s">
        <v>2942</v>
      </c>
      <c r="D2055" t="s">
        <v>3839</v>
      </c>
      <c r="E2055" t="s">
        <v>3840</v>
      </c>
      <c r="F2055" t="s">
        <v>3841</v>
      </c>
      <c r="G2055" t="s">
        <v>3842</v>
      </c>
      <c r="H2055" t="str">
        <f t="shared" si="581"/>
        <v>048314</v>
      </c>
      <c r="I2055" t="s">
        <v>833</v>
      </c>
      <c r="J2055" t="str">
        <f>"2015-11-19 00:00:00.0"</f>
        <v>2015-11-19 00:00:00.0</v>
      </c>
      <c r="K2055" t="s">
        <v>834</v>
      </c>
      <c r="L2055" t="s">
        <v>0</v>
      </c>
      <c r="M2055" t="str">
        <f t="shared" si="573"/>
        <v>048314</v>
      </c>
      <c r="N2055">
        <v>0.68333299999999997</v>
      </c>
      <c r="O2055">
        <v>0.68333299999999997</v>
      </c>
      <c r="P2055" t="str">
        <f>"05"</f>
        <v>05</v>
      </c>
      <c r="Q2055" t="s">
        <v>835</v>
      </c>
      <c r="S2055" t="s">
        <v>860</v>
      </c>
      <c r="T2055" t="s">
        <v>836</v>
      </c>
      <c r="U2055" t="str">
        <f t="shared" ref="U2055:U2070" si="585">"2500-12-31 00:00:00.0"</f>
        <v>2500-12-31 00:00:00.0</v>
      </c>
      <c r="V2055" t="s">
        <v>837</v>
      </c>
      <c r="W2055" t="str">
        <f>"048314-070417-**-**"</f>
        <v>048314-070417-**-**</v>
      </c>
      <c r="X2055" t="s">
        <v>838</v>
      </c>
      <c r="Y2055">
        <v>768.75</v>
      </c>
      <c r="Z2055">
        <v>1125</v>
      </c>
      <c r="AA2055" t="str">
        <f t="shared" si="583"/>
        <v>06/08/2016</v>
      </c>
    </row>
    <row r="2056" spans="1:27" x14ac:dyDescent="0.3">
      <c r="A2056" t="str">
        <f t="shared" si="584"/>
        <v>048314</v>
      </c>
      <c r="B2056" t="str">
        <f t="shared" si="576"/>
        <v>038430</v>
      </c>
      <c r="C2056" t="s">
        <v>2991</v>
      </c>
      <c r="D2056" t="s">
        <v>3839</v>
      </c>
      <c r="E2056" t="s">
        <v>3840</v>
      </c>
      <c r="F2056" t="s">
        <v>3841</v>
      </c>
      <c r="G2056" t="s">
        <v>3842</v>
      </c>
      <c r="H2056" t="str">
        <f t="shared" si="581"/>
        <v>048314</v>
      </c>
      <c r="I2056" t="s">
        <v>833</v>
      </c>
      <c r="J2056" t="str">
        <f>"2015-08-28 00:00:00.0"</f>
        <v>2015-08-28 00:00:00.0</v>
      </c>
      <c r="K2056" t="s">
        <v>834</v>
      </c>
      <c r="L2056" t="s">
        <v>0</v>
      </c>
      <c r="M2056" t="str">
        <f t="shared" si="573"/>
        <v>048314</v>
      </c>
      <c r="N2056">
        <v>1</v>
      </c>
      <c r="O2056">
        <v>1</v>
      </c>
      <c r="P2056" t="str">
        <f>"03"</f>
        <v>03</v>
      </c>
      <c r="Q2056" t="s">
        <v>835</v>
      </c>
      <c r="S2056" t="s">
        <v>836</v>
      </c>
      <c r="T2056" t="s">
        <v>836</v>
      </c>
      <c r="U2056" t="str">
        <f t="shared" si="585"/>
        <v>2500-12-31 00:00:00.0</v>
      </c>
      <c r="V2056" t="s">
        <v>837</v>
      </c>
      <c r="W2056" t="str">
        <f>"048314-038430-**-**"</f>
        <v>048314-038430-**-**</v>
      </c>
      <c r="X2056" t="s">
        <v>838</v>
      </c>
      <c r="Y2056">
        <v>1206.25</v>
      </c>
      <c r="Z2056">
        <v>1206.25</v>
      </c>
      <c r="AA2056" t="str">
        <f t="shared" si="583"/>
        <v>06/08/2016</v>
      </c>
    </row>
    <row r="2057" spans="1:27" x14ac:dyDescent="0.3">
      <c r="A2057" t="str">
        <f t="shared" si="584"/>
        <v>048314</v>
      </c>
      <c r="B2057" t="str">
        <f t="shared" si="576"/>
        <v>038430</v>
      </c>
      <c r="C2057" t="s">
        <v>873</v>
      </c>
      <c r="D2057" t="s">
        <v>3839</v>
      </c>
      <c r="E2057" t="s">
        <v>3840</v>
      </c>
      <c r="F2057" t="s">
        <v>3841</v>
      </c>
      <c r="G2057" t="s">
        <v>3842</v>
      </c>
      <c r="H2057" t="str">
        <f t="shared" si="581"/>
        <v>048314</v>
      </c>
      <c r="I2057" t="s">
        <v>833</v>
      </c>
      <c r="J2057" t="str">
        <f>"2015-08-31 00:00:00.0"</f>
        <v>2015-08-31 00:00:00.0</v>
      </c>
      <c r="K2057" t="s">
        <v>834</v>
      </c>
      <c r="L2057" t="s">
        <v>0</v>
      </c>
      <c r="M2057" t="str">
        <f t="shared" si="573"/>
        <v>048314</v>
      </c>
      <c r="N2057">
        <v>1</v>
      </c>
      <c r="O2057">
        <v>1</v>
      </c>
      <c r="P2057" t="str">
        <f>"01"</f>
        <v>01</v>
      </c>
      <c r="Q2057" t="s">
        <v>835</v>
      </c>
      <c r="S2057" t="s">
        <v>836</v>
      </c>
      <c r="T2057" t="s">
        <v>836</v>
      </c>
      <c r="U2057" t="str">
        <f t="shared" si="585"/>
        <v>2500-12-31 00:00:00.0</v>
      </c>
      <c r="V2057" t="s">
        <v>837</v>
      </c>
      <c r="W2057" t="str">
        <f>"048314-038430-**-**"</f>
        <v>048314-038430-**-**</v>
      </c>
      <c r="X2057" t="s">
        <v>838</v>
      </c>
      <c r="Y2057">
        <v>1206.25</v>
      </c>
      <c r="Z2057">
        <v>1206.25</v>
      </c>
      <c r="AA2057" t="str">
        <f t="shared" si="583"/>
        <v>06/08/2016</v>
      </c>
    </row>
    <row r="2058" spans="1:27" x14ac:dyDescent="0.3">
      <c r="A2058" t="str">
        <f t="shared" si="584"/>
        <v>048314</v>
      </c>
      <c r="B2058" t="str">
        <f t="shared" si="576"/>
        <v>038430</v>
      </c>
      <c r="C2058" t="s">
        <v>1482</v>
      </c>
      <c r="D2058" t="s">
        <v>3839</v>
      </c>
      <c r="E2058" t="s">
        <v>3840</v>
      </c>
      <c r="F2058" t="s">
        <v>3841</v>
      </c>
      <c r="G2058" t="s">
        <v>3842</v>
      </c>
      <c r="H2058" t="str">
        <f t="shared" si="581"/>
        <v>048314</v>
      </c>
      <c r="I2058" t="s">
        <v>833</v>
      </c>
      <c r="J2058" t="str">
        <f t="shared" ref="J2058:J2063" si="586">"2015-07-01 00:00:00.0"</f>
        <v>2015-07-01 00:00:00.0</v>
      </c>
      <c r="K2058" t="s">
        <v>834</v>
      </c>
      <c r="L2058" t="s">
        <v>0</v>
      </c>
      <c r="M2058" t="str">
        <f t="shared" si="573"/>
        <v>048314</v>
      </c>
      <c r="N2058">
        <v>1</v>
      </c>
      <c r="O2058">
        <v>1</v>
      </c>
      <c r="P2058" t="str">
        <f>"02"</f>
        <v>02</v>
      </c>
      <c r="Q2058" t="s">
        <v>835</v>
      </c>
      <c r="S2058" t="s">
        <v>836</v>
      </c>
      <c r="T2058" t="s">
        <v>836</v>
      </c>
      <c r="U2058" t="str">
        <f t="shared" si="585"/>
        <v>2500-12-31 00:00:00.0</v>
      </c>
      <c r="V2058" t="s">
        <v>837</v>
      </c>
      <c r="W2058" t="str">
        <f>"048314-038430-**-**"</f>
        <v>048314-038430-**-**</v>
      </c>
      <c r="X2058" t="s">
        <v>838</v>
      </c>
      <c r="Y2058">
        <v>1206.25</v>
      </c>
      <c r="Z2058">
        <v>1206.25</v>
      </c>
      <c r="AA2058" t="str">
        <f t="shared" si="583"/>
        <v>06/08/2016</v>
      </c>
    </row>
    <row r="2059" spans="1:27" x14ac:dyDescent="0.3">
      <c r="A2059" t="str">
        <f t="shared" si="584"/>
        <v>048314</v>
      </c>
      <c r="B2059" t="str">
        <f t="shared" si="576"/>
        <v>038430</v>
      </c>
      <c r="C2059" t="s">
        <v>1053</v>
      </c>
      <c r="D2059" t="s">
        <v>3839</v>
      </c>
      <c r="E2059" t="s">
        <v>3840</v>
      </c>
      <c r="F2059" t="s">
        <v>3841</v>
      </c>
      <c r="G2059" t="s">
        <v>3842</v>
      </c>
      <c r="H2059" t="str">
        <f t="shared" si="581"/>
        <v>048314</v>
      </c>
      <c r="I2059" t="s">
        <v>833</v>
      </c>
      <c r="J2059" t="str">
        <f t="shared" si="586"/>
        <v>2015-07-01 00:00:00.0</v>
      </c>
      <c r="K2059" t="s">
        <v>834</v>
      </c>
      <c r="L2059" t="s">
        <v>0</v>
      </c>
      <c r="M2059" t="str">
        <f t="shared" si="573"/>
        <v>048314</v>
      </c>
      <c r="N2059">
        <v>1</v>
      </c>
      <c r="O2059">
        <v>1</v>
      </c>
      <c r="P2059" t="str">
        <f>"02"</f>
        <v>02</v>
      </c>
      <c r="Q2059" t="s">
        <v>835</v>
      </c>
      <c r="S2059" t="s">
        <v>836</v>
      </c>
      <c r="T2059" t="s">
        <v>836</v>
      </c>
      <c r="U2059" t="str">
        <f t="shared" si="585"/>
        <v>2500-12-31 00:00:00.0</v>
      </c>
      <c r="V2059" t="s">
        <v>837</v>
      </c>
      <c r="W2059" t="str">
        <f>"048314-038430-**-**"</f>
        <v>048314-038430-**-**</v>
      </c>
      <c r="X2059" t="s">
        <v>838</v>
      </c>
      <c r="Y2059">
        <v>1206.25</v>
      </c>
      <c r="Z2059">
        <v>1206.25</v>
      </c>
      <c r="AA2059" t="str">
        <f t="shared" si="583"/>
        <v>06/08/2016</v>
      </c>
    </row>
    <row r="2060" spans="1:27" x14ac:dyDescent="0.3">
      <c r="A2060" t="str">
        <f t="shared" si="584"/>
        <v>048314</v>
      </c>
      <c r="B2060" t="str">
        <f t="shared" si="576"/>
        <v>038430</v>
      </c>
      <c r="C2060" t="s">
        <v>1018</v>
      </c>
      <c r="D2060" t="s">
        <v>3839</v>
      </c>
      <c r="E2060" t="s">
        <v>3840</v>
      </c>
      <c r="F2060" t="s">
        <v>3841</v>
      </c>
      <c r="G2060" t="s">
        <v>3842</v>
      </c>
      <c r="H2060" t="str">
        <f t="shared" si="581"/>
        <v>048314</v>
      </c>
      <c r="I2060" t="s">
        <v>833</v>
      </c>
      <c r="J2060" t="str">
        <f t="shared" si="586"/>
        <v>2015-07-01 00:00:00.0</v>
      </c>
      <c r="K2060" t="s">
        <v>834</v>
      </c>
      <c r="L2060" t="s">
        <v>0</v>
      </c>
      <c r="M2060" t="str">
        <f t="shared" si="573"/>
        <v>048314</v>
      </c>
      <c r="N2060">
        <v>0.5</v>
      </c>
      <c r="O2060">
        <v>0.5</v>
      </c>
      <c r="P2060" t="str">
        <f>"02"</f>
        <v>02</v>
      </c>
      <c r="Q2060" t="s">
        <v>835</v>
      </c>
      <c r="S2060" t="s">
        <v>836</v>
      </c>
      <c r="T2060" t="s">
        <v>836</v>
      </c>
      <c r="U2060" t="str">
        <f t="shared" si="585"/>
        <v>2500-12-31 00:00:00.0</v>
      </c>
      <c r="V2060" t="s">
        <v>837</v>
      </c>
      <c r="W2060" t="str">
        <f>"048314-038430-**-**"</f>
        <v>048314-038430-**-**</v>
      </c>
      <c r="X2060" t="s">
        <v>838</v>
      </c>
      <c r="Y2060">
        <v>603.13</v>
      </c>
      <c r="Z2060">
        <v>1206.25</v>
      </c>
      <c r="AA2060" t="str">
        <f t="shared" si="583"/>
        <v>06/08/2016</v>
      </c>
    </row>
    <row r="2061" spans="1:27" x14ac:dyDescent="0.3">
      <c r="A2061" t="str">
        <f t="shared" si="584"/>
        <v>048314</v>
      </c>
      <c r="B2061" t="str">
        <f t="shared" si="576"/>
        <v>038430</v>
      </c>
      <c r="C2061" t="s">
        <v>3088</v>
      </c>
      <c r="D2061" t="s">
        <v>3839</v>
      </c>
      <c r="E2061" t="s">
        <v>3840</v>
      </c>
      <c r="F2061" t="s">
        <v>3841</v>
      </c>
      <c r="G2061" t="s">
        <v>3842</v>
      </c>
      <c r="H2061" t="str">
        <f t="shared" si="581"/>
        <v>048314</v>
      </c>
      <c r="I2061" t="s">
        <v>833</v>
      </c>
      <c r="J2061" t="str">
        <f t="shared" si="586"/>
        <v>2015-07-01 00:00:00.0</v>
      </c>
      <c r="K2061" t="s">
        <v>834</v>
      </c>
      <c r="L2061" t="s">
        <v>0</v>
      </c>
      <c r="M2061" t="str">
        <f t="shared" si="573"/>
        <v>048314</v>
      </c>
      <c r="N2061">
        <v>1</v>
      </c>
      <c r="O2061">
        <v>1</v>
      </c>
      <c r="P2061" t="str">
        <f>"05"</f>
        <v>05</v>
      </c>
      <c r="Q2061" t="s">
        <v>835</v>
      </c>
      <c r="S2061" t="s">
        <v>836</v>
      </c>
      <c r="T2061" t="s">
        <v>836</v>
      </c>
      <c r="U2061" t="str">
        <f t="shared" si="585"/>
        <v>2500-12-31 00:00:00.0</v>
      </c>
      <c r="V2061" t="s">
        <v>837</v>
      </c>
      <c r="W2061" t="str">
        <f>"048314-070417-**-**"</f>
        <v>048314-070417-**-**</v>
      </c>
      <c r="X2061" t="s">
        <v>838</v>
      </c>
      <c r="Y2061">
        <v>1125</v>
      </c>
      <c r="Z2061">
        <v>1125</v>
      </c>
      <c r="AA2061" t="str">
        <f t="shared" si="583"/>
        <v>06/08/2016</v>
      </c>
    </row>
    <row r="2062" spans="1:27" x14ac:dyDescent="0.3">
      <c r="A2062" t="str">
        <f t="shared" si="584"/>
        <v>048314</v>
      </c>
      <c r="B2062" t="str">
        <f t="shared" si="576"/>
        <v>038430</v>
      </c>
      <c r="C2062" t="s">
        <v>3195</v>
      </c>
      <c r="D2062" t="s">
        <v>3839</v>
      </c>
      <c r="E2062" t="s">
        <v>3840</v>
      </c>
      <c r="F2062" t="s">
        <v>3841</v>
      </c>
      <c r="G2062" t="s">
        <v>3842</v>
      </c>
      <c r="H2062" t="str">
        <f t="shared" si="581"/>
        <v>048314</v>
      </c>
      <c r="I2062" t="s">
        <v>833</v>
      </c>
      <c r="J2062" t="str">
        <f t="shared" si="586"/>
        <v>2015-07-01 00:00:00.0</v>
      </c>
      <c r="K2062" t="s">
        <v>834</v>
      </c>
      <c r="L2062" t="s">
        <v>0</v>
      </c>
      <c r="M2062" t="str">
        <f t="shared" si="573"/>
        <v>048314</v>
      </c>
      <c r="N2062">
        <v>1</v>
      </c>
      <c r="O2062">
        <v>1</v>
      </c>
      <c r="P2062" t="str">
        <f>"01"</f>
        <v>01</v>
      </c>
      <c r="Q2062" t="s">
        <v>835</v>
      </c>
      <c r="S2062" t="s">
        <v>860</v>
      </c>
      <c r="T2062" t="s">
        <v>836</v>
      </c>
      <c r="U2062" t="str">
        <f t="shared" si="585"/>
        <v>2500-12-31 00:00:00.0</v>
      </c>
      <c r="V2062" t="s">
        <v>837</v>
      </c>
      <c r="W2062" t="str">
        <f>"048314-038430-**-**"</f>
        <v>048314-038430-**-**</v>
      </c>
      <c r="X2062" t="s">
        <v>838</v>
      </c>
      <c r="Y2062">
        <v>1206.25</v>
      </c>
      <c r="Z2062">
        <v>1206.25</v>
      </c>
      <c r="AA2062" t="str">
        <f t="shared" si="583"/>
        <v>06/08/2016</v>
      </c>
    </row>
    <row r="2063" spans="1:27" x14ac:dyDescent="0.3">
      <c r="A2063" t="str">
        <f t="shared" si="584"/>
        <v>048314</v>
      </c>
      <c r="B2063" t="str">
        <f t="shared" si="576"/>
        <v>038430</v>
      </c>
      <c r="C2063" t="s">
        <v>3512</v>
      </c>
      <c r="D2063" t="s">
        <v>3839</v>
      </c>
      <c r="E2063" t="s">
        <v>3840</v>
      </c>
      <c r="F2063" t="s">
        <v>3841</v>
      </c>
      <c r="G2063" t="s">
        <v>3842</v>
      </c>
      <c r="H2063" t="str">
        <f t="shared" si="581"/>
        <v>048314</v>
      </c>
      <c r="I2063" t="s">
        <v>833</v>
      </c>
      <c r="J2063" t="str">
        <f t="shared" si="586"/>
        <v>2015-07-01 00:00:00.0</v>
      </c>
      <c r="K2063" t="s">
        <v>834</v>
      </c>
      <c r="L2063" t="s">
        <v>0</v>
      </c>
      <c r="M2063" t="str">
        <f t="shared" si="573"/>
        <v>048314</v>
      </c>
      <c r="N2063">
        <v>1</v>
      </c>
      <c r="O2063">
        <v>1</v>
      </c>
      <c r="P2063" t="str">
        <f>"03"</f>
        <v>03</v>
      </c>
      <c r="Q2063" t="s">
        <v>835</v>
      </c>
      <c r="S2063" t="s">
        <v>836</v>
      </c>
      <c r="T2063" t="s">
        <v>836</v>
      </c>
      <c r="U2063" t="str">
        <f t="shared" si="585"/>
        <v>2500-12-31 00:00:00.0</v>
      </c>
      <c r="V2063" t="s">
        <v>837</v>
      </c>
      <c r="W2063" t="str">
        <f>"048314-038430-**-**"</f>
        <v>048314-038430-**-**</v>
      </c>
      <c r="X2063" t="s">
        <v>838</v>
      </c>
      <c r="Y2063">
        <v>1206.25</v>
      </c>
      <c r="Z2063">
        <v>1206.25</v>
      </c>
      <c r="AA2063" t="str">
        <f t="shared" si="583"/>
        <v>06/08/2016</v>
      </c>
    </row>
    <row r="2064" spans="1:27" x14ac:dyDescent="0.3">
      <c r="A2064" t="str">
        <f t="shared" si="584"/>
        <v>048314</v>
      </c>
      <c r="B2064" t="str">
        <f t="shared" si="576"/>
        <v>038430</v>
      </c>
      <c r="C2064" t="s">
        <v>2944</v>
      </c>
      <c r="D2064" t="s">
        <v>3839</v>
      </c>
      <c r="E2064" t="s">
        <v>3840</v>
      </c>
      <c r="F2064" t="s">
        <v>3841</v>
      </c>
      <c r="G2064" t="s">
        <v>3842</v>
      </c>
      <c r="H2064" t="str">
        <f t="shared" si="581"/>
        <v>048314</v>
      </c>
      <c r="I2064" t="s">
        <v>833</v>
      </c>
      <c r="J2064" t="str">
        <f>"2015-11-04 00:00:00.0"</f>
        <v>2015-11-04 00:00:00.0</v>
      </c>
      <c r="K2064" t="s">
        <v>834</v>
      </c>
      <c r="L2064" t="s">
        <v>0</v>
      </c>
      <c r="M2064" t="str">
        <f t="shared" si="573"/>
        <v>048314</v>
      </c>
      <c r="N2064">
        <v>0.74444399999999999</v>
      </c>
      <c r="O2064">
        <v>0.69318199999999996</v>
      </c>
      <c r="P2064" t="str">
        <f>"05"</f>
        <v>05</v>
      </c>
      <c r="Q2064" t="s">
        <v>835</v>
      </c>
      <c r="S2064" t="s">
        <v>836</v>
      </c>
      <c r="T2064" t="s">
        <v>836</v>
      </c>
      <c r="U2064" t="str">
        <f t="shared" si="585"/>
        <v>2500-12-31 00:00:00.0</v>
      </c>
      <c r="V2064" t="s">
        <v>837</v>
      </c>
      <c r="W2064" t="str">
        <f>"048314-070417-**-**"</f>
        <v>048314-070417-**-**</v>
      </c>
      <c r="X2064" t="s">
        <v>838</v>
      </c>
      <c r="Y2064">
        <v>837.5</v>
      </c>
      <c r="Z2064">
        <v>1125</v>
      </c>
      <c r="AA2064" t="str">
        <f t="shared" si="583"/>
        <v>06/08/2016</v>
      </c>
    </row>
    <row r="2065" spans="1:27" x14ac:dyDescent="0.3">
      <c r="A2065" t="str">
        <f t="shared" si="584"/>
        <v>048314</v>
      </c>
      <c r="B2065" t="str">
        <f t="shared" si="576"/>
        <v>038430</v>
      </c>
      <c r="C2065" t="s">
        <v>3268</v>
      </c>
      <c r="D2065" t="s">
        <v>3839</v>
      </c>
      <c r="E2065" t="s">
        <v>3840</v>
      </c>
      <c r="F2065" t="s">
        <v>3841</v>
      </c>
      <c r="G2065" t="s">
        <v>3842</v>
      </c>
      <c r="H2065" t="str">
        <f t="shared" si="581"/>
        <v>048314</v>
      </c>
      <c r="I2065" t="s">
        <v>833</v>
      </c>
      <c r="J2065" t="str">
        <f>"2015-07-01 00:00:00.0"</f>
        <v>2015-07-01 00:00:00.0</v>
      </c>
      <c r="K2065" t="s">
        <v>834</v>
      </c>
      <c r="L2065" t="s">
        <v>0</v>
      </c>
      <c r="M2065" t="str">
        <f t="shared" si="573"/>
        <v>048314</v>
      </c>
      <c r="N2065">
        <v>1</v>
      </c>
      <c r="O2065">
        <v>1</v>
      </c>
      <c r="P2065" t="str">
        <f>"05"</f>
        <v>05</v>
      </c>
      <c r="Q2065" t="s">
        <v>835</v>
      </c>
      <c r="S2065" t="s">
        <v>836</v>
      </c>
      <c r="T2065" t="s">
        <v>836</v>
      </c>
      <c r="U2065" t="str">
        <f t="shared" si="585"/>
        <v>2500-12-31 00:00:00.0</v>
      </c>
      <c r="V2065" t="s">
        <v>837</v>
      </c>
      <c r="W2065" t="str">
        <f>"048314-070417-**-**"</f>
        <v>048314-070417-**-**</v>
      </c>
      <c r="X2065" t="s">
        <v>838</v>
      </c>
      <c r="Y2065">
        <v>1125</v>
      </c>
      <c r="Z2065">
        <v>1125</v>
      </c>
      <c r="AA2065" t="str">
        <f t="shared" si="583"/>
        <v>06/08/2016</v>
      </c>
    </row>
    <row r="2066" spans="1:27" x14ac:dyDescent="0.3">
      <c r="A2066" t="str">
        <f t="shared" si="584"/>
        <v>048314</v>
      </c>
      <c r="B2066" t="str">
        <f t="shared" si="576"/>
        <v>038430</v>
      </c>
      <c r="C2066" t="s">
        <v>3652</v>
      </c>
      <c r="D2066" t="s">
        <v>3839</v>
      </c>
      <c r="E2066" t="s">
        <v>3840</v>
      </c>
      <c r="F2066" t="s">
        <v>3841</v>
      </c>
      <c r="G2066" t="s">
        <v>3842</v>
      </c>
      <c r="H2066" t="str">
        <f t="shared" si="581"/>
        <v>048314</v>
      </c>
      <c r="I2066" t="s">
        <v>833</v>
      </c>
      <c r="J2066" t="str">
        <f>"2015-07-01 00:00:00.0"</f>
        <v>2015-07-01 00:00:00.0</v>
      </c>
      <c r="K2066" t="s">
        <v>834</v>
      </c>
      <c r="L2066" t="s">
        <v>0</v>
      </c>
      <c r="M2066" t="str">
        <f t="shared" si="573"/>
        <v>048314</v>
      </c>
      <c r="N2066">
        <v>1</v>
      </c>
      <c r="O2066">
        <v>1</v>
      </c>
      <c r="P2066" t="str">
        <f>"05"</f>
        <v>05</v>
      </c>
      <c r="Q2066" t="s">
        <v>835</v>
      </c>
      <c r="S2066" t="s">
        <v>836</v>
      </c>
      <c r="T2066" t="s">
        <v>836</v>
      </c>
      <c r="U2066" t="str">
        <f t="shared" si="585"/>
        <v>2500-12-31 00:00:00.0</v>
      </c>
      <c r="V2066" t="s">
        <v>837</v>
      </c>
      <c r="W2066" t="str">
        <f>"048314-070417-**-**"</f>
        <v>048314-070417-**-**</v>
      </c>
      <c r="X2066" t="s">
        <v>838</v>
      </c>
      <c r="Y2066">
        <v>1125</v>
      </c>
      <c r="Z2066">
        <v>1125</v>
      </c>
      <c r="AA2066" t="str">
        <f t="shared" si="583"/>
        <v>06/08/2016</v>
      </c>
    </row>
    <row r="2067" spans="1:27" x14ac:dyDescent="0.3">
      <c r="A2067" t="str">
        <f t="shared" si="584"/>
        <v>048314</v>
      </c>
      <c r="B2067" t="str">
        <f t="shared" si="576"/>
        <v>038430</v>
      </c>
      <c r="C2067" t="s">
        <v>3356</v>
      </c>
      <c r="D2067" t="s">
        <v>3839</v>
      </c>
      <c r="E2067" t="s">
        <v>3840</v>
      </c>
      <c r="F2067" t="s">
        <v>3841</v>
      </c>
      <c r="G2067" t="s">
        <v>3842</v>
      </c>
      <c r="H2067" t="str">
        <f t="shared" si="581"/>
        <v>048314</v>
      </c>
      <c r="I2067" t="s">
        <v>833</v>
      </c>
      <c r="J2067" t="str">
        <f>"2015-07-01 00:00:00.0"</f>
        <v>2015-07-01 00:00:00.0</v>
      </c>
      <c r="K2067" t="s">
        <v>834</v>
      </c>
      <c r="L2067" t="s">
        <v>0</v>
      </c>
      <c r="M2067" t="str">
        <f t="shared" si="573"/>
        <v>048314</v>
      </c>
      <c r="N2067">
        <v>1</v>
      </c>
      <c r="O2067">
        <v>1</v>
      </c>
      <c r="P2067" t="str">
        <f>"04"</f>
        <v>04</v>
      </c>
      <c r="Q2067" t="s">
        <v>835</v>
      </c>
      <c r="S2067" t="s">
        <v>836</v>
      </c>
      <c r="T2067" t="s">
        <v>836</v>
      </c>
      <c r="U2067" t="str">
        <f t="shared" si="585"/>
        <v>2500-12-31 00:00:00.0</v>
      </c>
      <c r="V2067" t="s">
        <v>837</v>
      </c>
      <c r="W2067" t="str">
        <f>"048314-038430-**-**"</f>
        <v>048314-038430-**-**</v>
      </c>
      <c r="X2067" t="s">
        <v>838</v>
      </c>
      <c r="Y2067">
        <v>1206.25</v>
      </c>
      <c r="Z2067">
        <v>1206.25</v>
      </c>
      <c r="AA2067" t="str">
        <f t="shared" si="583"/>
        <v>06/08/2016</v>
      </c>
    </row>
    <row r="2068" spans="1:27" x14ac:dyDescent="0.3">
      <c r="A2068" t="str">
        <f t="shared" si="584"/>
        <v>048314</v>
      </c>
      <c r="B2068" t="str">
        <f t="shared" si="576"/>
        <v>038430</v>
      </c>
      <c r="C2068" t="s">
        <v>2945</v>
      </c>
      <c r="D2068" t="s">
        <v>3839</v>
      </c>
      <c r="E2068" t="s">
        <v>3840</v>
      </c>
      <c r="F2068" t="s">
        <v>3841</v>
      </c>
      <c r="G2068" t="s">
        <v>3842</v>
      </c>
      <c r="H2068" t="str">
        <f t="shared" si="581"/>
        <v>048314</v>
      </c>
      <c r="I2068" t="s">
        <v>833</v>
      </c>
      <c r="J2068" t="str">
        <f>"2015-07-01 00:00:00.0"</f>
        <v>2015-07-01 00:00:00.0</v>
      </c>
      <c r="K2068" t="s">
        <v>834</v>
      </c>
      <c r="L2068" t="s">
        <v>0</v>
      </c>
      <c r="M2068" t="str">
        <f t="shared" si="573"/>
        <v>048314</v>
      </c>
      <c r="N2068">
        <v>1</v>
      </c>
      <c r="O2068">
        <v>1</v>
      </c>
      <c r="P2068" t="str">
        <f>"05"</f>
        <v>05</v>
      </c>
      <c r="Q2068" t="s">
        <v>835</v>
      </c>
      <c r="S2068" t="s">
        <v>836</v>
      </c>
      <c r="T2068" t="s">
        <v>836</v>
      </c>
      <c r="U2068" t="str">
        <f t="shared" si="585"/>
        <v>2500-12-31 00:00:00.0</v>
      </c>
      <c r="V2068" t="s">
        <v>837</v>
      </c>
      <c r="W2068" t="str">
        <f>"048314-070417-**-**"</f>
        <v>048314-070417-**-**</v>
      </c>
      <c r="X2068" t="s">
        <v>838</v>
      </c>
      <c r="Y2068">
        <v>1125</v>
      </c>
      <c r="Z2068">
        <v>1125</v>
      </c>
      <c r="AA2068" t="str">
        <f t="shared" si="583"/>
        <v>06/08/2016</v>
      </c>
    </row>
    <row r="2069" spans="1:27" x14ac:dyDescent="0.3">
      <c r="A2069" t="str">
        <f t="shared" si="584"/>
        <v>048314</v>
      </c>
      <c r="B2069" t="str">
        <f t="shared" si="576"/>
        <v>038430</v>
      </c>
      <c r="C2069" t="s">
        <v>3239</v>
      </c>
      <c r="D2069" t="s">
        <v>3839</v>
      </c>
      <c r="E2069" t="s">
        <v>3840</v>
      </c>
      <c r="F2069" t="s">
        <v>3841</v>
      </c>
      <c r="G2069" t="s">
        <v>3842</v>
      </c>
      <c r="H2069" t="str">
        <f t="shared" si="581"/>
        <v>048314</v>
      </c>
      <c r="I2069" t="s">
        <v>833</v>
      </c>
      <c r="J2069" t="str">
        <f>"2015-07-01 00:00:00.0"</f>
        <v>2015-07-01 00:00:00.0</v>
      </c>
      <c r="K2069" t="s">
        <v>834</v>
      </c>
      <c r="L2069" t="s">
        <v>0</v>
      </c>
      <c r="M2069" t="str">
        <f t="shared" si="573"/>
        <v>048314</v>
      </c>
      <c r="N2069">
        <v>1</v>
      </c>
      <c r="O2069">
        <v>1</v>
      </c>
      <c r="P2069" t="str">
        <f>"01"</f>
        <v>01</v>
      </c>
      <c r="Q2069" t="s">
        <v>835</v>
      </c>
      <c r="S2069" t="s">
        <v>836</v>
      </c>
      <c r="T2069" t="s">
        <v>836</v>
      </c>
      <c r="U2069" t="str">
        <f t="shared" si="585"/>
        <v>2500-12-31 00:00:00.0</v>
      </c>
      <c r="V2069" t="s">
        <v>837</v>
      </c>
      <c r="W2069" t="str">
        <f>"048314-038430-**-**"</f>
        <v>048314-038430-**-**</v>
      </c>
      <c r="X2069" t="s">
        <v>838</v>
      </c>
      <c r="Y2069">
        <v>1206.25</v>
      </c>
      <c r="Z2069">
        <v>1206.25</v>
      </c>
      <c r="AA2069" t="str">
        <f t="shared" si="583"/>
        <v>06/08/2016</v>
      </c>
    </row>
    <row r="2070" spans="1:27" x14ac:dyDescent="0.3">
      <c r="A2070" t="str">
        <f t="shared" si="584"/>
        <v>048314</v>
      </c>
      <c r="B2070" t="str">
        <f t="shared" si="576"/>
        <v>038430</v>
      </c>
      <c r="C2070" t="s">
        <v>2974</v>
      </c>
      <c r="D2070" t="s">
        <v>3839</v>
      </c>
      <c r="E2070" t="s">
        <v>3840</v>
      </c>
      <c r="F2070" t="s">
        <v>3841</v>
      </c>
      <c r="G2070" t="s">
        <v>3842</v>
      </c>
      <c r="H2070" t="str">
        <f t="shared" si="581"/>
        <v>048314</v>
      </c>
      <c r="I2070" t="s">
        <v>833</v>
      </c>
      <c r="J2070" t="str">
        <f>"2016-05-06 00:00:00.0"</f>
        <v>2016-05-06 00:00:00.0</v>
      </c>
      <c r="K2070" t="s">
        <v>834</v>
      </c>
      <c r="L2070" t="s">
        <v>0</v>
      </c>
      <c r="M2070" t="str">
        <f t="shared" si="573"/>
        <v>048314</v>
      </c>
      <c r="N2070">
        <v>0.119171</v>
      </c>
      <c r="O2070">
        <v>0.119171</v>
      </c>
      <c r="P2070" t="str">
        <f>"02"</f>
        <v>02</v>
      </c>
      <c r="Q2070" t="s">
        <v>835</v>
      </c>
      <c r="S2070" t="s">
        <v>836</v>
      </c>
      <c r="T2070" t="s">
        <v>836</v>
      </c>
      <c r="U2070" t="str">
        <f t="shared" si="585"/>
        <v>2500-12-31 00:00:00.0</v>
      </c>
      <c r="V2070" t="s">
        <v>837</v>
      </c>
      <c r="W2070" t="str">
        <f>"048314-038430-**-**"</f>
        <v>048314-038430-**-**</v>
      </c>
      <c r="X2070" t="s">
        <v>838</v>
      </c>
      <c r="Y2070">
        <v>143.75</v>
      </c>
      <c r="Z2070">
        <v>1206.25</v>
      </c>
      <c r="AA2070" t="str">
        <f t="shared" si="583"/>
        <v>06/08/2016</v>
      </c>
    </row>
    <row r="2071" spans="1:27" x14ac:dyDescent="0.3">
      <c r="A2071" t="str">
        <f t="shared" si="584"/>
        <v>048314</v>
      </c>
      <c r="B2071" t="str">
        <f t="shared" si="576"/>
        <v>038430</v>
      </c>
      <c r="C2071" t="s">
        <v>2974</v>
      </c>
      <c r="D2071" t="s">
        <v>3839</v>
      </c>
      <c r="E2071" t="s">
        <v>3840</v>
      </c>
      <c r="F2071" t="s">
        <v>3841</v>
      </c>
      <c r="G2071" t="s">
        <v>3842</v>
      </c>
      <c r="H2071" t="str">
        <f t="shared" si="581"/>
        <v>048314</v>
      </c>
      <c r="I2071" t="s">
        <v>833</v>
      </c>
      <c r="J2071" t="str">
        <f>"2015-07-01 00:00:00.0"</f>
        <v>2015-07-01 00:00:00.0</v>
      </c>
      <c r="K2071" t="s">
        <v>834</v>
      </c>
      <c r="L2071" t="s">
        <v>0</v>
      </c>
      <c r="M2071" t="str">
        <f t="shared" si="573"/>
        <v>048314</v>
      </c>
      <c r="N2071">
        <v>0.88082899999999997</v>
      </c>
      <c r="O2071">
        <v>0.88082899999999997</v>
      </c>
      <c r="P2071" t="str">
        <f>"02"</f>
        <v>02</v>
      </c>
      <c r="Q2071" t="str">
        <f>"05"</f>
        <v>05</v>
      </c>
      <c r="R2071" t="str">
        <f>"1"</f>
        <v>1</v>
      </c>
      <c r="S2071" t="s">
        <v>836</v>
      </c>
      <c r="T2071" t="s">
        <v>836</v>
      </c>
      <c r="U2071" t="str">
        <f>"2016-05-05 00:00:00.0"</f>
        <v>2016-05-05 00:00:00.0</v>
      </c>
      <c r="V2071" t="s">
        <v>837</v>
      </c>
      <c r="W2071" t="str">
        <f>"048314-038430-**-**"</f>
        <v>048314-038430-**-**</v>
      </c>
      <c r="X2071" t="s">
        <v>838</v>
      </c>
      <c r="Y2071">
        <v>1062.5</v>
      </c>
      <c r="Z2071">
        <v>1206.25</v>
      </c>
      <c r="AA2071" t="str">
        <f t="shared" si="583"/>
        <v>06/08/2016</v>
      </c>
    </row>
    <row r="2072" spans="1:27" x14ac:dyDescent="0.3">
      <c r="A2072" t="str">
        <f t="shared" si="584"/>
        <v>048314</v>
      </c>
      <c r="B2072" t="str">
        <f t="shared" si="576"/>
        <v>038430</v>
      </c>
      <c r="C2072" t="s">
        <v>1453</v>
      </c>
      <c r="D2072" t="s">
        <v>3839</v>
      </c>
      <c r="E2072" t="s">
        <v>3840</v>
      </c>
      <c r="F2072" t="s">
        <v>3841</v>
      </c>
      <c r="G2072" t="s">
        <v>3842</v>
      </c>
      <c r="H2072" t="str">
        <f t="shared" si="581"/>
        <v>048314</v>
      </c>
      <c r="I2072" t="s">
        <v>833</v>
      </c>
      <c r="J2072" t="str">
        <f>"2015-07-01 00:00:00.0"</f>
        <v>2015-07-01 00:00:00.0</v>
      </c>
      <c r="K2072" t="s">
        <v>834</v>
      </c>
      <c r="L2072" t="s">
        <v>0</v>
      </c>
      <c r="M2072" t="str">
        <f t="shared" si="573"/>
        <v>048314</v>
      </c>
      <c r="N2072">
        <v>1</v>
      </c>
      <c r="O2072">
        <v>1</v>
      </c>
      <c r="P2072" t="str">
        <f>"05"</f>
        <v>05</v>
      </c>
      <c r="Q2072" t="s">
        <v>835</v>
      </c>
      <c r="S2072" t="s">
        <v>836</v>
      </c>
      <c r="T2072" t="s">
        <v>836</v>
      </c>
      <c r="U2072" t="str">
        <f>"2500-12-31 00:00:00.0"</f>
        <v>2500-12-31 00:00:00.0</v>
      </c>
      <c r="V2072" t="s">
        <v>837</v>
      </c>
      <c r="W2072" t="str">
        <f>"048314-070417-**-**"</f>
        <v>048314-070417-**-**</v>
      </c>
      <c r="X2072" t="s">
        <v>838</v>
      </c>
      <c r="Y2072">
        <v>1125</v>
      </c>
      <c r="Z2072">
        <v>1125</v>
      </c>
      <c r="AA2072" t="str">
        <f t="shared" si="583"/>
        <v>06/08/2016</v>
      </c>
    </row>
    <row r="2073" spans="1:27" x14ac:dyDescent="0.3">
      <c r="A2073" t="str">
        <f t="shared" si="584"/>
        <v>048314</v>
      </c>
      <c r="B2073" t="str">
        <f t="shared" si="576"/>
        <v>038430</v>
      </c>
      <c r="C2073" t="s">
        <v>1439</v>
      </c>
      <c r="D2073" t="s">
        <v>3839</v>
      </c>
      <c r="E2073" t="s">
        <v>3840</v>
      </c>
      <c r="F2073" t="s">
        <v>3841</v>
      </c>
      <c r="G2073" t="s">
        <v>3842</v>
      </c>
      <c r="H2073" t="str">
        <f t="shared" si="581"/>
        <v>048314</v>
      </c>
      <c r="I2073" t="s">
        <v>833</v>
      </c>
      <c r="J2073" t="str">
        <f>"2015-08-31 00:00:00.0"</f>
        <v>2015-08-31 00:00:00.0</v>
      </c>
      <c r="K2073" t="s">
        <v>834</v>
      </c>
      <c r="L2073" t="s">
        <v>0</v>
      </c>
      <c r="M2073" t="str">
        <f t="shared" ref="M2073:M2136" si="587">"048314"</f>
        <v>048314</v>
      </c>
      <c r="N2073">
        <v>0.80828999999999995</v>
      </c>
      <c r="O2073">
        <v>0.80828999999999995</v>
      </c>
      <c r="P2073" t="s">
        <v>764</v>
      </c>
      <c r="Q2073" t="s">
        <v>835</v>
      </c>
      <c r="S2073" t="s">
        <v>836</v>
      </c>
      <c r="T2073" t="s">
        <v>836</v>
      </c>
      <c r="U2073" t="str">
        <f>"2016-04-15 00:00:00.0"</f>
        <v>2016-04-15 00:00:00.0</v>
      </c>
      <c r="V2073" t="s">
        <v>837</v>
      </c>
      <c r="W2073" t="str">
        <f t="shared" ref="W2073:W2079" si="588">"048314-038430-**-**"</f>
        <v>048314-038430-**-**</v>
      </c>
      <c r="X2073" t="s">
        <v>838</v>
      </c>
      <c r="Y2073">
        <v>975</v>
      </c>
      <c r="Z2073">
        <v>1206.25</v>
      </c>
      <c r="AA2073" t="str">
        <f t="shared" si="583"/>
        <v>06/08/2016</v>
      </c>
    </row>
    <row r="2074" spans="1:27" x14ac:dyDescent="0.3">
      <c r="A2074" t="str">
        <f t="shared" si="584"/>
        <v>048314</v>
      </c>
      <c r="B2074" t="str">
        <f t="shared" si="576"/>
        <v>038430</v>
      </c>
      <c r="C2074" t="s">
        <v>2241</v>
      </c>
      <c r="D2074" t="s">
        <v>3839</v>
      </c>
      <c r="E2074" t="s">
        <v>3840</v>
      </c>
      <c r="F2074" t="s">
        <v>3841</v>
      </c>
      <c r="G2074" t="s">
        <v>3842</v>
      </c>
      <c r="H2074" t="str">
        <f t="shared" si="581"/>
        <v>048314</v>
      </c>
      <c r="I2074" t="s">
        <v>833</v>
      </c>
      <c r="J2074" t="str">
        <f>"2015-07-01 00:00:00.0"</f>
        <v>2015-07-01 00:00:00.0</v>
      </c>
      <c r="K2074" t="s">
        <v>834</v>
      </c>
      <c r="L2074" t="s">
        <v>0</v>
      </c>
      <c r="M2074" t="str">
        <f t="shared" si="587"/>
        <v>048314</v>
      </c>
      <c r="N2074">
        <v>1</v>
      </c>
      <c r="O2074">
        <v>1</v>
      </c>
      <c r="P2074" t="str">
        <f>"02"</f>
        <v>02</v>
      </c>
      <c r="Q2074" t="s">
        <v>835</v>
      </c>
      <c r="S2074" t="s">
        <v>836</v>
      </c>
      <c r="T2074" t="s">
        <v>836</v>
      </c>
      <c r="U2074" t="str">
        <f>"2500-12-31 00:00:00.0"</f>
        <v>2500-12-31 00:00:00.0</v>
      </c>
      <c r="V2074" t="s">
        <v>837</v>
      </c>
      <c r="W2074" t="str">
        <f t="shared" si="588"/>
        <v>048314-038430-**-**</v>
      </c>
      <c r="X2074" t="s">
        <v>838</v>
      </c>
      <c r="Y2074">
        <v>1206.25</v>
      </c>
      <c r="Z2074">
        <v>1206.25</v>
      </c>
      <c r="AA2074" t="str">
        <f t="shared" si="583"/>
        <v>06/08/2016</v>
      </c>
    </row>
    <row r="2075" spans="1:27" x14ac:dyDescent="0.3">
      <c r="A2075" t="str">
        <f t="shared" si="584"/>
        <v>048314</v>
      </c>
      <c r="B2075" t="str">
        <f t="shared" si="576"/>
        <v>038430</v>
      </c>
      <c r="C2075" t="s">
        <v>3743</v>
      </c>
      <c r="D2075" t="s">
        <v>3839</v>
      </c>
      <c r="E2075" t="s">
        <v>3840</v>
      </c>
      <c r="F2075" t="s">
        <v>3841</v>
      </c>
      <c r="G2075" t="s">
        <v>3842</v>
      </c>
      <c r="H2075" t="str">
        <f t="shared" si="581"/>
        <v>048314</v>
      </c>
      <c r="I2075" t="s">
        <v>833</v>
      </c>
      <c r="J2075" t="str">
        <f>"2015-08-01 00:00:00.0"</f>
        <v>2015-08-01 00:00:00.0</v>
      </c>
      <c r="K2075" t="s">
        <v>834</v>
      </c>
      <c r="L2075" t="s">
        <v>0</v>
      </c>
      <c r="M2075" t="str">
        <f t="shared" si="587"/>
        <v>048314</v>
      </c>
      <c r="N2075">
        <v>1</v>
      </c>
      <c r="O2075">
        <v>1</v>
      </c>
      <c r="P2075" t="s">
        <v>764</v>
      </c>
      <c r="Q2075" t="s">
        <v>835</v>
      </c>
      <c r="S2075" t="s">
        <v>836</v>
      </c>
      <c r="T2075" t="s">
        <v>836</v>
      </c>
      <c r="U2075" t="str">
        <f>"2500-12-31 00:00:00.0"</f>
        <v>2500-12-31 00:00:00.0</v>
      </c>
      <c r="V2075" t="s">
        <v>837</v>
      </c>
      <c r="W2075" t="str">
        <f t="shared" si="588"/>
        <v>048314-038430-**-**</v>
      </c>
      <c r="X2075" t="s">
        <v>838</v>
      </c>
      <c r="Y2075">
        <v>1206.25</v>
      </c>
      <c r="Z2075">
        <v>1206.25</v>
      </c>
      <c r="AA2075" t="str">
        <f t="shared" si="583"/>
        <v>06/08/2016</v>
      </c>
    </row>
    <row r="2076" spans="1:27" x14ac:dyDescent="0.3">
      <c r="A2076" t="str">
        <f t="shared" si="584"/>
        <v>048314</v>
      </c>
      <c r="B2076" t="str">
        <f t="shared" si="576"/>
        <v>038430</v>
      </c>
      <c r="C2076" t="s">
        <v>3158</v>
      </c>
      <c r="D2076" t="s">
        <v>3839</v>
      </c>
      <c r="E2076" t="s">
        <v>3840</v>
      </c>
      <c r="F2076" t="s">
        <v>3841</v>
      </c>
      <c r="G2076" t="s">
        <v>3842</v>
      </c>
      <c r="H2076" t="str">
        <f t="shared" si="581"/>
        <v>048314</v>
      </c>
      <c r="I2076" t="s">
        <v>833</v>
      </c>
      <c r="J2076" t="str">
        <f>"2015-07-01 00:00:00.0"</f>
        <v>2015-07-01 00:00:00.0</v>
      </c>
      <c r="K2076" t="s">
        <v>834</v>
      </c>
      <c r="L2076" t="s">
        <v>0</v>
      </c>
      <c r="M2076" t="str">
        <f t="shared" si="587"/>
        <v>048314</v>
      </c>
      <c r="N2076">
        <v>1</v>
      </c>
      <c r="O2076">
        <v>1</v>
      </c>
      <c r="P2076" t="str">
        <f>"02"</f>
        <v>02</v>
      </c>
      <c r="Q2076" t="str">
        <f>"09"</f>
        <v>09</v>
      </c>
      <c r="R2076" t="str">
        <f>"2"</f>
        <v>2</v>
      </c>
      <c r="S2076" t="s">
        <v>836</v>
      </c>
      <c r="T2076" t="s">
        <v>836</v>
      </c>
      <c r="U2076" t="str">
        <f>"2500-12-31 00:00:00.0"</f>
        <v>2500-12-31 00:00:00.0</v>
      </c>
      <c r="V2076" t="s">
        <v>837</v>
      </c>
      <c r="W2076" t="str">
        <f t="shared" si="588"/>
        <v>048314-038430-**-**</v>
      </c>
      <c r="X2076" t="s">
        <v>838</v>
      </c>
      <c r="Y2076">
        <v>1206.25</v>
      </c>
      <c r="Z2076">
        <v>1206.25</v>
      </c>
      <c r="AA2076" t="str">
        <f t="shared" si="583"/>
        <v>06/08/2016</v>
      </c>
    </row>
    <row r="2077" spans="1:27" x14ac:dyDescent="0.3">
      <c r="A2077" t="str">
        <f t="shared" si="584"/>
        <v>048314</v>
      </c>
      <c r="B2077" t="str">
        <f t="shared" si="576"/>
        <v>038430</v>
      </c>
      <c r="C2077" t="s">
        <v>943</v>
      </c>
      <c r="D2077" t="s">
        <v>3839</v>
      </c>
      <c r="E2077" t="s">
        <v>3840</v>
      </c>
      <c r="F2077" t="s">
        <v>3841</v>
      </c>
      <c r="G2077" t="s">
        <v>3842</v>
      </c>
      <c r="H2077" t="str">
        <f t="shared" si="581"/>
        <v>048314</v>
      </c>
      <c r="I2077" t="s">
        <v>833</v>
      </c>
      <c r="J2077" t="str">
        <f>"2016-04-05 00:00:00.0"</f>
        <v>2016-04-05 00:00:00.0</v>
      </c>
      <c r="K2077" t="s">
        <v>834</v>
      </c>
      <c r="L2077" t="s">
        <v>0</v>
      </c>
      <c r="M2077" t="str">
        <f t="shared" si="587"/>
        <v>048314</v>
      </c>
      <c r="N2077">
        <v>0.238342</v>
      </c>
      <c r="O2077">
        <v>0.238342</v>
      </c>
      <c r="P2077" t="str">
        <f>"01"</f>
        <v>01</v>
      </c>
      <c r="Q2077" t="str">
        <f>"10"</f>
        <v>10</v>
      </c>
      <c r="R2077" t="str">
        <f>"2"</f>
        <v>2</v>
      </c>
      <c r="S2077" t="s">
        <v>836</v>
      </c>
      <c r="T2077" t="s">
        <v>836</v>
      </c>
      <c r="U2077" t="str">
        <f>"2500-12-31 00:00:00.0"</f>
        <v>2500-12-31 00:00:00.0</v>
      </c>
      <c r="V2077" t="s">
        <v>837</v>
      </c>
      <c r="W2077" t="str">
        <f t="shared" si="588"/>
        <v>048314-038430-**-**</v>
      </c>
      <c r="X2077" t="s">
        <v>838</v>
      </c>
      <c r="Y2077">
        <v>287.5</v>
      </c>
      <c r="Z2077">
        <v>1206.25</v>
      </c>
      <c r="AA2077" t="str">
        <f t="shared" si="583"/>
        <v>06/08/2016</v>
      </c>
    </row>
    <row r="2078" spans="1:27" x14ac:dyDescent="0.3">
      <c r="A2078" t="str">
        <f t="shared" si="584"/>
        <v>048314</v>
      </c>
      <c r="B2078" t="str">
        <f t="shared" si="576"/>
        <v>038430</v>
      </c>
      <c r="C2078" t="s">
        <v>943</v>
      </c>
      <c r="D2078" t="s">
        <v>3839</v>
      </c>
      <c r="E2078" t="s">
        <v>3840</v>
      </c>
      <c r="F2078" t="s">
        <v>3841</v>
      </c>
      <c r="G2078" t="s">
        <v>3842</v>
      </c>
      <c r="H2078" t="str">
        <f t="shared" si="581"/>
        <v>048314</v>
      </c>
      <c r="I2078" t="s">
        <v>833</v>
      </c>
      <c r="J2078" t="str">
        <f>"2015-07-01 00:00:00.0"</f>
        <v>2015-07-01 00:00:00.0</v>
      </c>
      <c r="K2078" t="s">
        <v>834</v>
      </c>
      <c r="L2078" t="s">
        <v>0</v>
      </c>
      <c r="M2078" t="str">
        <f t="shared" si="587"/>
        <v>048314</v>
      </c>
      <c r="N2078">
        <v>0.76165799999999995</v>
      </c>
      <c r="O2078">
        <v>0.76165799999999995</v>
      </c>
      <c r="P2078" t="str">
        <f>"01"</f>
        <v>01</v>
      </c>
      <c r="Q2078" t="s">
        <v>835</v>
      </c>
      <c r="S2078" t="s">
        <v>836</v>
      </c>
      <c r="T2078" t="s">
        <v>836</v>
      </c>
      <c r="U2078" t="str">
        <f>"2016-04-04 00:00:00.0"</f>
        <v>2016-04-04 00:00:00.0</v>
      </c>
      <c r="V2078" t="s">
        <v>837</v>
      </c>
      <c r="W2078" t="str">
        <f t="shared" si="588"/>
        <v>048314-038430-**-**</v>
      </c>
      <c r="X2078" t="s">
        <v>838</v>
      </c>
      <c r="Y2078">
        <v>918.75</v>
      </c>
      <c r="Z2078">
        <v>1206.25</v>
      </c>
      <c r="AA2078" t="str">
        <f t="shared" si="583"/>
        <v>06/08/2016</v>
      </c>
    </row>
    <row r="2079" spans="1:27" x14ac:dyDescent="0.3">
      <c r="A2079" t="str">
        <f t="shared" si="584"/>
        <v>048314</v>
      </c>
      <c r="B2079" t="str">
        <f t="shared" si="576"/>
        <v>038430</v>
      </c>
      <c r="C2079" t="s">
        <v>3030</v>
      </c>
      <c r="D2079" t="s">
        <v>3839</v>
      </c>
      <c r="E2079" t="s">
        <v>3840</v>
      </c>
      <c r="F2079" t="s">
        <v>3841</v>
      </c>
      <c r="G2079" t="s">
        <v>3842</v>
      </c>
      <c r="H2079" t="str">
        <f t="shared" si="581"/>
        <v>048314</v>
      </c>
      <c r="I2079" t="s">
        <v>833</v>
      </c>
      <c r="J2079" t="str">
        <f>"2015-07-01 00:00:00.0"</f>
        <v>2015-07-01 00:00:00.0</v>
      </c>
      <c r="K2079" t="s">
        <v>834</v>
      </c>
      <c r="L2079" t="s">
        <v>0</v>
      </c>
      <c r="M2079" t="str">
        <f t="shared" si="587"/>
        <v>048314</v>
      </c>
      <c r="N2079">
        <v>1</v>
      </c>
      <c r="O2079">
        <v>1</v>
      </c>
      <c r="P2079" t="str">
        <f>"01"</f>
        <v>01</v>
      </c>
      <c r="Q2079" t="s">
        <v>835</v>
      </c>
      <c r="S2079" t="s">
        <v>836</v>
      </c>
      <c r="T2079" t="s">
        <v>836</v>
      </c>
      <c r="U2079" t="str">
        <f>"2500-12-31 00:00:00.0"</f>
        <v>2500-12-31 00:00:00.0</v>
      </c>
      <c r="V2079" t="s">
        <v>837</v>
      </c>
      <c r="W2079" t="str">
        <f t="shared" si="588"/>
        <v>048314-038430-**-**</v>
      </c>
      <c r="X2079" t="s">
        <v>838</v>
      </c>
      <c r="Y2079">
        <v>1206.25</v>
      </c>
      <c r="Z2079">
        <v>1206.25</v>
      </c>
      <c r="AA2079" t="str">
        <f t="shared" si="583"/>
        <v>06/08/2016</v>
      </c>
    </row>
    <row r="2080" spans="1:27" x14ac:dyDescent="0.3">
      <c r="A2080" t="str">
        <f t="shared" si="584"/>
        <v>048314</v>
      </c>
      <c r="B2080" t="str">
        <f t="shared" si="576"/>
        <v>038430</v>
      </c>
      <c r="C2080" t="s">
        <v>2780</v>
      </c>
      <c r="D2080" t="s">
        <v>3839</v>
      </c>
      <c r="E2080" t="s">
        <v>3840</v>
      </c>
      <c r="F2080" t="s">
        <v>3841</v>
      </c>
      <c r="G2080" t="s">
        <v>3842</v>
      </c>
      <c r="H2080" t="str">
        <f t="shared" si="581"/>
        <v>048314</v>
      </c>
      <c r="I2080" t="s">
        <v>833</v>
      </c>
      <c r="J2080" t="str">
        <f>"2015-07-01 00:00:00.0"</f>
        <v>2015-07-01 00:00:00.0</v>
      </c>
      <c r="K2080" t="s">
        <v>834</v>
      </c>
      <c r="L2080" t="s">
        <v>0</v>
      </c>
      <c r="M2080" t="str">
        <f t="shared" si="587"/>
        <v>048314</v>
      </c>
      <c r="N2080">
        <v>1</v>
      </c>
      <c r="O2080">
        <v>1</v>
      </c>
      <c r="P2080" t="str">
        <f>"05"</f>
        <v>05</v>
      </c>
      <c r="Q2080" t="str">
        <f>"09"</f>
        <v>09</v>
      </c>
      <c r="R2080" t="str">
        <f>"2"</f>
        <v>2</v>
      </c>
      <c r="S2080" t="s">
        <v>836</v>
      </c>
      <c r="T2080" t="s">
        <v>836</v>
      </c>
      <c r="U2080" t="str">
        <f>"2500-12-31 00:00:00.0"</f>
        <v>2500-12-31 00:00:00.0</v>
      </c>
      <c r="V2080" t="s">
        <v>837</v>
      </c>
      <c r="W2080" t="str">
        <f>"048314-070417-**-**"</f>
        <v>048314-070417-**-**</v>
      </c>
      <c r="X2080" t="s">
        <v>838</v>
      </c>
      <c r="Y2080">
        <v>1125</v>
      </c>
      <c r="Z2080">
        <v>1125</v>
      </c>
      <c r="AA2080" t="str">
        <f t="shared" si="583"/>
        <v>06/08/2016</v>
      </c>
    </row>
    <row r="2081" spans="1:27" x14ac:dyDescent="0.3">
      <c r="A2081" t="str">
        <f t="shared" si="584"/>
        <v>048314</v>
      </c>
      <c r="B2081" t="str">
        <f t="shared" si="576"/>
        <v>038430</v>
      </c>
      <c r="C2081" t="s">
        <v>3095</v>
      </c>
      <c r="D2081" t="s">
        <v>3839</v>
      </c>
      <c r="E2081" t="s">
        <v>3840</v>
      </c>
      <c r="F2081" t="s">
        <v>3841</v>
      </c>
      <c r="G2081" t="s">
        <v>3842</v>
      </c>
      <c r="H2081" t="str">
        <f t="shared" si="581"/>
        <v>048314</v>
      </c>
      <c r="I2081" t="s">
        <v>833</v>
      </c>
      <c r="J2081" t="str">
        <f>"2015-07-01 00:00:00.0"</f>
        <v>2015-07-01 00:00:00.0</v>
      </c>
      <c r="K2081" t="s">
        <v>834</v>
      </c>
      <c r="L2081" t="s">
        <v>0</v>
      </c>
      <c r="M2081" t="str">
        <f t="shared" si="587"/>
        <v>048314</v>
      </c>
      <c r="N2081">
        <v>1</v>
      </c>
      <c r="O2081">
        <v>1</v>
      </c>
      <c r="P2081" t="str">
        <f>"05"</f>
        <v>05</v>
      </c>
      <c r="Q2081" t="s">
        <v>835</v>
      </c>
      <c r="S2081" t="s">
        <v>836</v>
      </c>
      <c r="T2081" t="s">
        <v>836</v>
      </c>
      <c r="U2081" t="str">
        <f>"2500-12-31 00:00:00.0"</f>
        <v>2500-12-31 00:00:00.0</v>
      </c>
      <c r="V2081" t="s">
        <v>837</v>
      </c>
      <c r="W2081" t="str">
        <f>"048314-070417-**-**"</f>
        <v>048314-070417-**-**</v>
      </c>
      <c r="X2081" t="s">
        <v>838</v>
      </c>
      <c r="Y2081">
        <v>1125</v>
      </c>
      <c r="Z2081">
        <v>1125</v>
      </c>
      <c r="AA2081" t="str">
        <f t="shared" si="583"/>
        <v>06/08/2016</v>
      </c>
    </row>
    <row r="2082" spans="1:27" x14ac:dyDescent="0.3">
      <c r="A2082" t="str">
        <f t="shared" si="584"/>
        <v>048314</v>
      </c>
      <c r="B2082" t="str">
        <f t="shared" si="576"/>
        <v>038430</v>
      </c>
      <c r="C2082" t="s">
        <v>3741</v>
      </c>
      <c r="D2082" t="s">
        <v>3839</v>
      </c>
      <c r="E2082" t="s">
        <v>3840</v>
      </c>
      <c r="F2082" t="s">
        <v>3841</v>
      </c>
      <c r="G2082" t="s">
        <v>3842</v>
      </c>
      <c r="H2082" t="str">
        <f t="shared" si="581"/>
        <v>048314</v>
      </c>
      <c r="I2082" t="s">
        <v>833</v>
      </c>
      <c r="J2082" t="str">
        <f>"2015-11-19 00:00:00.0"</f>
        <v>2015-11-19 00:00:00.0</v>
      </c>
      <c r="K2082" t="s">
        <v>834</v>
      </c>
      <c r="L2082" t="s">
        <v>0</v>
      </c>
      <c r="M2082" t="str">
        <f t="shared" si="587"/>
        <v>048314</v>
      </c>
      <c r="N2082">
        <v>0.70466300000000004</v>
      </c>
      <c r="O2082">
        <v>0.70466300000000004</v>
      </c>
      <c r="P2082" t="s">
        <v>764</v>
      </c>
      <c r="Q2082" t="str">
        <f>"05"</f>
        <v>05</v>
      </c>
      <c r="R2082" t="str">
        <f>"1"</f>
        <v>1</v>
      </c>
      <c r="S2082" t="s">
        <v>836</v>
      </c>
      <c r="T2082" t="s">
        <v>836</v>
      </c>
      <c r="U2082" t="str">
        <f>"2500-12-31 00:00:00.0"</f>
        <v>2500-12-31 00:00:00.0</v>
      </c>
      <c r="V2082" t="s">
        <v>837</v>
      </c>
      <c r="W2082" t="str">
        <f>"048314-038430-**-**"</f>
        <v>048314-038430-**-**</v>
      </c>
      <c r="X2082" t="s">
        <v>838</v>
      </c>
      <c r="Y2082">
        <v>850</v>
      </c>
      <c r="Z2082">
        <v>1206.25</v>
      </c>
      <c r="AA2082" t="str">
        <f t="shared" si="583"/>
        <v>06/08/2016</v>
      </c>
    </row>
    <row r="2083" spans="1:27" x14ac:dyDescent="0.3">
      <c r="A2083" t="str">
        <f t="shared" si="584"/>
        <v>048314</v>
      </c>
      <c r="B2083" t="str">
        <f t="shared" si="576"/>
        <v>038430</v>
      </c>
      <c r="C2083" t="s">
        <v>3741</v>
      </c>
      <c r="D2083" t="s">
        <v>3839</v>
      </c>
      <c r="E2083" t="s">
        <v>3840</v>
      </c>
      <c r="F2083" t="s">
        <v>3841</v>
      </c>
      <c r="G2083" t="s">
        <v>3842</v>
      </c>
      <c r="H2083" t="str">
        <f t="shared" si="581"/>
        <v>048314</v>
      </c>
      <c r="I2083" t="s">
        <v>833</v>
      </c>
      <c r="J2083" t="str">
        <f>"2015-08-01 00:00:00.0"</f>
        <v>2015-08-01 00:00:00.0</v>
      </c>
      <c r="K2083" t="s">
        <v>834</v>
      </c>
      <c r="L2083" t="s">
        <v>0</v>
      </c>
      <c r="M2083" t="str">
        <f t="shared" si="587"/>
        <v>048314</v>
      </c>
      <c r="N2083">
        <v>0.29533700000000002</v>
      </c>
      <c r="O2083">
        <v>0.29533700000000002</v>
      </c>
      <c r="P2083" t="s">
        <v>764</v>
      </c>
      <c r="Q2083" t="s">
        <v>835</v>
      </c>
      <c r="S2083" t="s">
        <v>836</v>
      </c>
      <c r="T2083" t="s">
        <v>836</v>
      </c>
      <c r="U2083" t="str">
        <f>"2015-11-18 00:00:00.0"</f>
        <v>2015-11-18 00:00:00.0</v>
      </c>
      <c r="V2083" t="s">
        <v>837</v>
      </c>
      <c r="W2083" t="str">
        <f>"048314-038430-**-**"</f>
        <v>048314-038430-**-**</v>
      </c>
      <c r="X2083" t="s">
        <v>838</v>
      </c>
      <c r="Y2083">
        <v>356.25</v>
      </c>
      <c r="Z2083">
        <v>1206.25</v>
      </c>
      <c r="AA2083" t="str">
        <f t="shared" si="583"/>
        <v>06/08/2016</v>
      </c>
    </row>
    <row r="2084" spans="1:27" x14ac:dyDescent="0.3">
      <c r="A2084" t="str">
        <f t="shared" si="584"/>
        <v>048314</v>
      </c>
      <c r="B2084" t="str">
        <f t="shared" ref="B2084:B2147" si="589">"070417"</f>
        <v>070417</v>
      </c>
      <c r="C2084" t="s">
        <v>2194</v>
      </c>
      <c r="D2084" t="s">
        <v>3839</v>
      </c>
      <c r="E2084" t="s">
        <v>3840</v>
      </c>
      <c r="F2084" t="s">
        <v>3841</v>
      </c>
      <c r="G2084" t="s">
        <v>3842</v>
      </c>
      <c r="H2084" t="str">
        <f t="shared" si="581"/>
        <v>048314</v>
      </c>
      <c r="I2084" t="s">
        <v>833</v>
      </c>
      <c r="J2084" t="str">
        <f>"2015-07-01 00:00:00.0"</f>
        <v>2015-07-01 00:00:00.0</v>
      </c>
      <c r="K2084" t="s">
        <v>834</v>
      </c>
      <c r="L2084" t="s">
        <v>0</v>
      </c>
      <c r="M2084" t="str">
        <f t="shared" si="587"/>
        <v>048314</v>
      </c>
      <c r="N2084">
        <v>1</v>
      </c>
      <c r="O2084">
        <v>1</v>
      </c>
      <c r="P2084" t="str">
        <f>"09"</f>
        <v>09</v>
      </c>
      <c r="Q2084" t="s">
        <v>835</v>
      </c>
      <c r="S2084" t="s">
        <v>836</v>
      </c>
      <c r="T2084" t="s">
        <v>836</v>
      </c>
      <c r="U2084" t="str">
        <f t="shared" ref="U2084:U2147" si="590">"2500-12-31 00:00:00.0"</f>
        <v>2500-12-31 00:00:00.0</v>
      </c>
      <c r="V2084" t="s">
        <v>837</v>
      </c>
      <c r="W2084" t="str">
        <f>"048314-004796-**-**"</f>
        <v>048314-004796-**-**</v>
      </c>
      <c r="X2084" t="s">
        <v>838</v>
      </c>
      <c r="Y2084">
        <v>1254.5</v>
      </c>
      <c r="Z2084">
        <v>1254.5</v>
      </c>
      <c r="AA2084" t="str">
        <f t="shared" si="583"/>
        <v>06/08/2016</v>
      </c>
    </row>
    <row r="2085" spans="1:27" x14ac:dyDescent="0.3">
      <c r="A2085" t="str">
        <f t="shared" si="584"/>
        <v>048314</v>
      </c>
      <c r="B2085" t="str">
        <f t="shared" si="589"/>
        <v>070417</v>
      </c>
      <c r="C2085" t="s">
        <v>2305</v>
      </c>
      <c r="D2085" t="s">
        <v>3839</v>
      </c>
      <c r="E2085" t="s">
        <v>3840</v>
      </c>
      <c r="F2085" t="s">
        <v>3841</v>
      </c>
      <c r="G2085" t="s">
        <v>3842</v>
      </c>
      <c r="H2085" t="str">
        <f t="shared" si="581"/>
        <v>048314</v>
      </c>
      <c r="I2085" t="s">
        <v>833</v>
      </c>
      <c r="J2085" t="str">
        <f>"2015-07-01 00:00:00.0"</f>
        <v>2015-07-01 00:00:00.0</v>
      </c>
      <c r="K2085" t="s">
        <v>834</v>
      </c>
      <c r="L2085" t="s">
        <v>0</v>
      </c>
      <c r="M2085" t="str">
        <f t="shared" si="587"/>
        <v>048314</v>
      </c>
      <c r="N2085">
        <v>1</v>
      </c>
      <c r="O2085">
        <v>1</v>
      </c>
      <c r="P2085" t="str">
        <f>"08"</f>
        <v>08</v>
      </c>
      <c r="Q2085" t="s">
        <v>835</v>
      </c>
      <c r="S2085" t="s">
        <v>836</v>
      </c>
      <c r="T2085" t="s">
        <v>836</v>
      </c>
      <c r="U2085" t="str">
        <f t="shared" si="590"/>
        <v>2500-12-31 00:00:00.0</v>
      </c>
      <c r="V2085" t="s">
        <v>837</v>
      </c>
      <c r="W2085" t="str">
        <f>"048314-070417-**-**"</f>
        <v>048314-070417-**-**</v>
      </c>
      <c r="X2085" t="s">
        <v>838</v>
      </c>
      <c r="Y2085">
        <v>1125</v>
      </c>
      <c r="Z2085">
        <v>1125</v>
      </c>
      <c r="AA2085" t="str">
        <f t="shared" si="583"/>
        <v>06/08/2016</v>
      </c>
    </row>
    <row r="2086" spans="1:27" x14ac:dyDescent="0.3">
      <c r="A2086" t="str">
        <f t="shared" si="584"/>
        <v>048314</v>
      </c>
      <c r="B2086" t="str">
        <f t="shared" si="589"/>
        <v>070417</v>
      </c>
      <c r="C2086" t="s">
        <v>2077</v>
      </c>
      <c r="D2086" t="s">
        <v>3839</v>
      </c>
      <c r="E2086" t="s">
        <v>3840</v>
      </c>
      <c r="F2086" t="s">
        <v>3841</v>
      </c>
      <c r="G2086" t="s">
        <v>3842</v>
      </c>
      <c r="H2086" t="str">
        <f t="shared" si="581"/>
        <v>048314</v>
      </c>
      <c r="I2086" t="s">
        <v>833</v>
      </c>
      <c r="J2086" t="str">
        <f>"2015-08-01 00:00:00.0"</f>
        <v>2015-08-01 00:00:00.0</v>
      </c>
      <c r="K2086" t="s">
        <v>834</v>
      </c>
      <c r="L2086" t="s">
        <v>0</v>
      </c>
      <c r="M2086" t="str">
        <f t="shared" si="587"/>
        <v>048314</v>
      </c>
      <c r="N2086">
        <v>1</v>
      </c>
      <c r="O2086">
        <v>1</v>
      </c>
      <c r="P2086" t="str">
        <f>"08"</f>
        <v>08</v>
      </c>
      <c r="Q2086" t="s">
        <v>835</v>
      </c>
      <c r="S2086" t="s">
        <v>836</v>
      </c>
      <c r="T2086" t="s">
        <v>836</v>
      </c>
      <c r="U2086" t="str">
        <f t="shared" si="590"/>
        <v>2500-12-31 00:00:00.0</v>
      </c>
      <c r="V2086" t="s">
        <v>837</v>
      </c>
      <c r="W2086" t="str">
        <f>"048314-070417-**-**"</f>
        <v>048314-070417-**-**</v>
      </c>
      <c r="X2086" t="s">
        <v>838</v>
      </c>
      <c r="Y2086">
        <v>1125</v>
      </c>
      <c r="Z2086">
        <v>1125</v>
      </c>
      <c r="AA2086" t="str">
        <f t="shared" si="583"/>
        <v>06/08/2016</v>
      </c>
    </row>
    <row r="2087" spans="1:27" x14ac:dyDescent="0.3">
      <c r="A2087" t="str">
        <f t="shared" si="584"/>
        <v>048314</v>
      </c>
      <c r="B2087" t="str">
        <f t="shared" si="589"/>
        <v>070417</v>
      </c>
      <c r="C2087" t="s">
        <v>2344</v>
      </c>
      <c r="D2087" t="s">
        <v>3839</v>
      </c>
      <c r="E2087" t="s">
        <v>3840</v>
      </c>
      <c r="F2087" t="s">
        <v>3841</v>
      </c>
      <c r="G2087" t="s">
        <v>3842</v>
      </c>
      <c r="H2087" t="str">
        <f t="shared" si="581"/>
        <v>048314</v>
      </c>
      <c r="I2087" t="s">
        <v>833</v>
      </c>
      <c r="J2087" t="str">
        <f>"2015-07-01 00:00:00.0"</f>
        <v>2015-07-01 00:00:00.0</v>
      </c>
      <c r="K2087" t="s">
        <v>834</v>
      </c>
      <c r="L2087" t="s">
        <v>0</v>
      </c>
      <c r="M2087" t="str">
        <f t="shared" si="587"/>
        <v>048314</v>
      </c>
      <c r="N2087">
        <v>1</v>
      </c>
      <c r="O2087">
        <v>1</v>
      </c>
      <c r="P2087" t="str">
        <f>"08"</f>
        <v>08</v>
      </c>
      <c r="Q2087" t="s">
        <v>835</v>
      </c>
      <c r="S2087" t="s">
        <v>836</v>
      </c>
      <c r="T2087" t="s">
        <v>836</v>
      </c>
      <c r="U2087" t="str">
        <f t="shared" si="590"/>
        <v>2500-12-31 00:00:00.0</v>
      </c>
      <c r="V2087" t="s">
        <v>837</v>
      </c>
      <c r="W2087" t="str">
        <f>"048314-070417-**-**"</f>
        <v>048314-070417-**-**</v>
      </c>
      <c r="X2087" t="s">
        <v>838</v>
      </c>
      <c r="Y2087">
        <v>1125</v>
      </c>
      <c r="Z2087">
        <v>1125</v>
      </c>
      <c r="AA2087" t="str">
        <f t="shared" si="583"/>
        <v>06/08/2016</v>
      </c>
    </row>
    <row r="2088" spans="1:27" x14ac:dyDescent="0.3">
      <c r="A2088" t="str">
        <f t="shared" si="584"/>
        <v>048314</v>
      </c>
      <c r="B2088" t="str">
        <f t="shared" si="589"/>
        <v>070417</v>
      </c>
      <c r="C2088" t="s">
        <v>2307</v>
      </c>
      <c r="D2088" t="s">
        <v>3839</v>
      </c>
      <c r="E2088" t="s">
        <v>3840</v>
      </c>
      <c r="F2088" t="s">
        <v>3841</v>
      </c>
      <c r="G2088" t="s">
        <v>3842</v>
      </c>
      <c r="H2088" t="str">
        <f t="shared" si="581"/>
        <v>048314</v>
      </c>
      <c r="I2088" t="s">
        <v>833</v>
      </c>
      <c r="J2088" t="str">
        <f>"2015-07-01 00:00:00.0"</f>
        <v>2015-07-01 00:00:00.0</v>
      </c>
      <c r="K2088" t="s">
        <v>834</v>
      </c>
      <c r="L2088" t="s">
        <v>0</v>
      </c>
      <c r="M2088" t="str">
        <f t="shared" si="587"/>
        <v>048314</v>
      </c>
      <c r="N2088">
        <v>1</v>
      </c>
      <c r="O2088">
        <v>1</v>
      </c>
      <c r="P2088" t="str">
        <f>"09"</f>
        <v>09</v>
      </c>
      <c r="Q2088" t="str">
        <f>"13"</f>
        <v>13</v>
      </c>
      <c r="R2088" t="str">
        <f>"6"</f>
        <v>6</v>
      </c>
      <c r="S2088" t="s">
        <v>836</v>
      </c>
      <c r="T2088" t="s">
        <v>836</v>
      </c>
      <c r="U2088" t="str">
        <f t="shared" si="590"/>
        <v>2500-12-31 00:00:00.0</v>
      </c>
      <c r="V2088" t="s">
        <v>837</v>
      </c>
      <c r="W2088" t="str">
        <f>"048314-004796-**-**"</f>
        <v>048314-004796-**-**</v>
      </c>
      <c r="X2088" t="s">
        <v>838</v>
      </c>
      <c r="Y2088">
        <v>1254.5</v>
      </c>
      <c r="Z2088">
        <v>1254.5</v>
      </c>
      <c r="AA2088" t="str">
        <f t="shared" si="583"/>
        <v>06/08/2016</v>
      </c>
    </row>
    <row r="2089" spans="1:27" x14ac:dyDescent="0.3">
      <c r="A2089" t="str">
        <f t="shared" si="584"/>
        <v>048314</v>
      </c>
      <c r="B2089" t="str">
        <f t="shared" si="589"/>
        <v>070417</v>
      </c>
      <c r="C2089" t="s">
        <v>2329</v>
      </c>
      <c r="D2089" t="s">
        <v>3839</v>
      </c>
      <c r="E2089" t="s">
        <v>3840</v>
      </c>
      <c r="F2089" t="s">
        <v>3841</v>
      </c>
      <c r="G2089" t="s">
        <v>3842</v>
      </c>
      <c r="H2089" t="str">
        <f t="shared" si="581"/>
        <v>048314</v>
      </c>
      <c r="I2089" t="s">
        <v>833</v>
      </c>
      <c r="J2089" t="str">
        <f>"2015-07-01 00:00:00.0"</f>
        <v>2015-07-01 00:00:00.0</v>
      </c>
      <c r="K2089" t="s">
        <v>834</v>
      </c>
      <c r="L2089" t="s">
        <v>0</v>
      </c>
      <c r="M2089" t="str">
        <f t="shared" si="587"/>
        <v>048314</v>
      </c>
      <c r="N2089">
        <v>1</v>
      </c>
      <c r="O2089">
        <v>1</v>
      </c>
      <c r="P2089" t="str">
        <f>"07"</f>
        <v>07</v>
      </c>
      <c r="Q2089" t="s">
        <v>835</v>
      </c>
      <c r="S2089" t="s">
        <v>836</v>
      </c>
      <c r="T2089" t="s">
        <v>836</v>
      </c>
      <c r="U2089" t="str">
        <f t="shared" si="590"/>
        <v>2500-12-31 00:00:00.0</v>
      </c>
      <c r="V2089" t="s">
        <v>837</v>
      </c>
      <c r="W2089" t="str">
        <f>"048314-070417-**-**"</f>
        <v>048314-070417-**-**</v>
      </c>
      <c r="X2089" t="s">
        <v>838</v>
      </c>
      <c r="Y2089">
        <v>1125</v>
      </c>
      <c r="Z2089">
        <v>1125</v>
      </c>
      <c r="AA2089" t="str">
        <f t="shared" si="583"/>
        <v>06/08/2016</v>
      </c>
    </row>
    <row r="2090" spans="1:27" x14ac:dyDescent="0.3">
      <c r="A2090" t="str">
        <f t="shared" si="584"/>
        <v>048314</v>
      </c>
      <c r="B2090" t="str">
        <f t="shared" si="589"/>
        <v>070417</v>
      </c>
      <c r="C2090" t="s">
        <v>2598</v>
      </c>
      <c r="D2090" t="s">
        <v>3839</v>
      </c>
      <c r="E2090" t="s">
        <v>3840</v>
      </c>
      <c r="F2090" t="s">
        <v>3841</v>
      </c>
      <c r="G2090" t="s">
        <v>3842</v>
      </c>
      <c r="H2090" t="str">
        <f t="shared" si="581"/>
        <v>048314</v>
      </c>
      <c r="I2090" t="s">
        <v>833</v>
      </c>
      <c r="J2090" t="str">
        <f>"2015-07-01 00:00:00.0"</f>
        <v>2015-07-01 00:00:00.0</v>
      </c>
      <c r="K2090" t="s">
        <v>834</v>
      </c>
      <c r="L2090" t="s">
        <v>0</v>
      </c>
      <c r="M2090" t="str">
        <f t="shared" si="587"/>
        <v>048314</v>
      </c>
      <c r="N2090">
        <v>1</v>
      </c>
      <c r="O2090">
        <v>1</v>
      </c>
      <c r="P2090" t="str">
        <f>"06"</f>
        <v>06</v>
      </c>
      <c r="Q2090" t="s">
        <v>835</v>
      </c>
      <c r="S2090" t="s">
        <v>836</v>
      </c>
      <c r="T2090" t="s">
        <v>836</v>
      </c>
      <c r="U2090" t="str">
        <f t="shared" si="590"/>
        <v>2500-12-31 00:00:00.0</v>
      </c>
      <c r="V2090" t="s">
        <v>837</v>
      </c>
      <c r="W2090" t="str">
        <f>"048314-070417-**-**"</f>
        <v>048314-070417-**-**</v>
      </c>
      <c r="X2090" t="s">
        <v>838</v>
      </c>
      <c r="Y2090">
        <v>1125</v>
      </c>
      <c r="Z2090">
        <v>1125</v>
      </c>
      <c r="AA2090" t="str">
        <f t="shared" si="583"/>
        <v>06/08/2016</v>
      </c>
    </row>
    <row r="2091" spans="1:27" x14ac:dyDescent="0.3">
      <c r="A2091" t="str">
        <f t="shared" si="584"/>
        <v>048314</v>
      </c>
      <c r="B2091" t="str">
        <f t="shared" si="589"/>
        <v>070417</v>
      </c>
      <c r="C2091" t="s">
        <v>2588</v>
      </c>
      <c r="D2091" t="s">
        <v>3839</v>
      </c>
      <c r="E2091" t="s">
        <v>3840</v>
      </c>
      <c r="F2091" t="s">
        <v>3841</v>
      </c>
      <c r="G2091" t="s">
        <v>3842</v>
      </c>
      <c r="H2091" t="str">
        <f t="shared" si="581"/>
        <v>048314</v>
      </c>
      <c r="I2091" t="s">
        <v>833</v>
      </c>
      <c r="J2091" t="str">
        <f>"2015-08-01 00:00:00.0"</f>
        <v>2015-08-01 00:00:00.0</v>
      </c>
      <c r="K2091" t="s">
        <v>834</v>
      </c>
      <c r="L2091" t="s">
        <v>0</v>
      </c>
      <c r="M2091" t="str">
        <f t="shared" si="587"/>
        <v>048314</v>
      </c>
      <c r="N2091">
        <v>1</v>
      </c>
      <c r="O2091">
        <v>1</v>
      </c>
      <c r="P2091" t="str">
        <f>"06"</f>
        <v>06</v>
      </c>
      <c r="Q2091" t="s">
        <v>835</v>
      </c>
      <c r="S2091" t="s">
        <v>836</v>
      </c>
      <c r="T2091" t="s">
        <v>836</v>
      </c>
      <c r="U2091" t="str">
        <f t="shared" si="590"/>
        <v>2500-12-31 00:00:00.0</v>
      </c>
      <c r="V2091" t="s">
        <v>837</v>
      </c>
      <c r="W2091" t="str">
        <f>"048314-070417-**-**"</f>
        <v>048314-070417-**-**</v>
      </c>
      <c r="X2091" t="s">
        <v>838</v>
      </c>
      <c r="Y2091">
        <v>1125</v>
      </c>
      <c r="Z2091">
        <v>1125</v>
      </c>
      <c r="AA2091" t="str">
        <f t="shared" si="583"/>
        <v>06/08/2016</v>
      </c>
    </row>
    <row r="2092" spans="1:27" x14ac:dyDescent="0.3">
      <c r="A2092" t="str">
        <f t="shared" si="584"/>
        <v>048314</v>
      </c>
      <c r="B2092" t="str">
        <f t="shared" si="589"/>
        <v>070417</v>
      </c>
      <c r="C2092" t="s">
        <v>1998</v>
      </c>
      <c r="D2092" t="s">
        <v>3839</v>
      </c>
      <c r="E2092" t="s">
        <v>3840</v>
      </c>
      <c r="F2092" t="s">
        <v>3841</v>
      </c>
      <c r="G2092" t="s">
        <v>3842</v>
      </c>
      <c r="H2092" t="str">
        <f t="shared" si="581"/>
        <v>048314</v>
      </c>
      <c r="I2092" t="s">
        <v>833</v>
      </c>
      <c r="J2092" t="str">
        <f>"2015-08-01 00:00:00.0"</f>
        <v>2015-08-01 00:00:00.0</v>
      </c>
      <c r="K2092" t="s">
        <v>834</v>
      </c>
      <c r="L2092" t="s">
        <v>0</v>
      </c>
      <c r="M2092" t="str">
        <f t="shared" si="587"/>
        <v>048314</v>
      </c>
      <c r="N2092">
        <v>1</v>
      </c>
      <c r="O2092">
        <v>1</v>
      </c>
      <c r="P2092" t="str">
        <f>"08"</f>
        <v>08</v>
      </c>
      <c r="Q2092" t="s">
        <v>835</v>
      </c>
      <c r="S2092" t="s">
        <v>836</v>
      </c>
      <c r="T2092" t="s">
        <v>836</v>
      </c>
      <c r="U2092" t="str">
        <f t="shared" si="590"/>
        <v>2500-12-31 00:00:00.0</v>
      </c>
      <c r="V2092" t="s">
        <v>837</v>
      </c>
      <c r="W2092" t="str">
        <f>"048314-070417-**-**"</f>
        <v>048314-070417-**-**</v>
      </c>
      <c r="X2092" t="s">
        <v>838</v>
      </c>
      <c r="Y2092">
        <v>1125</v>
      </c>
      <c r="Z2092">
        <v>1125</v>
      </c>
      <c r="AA2092" t="str">
        <f t="shared" si="583"/>
        <v>06/08/2016</v>
      </c>
    </row>
    <row r="2093" spans="1:27" x14ac:dyDescent="0.3">
      <c r="A2093" t="str">
        <f t="shared" si="584"/>
        <v>048314</v>
      </c>
      <c r="B2093" t="str">
        <f t="shared" si="589"/>
        <v>070417</v>
      </c>
      <c r="C2093" t="s">
        <v>1765</v>
      </c>
      <c r="D2093" t="s">
        <v>3839</v>
      </c>
      <c r="E2093" t="s">
        <v>3840</v>
      </c>
      <c r="F2093" t="s">
        <v>3841</v>
      </c>
      <c r="G2093" t="s">
        <v>3842</v>
      </c>
      <c r="H2093" t="str">
        <f t="shared" si="581"/>
        <v>048314</v>
      </c>
      <c r="I2093" t="s">
        <v>833</v>
      </c>
      <c r="J2093" t="str">
        <f>"2015-07-01 00:00:00.0"</f>
        <v>2015-07-01 00:00:00.0</v>
      </c>
      <c r="K2093" t="s">
        <v>834</v>
      </c>
      <c r="L2093" t="s">
        <v>0</v>
      </c>
      <c r="M2093" t="str">
        <f t="shared" si="587"/>
        <v>048314</v>
      </c>
      <c r="N2093">
        <v>1</v>
      </c>
      <c r="O2093">
        <v>1</v>
      </c>
      <c r="P2093" t="str">
        <f>"09"</f>
        <v>09</v>
      </c>
      <c r="Q2093" t="s">
        <v>835</v>
      </c>
      <c r="S2093" t="s">
        <v>836</v>
      </c>
      <c r="T2093" t="s">
        <v>836</v>
      </c>
      <c r="U2093" t="str">
        <f t="shared" si="590"/>
        <v>2500-12-31 00:00:00.0</v>
      </c>
      <c r="V2093" t="s">
        <v>837</v>
      </c>
      <c r="W2093" t="str">
        <f>"048314-004796-**-**"</f>
        <v>048314-004796-**-**</v>
      </c>
      <c r="X2093" t="s">
        <v>838</v>
      </c>
      <c r="Y2093">
        <v>1254.5</v>
      </c>
      <c r="Z2093">
        <v>1254.5</v>
      </c>
      <c r="AA2093" t="str">
        <f t="shared" si="583"/>
        <v>06/08/2016</v>
      </c>
    </row>
    <row r="2094" spans="1:27" x14ac:dyDescent="0.3">
      <c r="A2094" t="str">
        <f t="shared" si="584"/>
        <v>048314</v>
      </c>
      <c r="B2094" t="str">
        <f t="shared" si="589"/>
        <v>070417</v>
      </c>
      <c r="C2094" t="s">
        <v>1474</v>
      </c>
      <c r="D2094" t="s">
        <v>3839</v>
      </c>
      <c r="E2094" t="s">
        <v>3840</v>
      </c>
      <c r="F2094" t="s">
        <v>3841</v>
      </c>
      <c r="G2094" t="s">
        <v>3842</v>
      </c>
      <c r="H2094" t="str">
        <f t="shared" si="581"/>
        <v>048314</v>
      </c>
      <c r="I2094" t="s">
        <v>833</v>
      </c>
      <c r="J2094" t="str">
        <f>"2015-07-01 00:00:00.0"</f>
        <v>2015-07-01 00:00:00.0</v>
      </c>
      <c r="K2094" t="s">
        <v>834</v>
      </c>
      <c r="L2094" t="s">
        <v>0</v>
      </c>
      <c r="M2094" t="str">
        <f t="shared" si="587"/>
        <v>048314</v>
      </c>
      <c r="N2094">
        <v>1</v>
      </c>
      <c r="O2094">
        <v>1</v>
      </c>
      <c r="P2094" t="str">
        <f>"09"</f>
        <v>09</v>
      </c>
      <c r="Q2094" t="str">
        <f>"10"</f>
        <v>10</v>
      </c>
      <c r="R2094" t="str">
        <f>"2"</f>
        <v>2</v>
      </c>
      <c r="S2094" t="s">
        <v>860</v>
      </c>
      <c r="T2094" t="s">
        <v>836</v>
      </c>
      <c r="U2094" t="str">
        <f t="shared" si="590"/>
        <v>2500-12-31 00:00:00.0</v>
      </c>
      <c r="V2094" t="s">
        <v>837</v>
      </c>
      <c r="W2094" t="str">
        <f>"048314-004796-**-**"</f>
        <v>048314-004796-**-**</v>
      </c>
      <c r="X2094" t="s">
        <v>838</v>
      </c>
      <c r="Y2094">
        <v>1254.5</v>
      </c>
      <c r="Z2094">
        <v>1254.5</v>
      </c>
      <c r="AA2094" t="str">
        <f t="shared" si="583"/>
        <v>06/08/2016</v>
      </c>
    </row>
    <row r="2095" spans="1:27" x14ac:dyDescent="0.3">
      <c r="A2095" t="str">
        <f t="shared" si="584"/>
        <v>048314</v>
      </c>
      <c r="B2095" t="str">
        <f t="shared" si="589"/>
        <v>070417</v>
      </c>
      <c r="C2095" t="s">
        <v>2078</v>
      </c>
      <c r="D2095" t="s">
        <v>3839</v>
      </c>
      <c r="E2095" t="s">
        <v>3840</v>
      </c>
      <c r="F2095" t="s">
        <v>3841</v>
      </c>
      <c r="G2095" t="s">
        <v>3842</v>
      </c>
      <c r="H2095" t="str">
        <f t="shared" si="581"/>
        <v>048314</v>
      </c>
      <c r="I2095" t="s">
        <v>833</v>
      </c>
      <c r="J2095" t="str">
        <f>"2015-07-01 00:00:00.0"</f>
        <v>2015-07-01 00:00:00.0</v>
      </c>
      <c r="K2095" t="s">
        <v>834</v>
      </c>
      <c r="L2095" t="s">
        <v>0</v>
      </c>
      <c r="M2095" t="str">
        <f t="shared" si="587"/>
        <v>048314</v>
      </c>
      <c r="N2095">
        <v>1</v>
      </c>
      <c r="O2095">
        <v>1</v>
      </c>
      <c r="P2095" t="str">
        <f>"08"</f>
        <v>08</v>
      </c>
      <c r="Q2095" t="s">
        <v>835</v>
      </c>
      <c r="S2095" t="s">
        <v>836</v>
      </c>
      <c r="T2095" t="s">
        <v>836</v>
      </c>
      <c r="U2095" t="str">
        <f t="shared" si="590"/>
        <v>2500-12-31 00:00:00.0</v>
      </c>
      <c r="V2095" t="s">
        <v>837</v>
      </c>
      <c r="W2095" t="str">
        <f t="shared" ref="W2095:W2104" si="591">"048314-070417-**-**"</f>
        <v>048314-070417-**-**</v>
      </c>
      <c r="X2095" t="s">
        <v>838</v>
      </c>
      <c r="Y2095">
        <v>1125</v>
      </c>
      <c r="Z2095">
        <v>1125</v>
      </c>
      <c r="AA2095" t="str">
        <f t="shared" si="583"/>
        <v>06/08/2016</v>
      </c>
    </row>
    <row r="2096" spans="1:27" x14ac:dyDescent="0.3">
      <c r="A2096" t="str">
        <f t="shared" si="584"/>
        <v>048314</v>
      </c>
      <c r="B2096" t="str">
        <f t="shared" si="589"/>
        <v>070417</v>
      </c>
      <c r="C2096" t="s">
        <v>2079</v>
      </c>
      <c r="D2096" t="s">
        <v>3839</v>
      </c>
      <c r="E2096" t="s">
        <v>3840</v>
      </c>
      <c r="F2096" t="s">
        <v>3841</v>
      </c>
      <c r="G2096" t="s">
        <v>3842</v>
      </c>
      <c r="H2096" t="str">
        <f t="shared" si="581"/>
        <v>048314</v>
      </c>
      <c r="I2096" t="s">
        <v>833</v>
      </c>
      <c r="J2096" t="str">
        <f>"2015-08-01 00:00:00.0"</f>
        <v>2015-08-01 00:00:00.0</v>
      </c>
      <c r="K2096" t="s">
        <v>834</v>
      </c>
      <c r="L2096" t="s">
        <v>0</v>
      </c>
      <c r="M2096" t="str">
        <f t="shared" si="587"/>
        <v>048314</v>
      </c>
      <c r="N2096">
        <v>1</v>
      </c>
      <c r="O2096">
        <v>1</v>
      </c>
      <c r="P2096" t="str">
        <f>"08"</f>
        <v>08</v>
      </c>
      <c r="Q2096" t="s">
        <v>835</v>
      </c>
      <c r="S2096" t="s">
        <v>836</v>
      </c>
      <c r="T2096" t="s">
        <v>836</v>
      </c>
      <c r="U2096" t="str">
        <f t="shared" si="590"/>
        <v>2500-12-31 00:00:00.0</v>
      </c>
      <c r="V2096" t="s">
        <v>837</v>
      </c>
      <c r="W2096" t="str">
        <f t="shared" si="591"/>
        <v>048314-070417-**-**</v>
      </c>
      <c r="X2096" t="s">
        <v>838</v>
      </c>
      <c r="Y2096">
        <v>1125</v>
      </c>
      <c r="Z2096">
        <v>1125</v>
      </c>
      <c r="AA2096" t="str">
        <f t="shared" si="583"/>
        <v>06/08/2016</v>
      </c>
    </row>
    <row r="2097" spans="1:27" x14ac:dyDescent="0.3">
      <c r="A2097" t="str">
        <f t="shared" si="584"/>
        <v>048314</v>
      </c>
      <c r="B2097" t="str">
        <f t="shared" si="589"/>
        <v>070417</v>
      </c>
      <c r="C2097" t="s">
        <v>3156</v>
      </c>
      <c r="D2097" t="s">
        <v>3839</v>
      </c>
      <c r="E2097" t="s">
        <v>3840</v>
      </c>
      <c r="F2097" t="s">
        <v>3841</v>
      </c>
      <c r="G2097" t="s">
        <v>3842</v>
      </c>
      <c r="H2097" t="str">
        <f t="shared" si="581"/>
        <v>048314</v>
      </c>
      <c r="I2097" t="s">
        <v>833</v>
      </c>
      <c r="J2097" t="str">
        <f>"2015-08-01 00:00:00.0"</f>
        <v>2015-08-01 00:00:00.0</v>
      </c>
      <c r="K2097" t="s">
        <v>834</v>
      </c>
      <c r="L2097" t="s">
        <v>0</v>
      </c>
      <c r="M2097" t="str">
        <f t="shared" si="587"/>
        <v>048314</v>
      </c>
      <c r="N2097">
        <v>1</v>
      </c>
      <c r="O2097">
        <v>1</v>
      </c>
      <c r="P2097" t="str">
        <f>"06"</f>
        <v>06</v>
      </c>
      <c r="Q2097" t="s">
        <v>835</v>
      </c>
      <c r="S2097" t="s">
        <v>836</v>
      </c>
      <c r="T2097" t="s">
        <v>836</v>
      </c>
      <c r="U2097" t="str">
        <f t="shared" si="590"/>
        <v>2500-12-31 00:00:00.0</v>
      </c>
      <c r="V2097" t="s">
        <v>837</v>
      </c>
      <c r="W2097" t="str">
        <f t="shared" si="591"/>
        <v>048314-070417-**-**</v>
      </c>
      <c r="X2097" t="s">
        <v>838</v>
      </c>
      <c r="Y2097">
        <v>1125</v>
      </c>
      <c r="Z2097">
        <v>1125</v>
      </c>
      <c r="AA2097" t="str">
        <f t="shared" si="583"/>
        <v>06/08/2016</v>
      </c>
    </row>
    <row r="2098" spans="1:27" x14ac:dyDescent="0.3">
      <c r="A2098" t="str">
        <f t="shared" si="584"/>
        <v>048314</v>
      </c>
      <c r="B2098" t="str">
        <f t="shared" si="589"/>
        <v>070417</v>
      </c>
      <c r="C2098" t="s">
        <v>2599</v>
      </c>
      <c r="D2098" t="s">
        <v>3839</v>
      </c>
      <c r="E2098" t="s">
        <v>3840</v>
      </c>
      <c r="F2098" t="s">
        <v>3841</v>
      </c>
      <c r="G2098" t="s">
        <v>3842</v>
      </c>
      <c r="H2098" t="str">
        <f t="shared" si="581"/>
        <v>048314</v>
      </c>
      <c r="I2098" t="s">
        <v>833</v>
      </c>
      <c r="J2098" t="str">
        <f t="shared" ref="J2098:J2106" si="592">"2015-07-01 00:00:00.0"</f>
        <v>2015-07-01 00:00:00.0</v>
      </c>
      <c r="K2098" t="s">
        <v>834</v>
      </c>
      <c r="L2098" t="s">
        <v>0</v>
      </c>
      <c r="M2098" t="str">
        <f t="shared" si="587"/>
        <v>048314</v>
      </c>
      <c r="N2098">
        <v>1</v>
      </c>
      <c r="O2098">
        <v>1</v>
      </c>
      <c r="P2098" t="str">
        <f>"06"</f>
        <v>06</v>
      </c>
      <c r="Q2098" t="s">
        <v>835</v>
      </c>
      <c r="S2098" t="s">
        <v>836</v>
      </c>
      <c r="T2098" t="s">
        <v>836</v>
      </c>
      <c r="U2098" t="str">
        <f t="shared" si="590"/>
        <v>2500-12-31 00:00:00.0</v>
      </c>
      <c r="V2098" t="s">
        <v>837</v>
      </c>
      <c r="W2098" t="str">
        <f t="shared" si="591"/>
        <v>048314-070417-**-**</v>
      </c>
      <c r="X2098" t="s">
        <v>838</v>
      </c>
      <c r="Y2098">
        <v>1125</v>
      </c>
      <c r="Z2098">
        <v>1125</v>
      </c>
      <c r="AA2098" t="str">
        <f t="shared" si="583"/>
        <v>06/08/2016</v>
      </c>
    </row>
    <row r="2099" spans="1:27" x14ac:dyDescent="0.3">
      <c r="A2099" t="str">
        <f t="shared" si="584"/>
        <v>048314</v>
      </c>
      <c r="B2099" t="str">
        <f t="shared" si="589"/>
        <v>070417</v>
      </c>
      <c r="C2099" t="s">
        <v>2390</v>
      </c>
      <c r="D2099" t="s">
        <v>3839</v>
      </c>
      <c r="E2099" t="s">
        <v>3840</v>
      </c>
      <c r="F2099" t="s">
        <v>3841</v>
      </c>
      <c r="G2099" t="s">
        <v>3842</v>
      </c>
      <c r="H2099" t="str">
        <f t="shared" si="581"/>
        <v>048314</v>
      </c>
      <c r="I2099" t="s">
        <v>833</v>
      </c>
      <c r="J2099" t="str">
        <f t="shared" si="592"/>
        <v>2015-07-01 00:00:00.0</v>
      </c>
      <c r="K2099" t="s">
        <v>834</v>
      </c>
      <c r="L2099" t="s">
        <v>0</v>
      </c>
      <c r="M2099" t="str">
        <f t="shared" si="587"/>
        <v>048314</v>
      </c>
      <c r="N2099">
        <v>1</v>
      </c>
      <c r="O2099">
        <v>1</v>
      </c>
      <c r="P2099" t="str">
        <f>"06"</f>
        <v>06</v>
      </c>
      <c r="Q2099" t="s">
        <v>835</v>
      </c>
      <c r="S2099" t="s">
        <v>836</v>
      </c>
      <c r="T2099" t="s">
        <v>1433</v>
      </c>
      <c r="U2099" t="str">
        <f t="shared" si="590"/>
        <v>2500-12-31 00:00:00.0</v>
      </c>
      <c r="V2099" t="s">
        <v>837</v>
      </c>
      <c r="W2099" t="str">
        <f t="shared" si="591"/>
        <v>048314-070417-**-**</v>
      </c>
      <c r="X2099" t="s">
        <v>838</v>
      </c>
      <c r="Y2099">
        <v>1125</v>
      </c>
      <c r="Z2099">
        <v>1125</v>
      </c>
      <c r="AA2099" t="str">
        <f t="shared" si="583"/>
        <v>06/08/2016</v>
      </c>
    </row>
    <row r="2100" spans="1:27" x14ac:dyDescent="0.3">
      <c r="A2100" t="str">
        <f t="shared" si="584"/>
        <v>048314</v>
      </c>
      <c r="B2100" t="str">
        <f t="shared" si="589"/>
        <v>070417</v>
      </c>
      <c r="C2100" t="s">
        <v>2600</v>
      </c>
      <c r="D2100" t="s">
        <v>3839</v>
      </c>
      <c r="E2100" t="s">
        <v>3840</v>
      </c>
      <c r="F2100" t="s">
        <v>3841</v>
      </c>
      <c r="G2100" t="s">
        <v>3842</v>
      </c>
      <c r="H2100" t="str">
        <f t="shared" si="581"/>
        <v>048314</v>
      </c>
      <c r="I2100" t="s">
        <v>833</v>
      </c>
      <c r="J2100" t="str">
        <f t="shared" si="592"/>
        <v>2015-07-01 00:00:00.0</v>
      </c>
      <c r="K2100" t="s">
        <v>834</v>
      </c>
      <c r="L2100" t="s">
        <v>0</v>
      </c>
      <c r="M2100" t="str">
        <f t="shared" si="587"/>
        <v>048314</v>
      </c>
      <c r="N2100">
        <v>1</v>
      </c>
      <c r="O2100">
        <v>1</v>
      </c>
      <c r="P2100" t="str">
        <f>"07"</f>
        <v>07</v>
      </c>
      <c r="Q2100" t="s">
        <v>835</v>
      </c>
      <c r="S2100" t="s">
        <v>836</v>
      </c>
      <c r="T2100" t="s">
        <v>836</v>
      </c>
      <c r="U2100" t="str">
        <f t="shared" si="590"/>
        <v>2500-12-31 00:00:00.0</v>
      </c>
      <c r="V2100" t="s">
        <v>837</v>
      </c>
      <c r="W2100" t="str">
        <f t="shared" si="591"/>
        <v>048314-070417-**-**</v>
      </c>
      <c r="X2100" t="s">
        <v>838</v>
      </c>
      <c r="Y2100">
        <v>1125</v>
      </c>
      <c r="Z2100">
        <v>1125</v>
      </c>
      <c r="AA2100" t="str">
        <f t="shared" si="583"/>
        <v>06/08/2016</v>
      </c>
    </row>
    <row r="2101" spans="1:27" x14ac:dyDescent="0.3">
      <c r="A2101" t="str">
        <f t="shared" si="584"/>
        <v>048314</v>
      </c>
      <c r="B2101" t="str">
        <f t="shared" si="589"/>
        <v>070417</v>
      </c>
      <c r="C2101" t="s">
        <v>2520</v>
      </c>
      <c r="D2101" t="s">
        <v>3839</v>
      </c>
      <c r="E2101" t="s">
        <v>3840</v>
      </c>
      <c r="F2101" t="s">
        <v>3841</v>
      </c>
      <c r="G2101" t="s">
        <v>3842</v>
      </c>
      <c r="H2101" t="str">
        <f t="shared" si="581"/>
        <v>048314</v>
      </c>
      <c r="I2101" t="s">
        <v>833</v>
      </c>
      <c r="J2101" t="str">
        <f t="shared" si="592"/>
        <v>2015-07-01 00:00:00.0</v>
      </c>
      <c r="K2101" t="s">
        <v>834</v>
      </c>
      <c r="L2101" t="s">
        <v>0</v>
      </c>
      <c r="M2101" t="str">
        <f t="shared" si="587"/>
        <v>048314</v>
      </c>
      <c r="N2101">
        <v>1</v>
      </c>
      <c r="O2101">
        <v>1</v>
      </c>
      <c r="P2101" t="str">
        <f>"06"</f>
        <v>06</v>
      </c>
      <c r="Q2101" t="s">
        <v>835</v>
      </c>
      <c r="S2101" t="s">
        <v>836</v>
      </c>
      <c r="T2101" t="s">
        <v>836</v>
      </c>
      <c r="U2101" t="str">
        <f t="shared" si="590"/>
        <v>2500-12-31 00:00:00.0</v>
      </c>
      <c r="V2101" t="s">
        <v>837</v>
      </c>
      <c r="W2101" t="str">
        <f t="shared" si="591"/>
        <v>048314-070417-**-**</v>
      </c>
      <c r="X2101" t="s">
        <v>838</v>
      </c>
      <c r="Y2101">
        <v>1125</v>
      </c>
      <c r="Z2101">
        <v>1125</v>
      </c>
      <c r="AA2101" t="str">
        <f t="shared" si="583"/>
        <v>06/08/2016</v>
      </c>
    </row>
    <row r="2102" spans="1:27" x14ac:dyDescent="0.3">
      <c r="A2102" t="str">
        <f t="shared" si="584"/>
        <v>048314</v>
      </c>
      <c r="B2102" t="str">
        <f t="shared" si="589"/>
        <v>070417</v>
      </c>
      <c r="C2102" t="s">
        <v>2521</v>
      </c>
      <c r="D2102" t="s">
        <v>3839</v>
      </c>
      <c r="E2102" t="s">
        <v>3840</v>
      </c>
      <c r="F2102" t="s">
        <v>3841</v>
      </c>
      <c r="G2102" t="s">
        <v>3842</v>
      </c>
      <c r="H2102" t="str">
        <f t="shared" si="581"/>
        <v>048314</v>
      </c>
      <c r="I2102" t="s">
        <v>833</v>
      </c>
      <c r="J2102" t="str">
        <f t="shared" si="592"/>
        <v>2015-07-01 00:00:00.0</v>
      </c>
      <c r="K2102" t="s">
        <v>834</v>
      </c>
      <c r="L2102" t="s">
        <v>0</v>
      </c>
      <c r="M2102" t="str">
        <f t="shared" si="587"/>
        <v>048314</v>
      </c>
      <c r="N2102">
        <v>1</v>
      </c>
      <c r="O2102">
        <v>1</v>
      </c>
      <c r="P2102" t="str">
        <f>"06"</f>
        <v>06</v>
      </c>
      <c r="Q2102" t="s">
        <v>835</v>
      </c>
      <c r="S2102" t="s">
        <v>836</v>
      </c>
      <c r="T2102" t="s">
        <v>836</v>
      </c>
      <c r="U2102" t="str">
        <f t="shared" si="590"/>
        <v>2500-12-31 00:00:00.0</v>
      </c>
      <c r="V2102" t="s">
        <v>837</v>
      </c>
      <c r="W2102" t="str">
        <f t="shared" si="591"/>
        <v>048314-070417-**-**</v>
      </c>
      <c r="X2102" t="s">
        <v>838</v>
      </c>
      <c r="Y2102">
        <v>1125</v>
      </c>
      <c r="Z2102">
        <v>1125</v>
      </c>
      <c r="AA2102" t="str">
        <f t="shared" si="583"/>
        <v>06/08/2016</v>
      </c>
    </row>
    <row r="2103" spans="1:27" x14ac:dyDescent="0.3">
      <c r="A2103" t="str">
        <f t="shared" si="584"/>
        <v>048314</v>
      </c>
      <c r="B2103" t="str">
        <f t="shared" si="589"/>
        <v>070417</v>
      </c>
      <c r="C2103" t="s">
        <v>1978</v>
      </c>
      <c r="D2103" t="s">
        <v>3839</v>
      </c>
      <c r="E2103" t="s">
        <v>3840</v>
      </c>
      <c r="F2103" t="s">
        <v>3841</v>
      </c>
      <c r="G2103" t="s">
        <v>3842</v>
      </c>
      <c r="H2103" t="str">
        <f t="shared" si="581"/>
        <v>048314</v>
      </c>
      <c r="I2103" t="s">
        <v>833</v>
      </c>
      <c r="J2103" t="str">
        <f t="shared" si="592"/>
        <v>2015-07-01 00:00:00.0</v>
      </c>
      <c r="K2103" t="s">
        <v>834</v>
      </c>
      <c r="L2103" t="s">
        <v>0</v>
      </c>
      <c r="M2103" t="str">
        <f t="shared" si="587"/>
        <v>048314</v>
      </c>
      <c r="N2103">
        <v>1</v>
      </c>
      <c r="O2103">
        <v>1</v>
      </c>
      <c r="P2103" t="str">
        <f>"06"</f>
        <v>06</v>
      </c>
      <c r="Q2103" t="str">
        <f>"10"</f>
        <v>10</v>
      </c>
      <c r="R2103" t="str">
        <f>"2"</f>
        <v>2</v>
      </c>
      <c r="S2103" t="s">
        <v>836</v>
      </c>
      <c r="T2103" t="s">
        <v>836</v>
      </c>
      <c r="U2103" t="str">
        <f t="shared" si="590"/>
        <v>2500-12-31 00:00:00.0</v>
      </c>
      <c r="V2103" t="s">
        <v>837</v>
      </c>
      <c r="W2103" t="str">
        <f t="shared" si="591"/>
        <v>048314-070417-**-**</v>
      </c>
      <c r="X2103" t="s">
        <v>838</v>
      </c>
      <c r="Y2103">
        <v>1125</v>
      </c>
      <c r="Z2103">
        <v>1125</v>
      </c>
      <c r="AA2103" t="str">
        <f t="shared" si="583"/>
        <v>06/08/2016</v>
      </c>
    </row>
    <row r="2104" spans="1:27" x14ac:dyDescent="0.3">
      <c r="A2104" t="str">
        <f t="shared" si="584"/>
        <v>048314</v>
      </c>
      <c r="B2104" t="str">
        <f t="shared" si="589"/>
        <v>070417</v>
      </c>
      <c r="C2104" t="s">
        <v>2818</v>
      </c>
      <c r="D2104" t="s">
        <v>3839</v>
      </c>
      <c r="E2104" t="s">
        <v>3840</v>
      </c>
      <c r="F2104" t="s">
        <v>3841</v>
      </c>
      <c r="G2104" t="s">
        <v>3842</v>
      </c>
      <c r="H2104" t="str">
        <f t="shared" si="581"/>
        <v>048314</v>
      </c>
      <c r="I2104" t="s">
        <v>833</v>
      </c>
      <c r="J2104" t="str">
        <f t="shared" si="592"/>
        <v>2015-07-01 00:00:00.0</v>
      </c>
      <c r="K2104" t="s">
        <v>834</v>
      </c>
      <c r="L2104" t="s">
        <v>0</v>
      </c>
      <c r="M2104" t="str">
        <f t="shared" si="587"/>
        <v>048314</v>
      </c>
      <c r="N2104">
        <v>1</v>
      </c>
      <c r="O2104">
        <v>1</v>
      </c>
      <c r="P2104" t="str">
        <f>"06"</f>
        <v>06</v>
      </c>
      <c r="Q2104" t="s">
        <v>835</v>
      </c>
      <c r="S2104" t="s">
        <v>836</v>
      </c>
      <c r="T2104" t="s">
        <v>836</v>
      </c>
      <c r="U2104" t="str">
        <f t="shared" si="590"/>
        <v>2500-12-31 00:00:00.0</v>
      </c>
      <c r="V2104" t="s">
        <v>837</v>
      </c>
      <c r="W2104" t="str">
        <f t="shared" si="591"/>
        <v>048314-070417-**-**</v>
      </c>
      <c r="X2104" t="s">
        <v>838</v>
      </c>
      <c r="Y2104">
        <v>1125</v>
      </c>
      <c r="Z2104">
        <v>1125</v>
      </c>
      <c r="AA2104" t="str">
        <f t="shared" si="583"/>
        <v>06/08/2016</v>
      </c>
    </row>
    <row r="2105" spans="1:27" x14ac:dyDescent="0.3">
      <c r="A2105" t="str">
        <f t="shared" si="584"/>
        <v>048314</v>
      </c>
      <c r="B2105" t="str">
        <f t="shared" si="589"/>
        <v>070417</v>
      </c>
      <c r="C2105" t="s">
        <v>2292</v>
      </c>
      <c r="D2105" t="s">
        <v>3839</v>
      </c>
      <c r="E2105" t="s">
        <v>3840</v>
      </c>
      <c r="F2105" t="s">
        <v>3841</v>
      </c>
      <c r="G2105" t="s">
        <v>3842</v>
      </c>
      <c r="H2105" t="str">
        <f>"048397"</f>
        <v>048397</v>
      </c>
      <c r="I2105" t="s">
        <v>833</v>
      </c>
      <c r="J2105" t="str">
        <f t="shared" si="592"/>
        <v>2015-07-01 00:00:00.0</v>
      </c>
      <c r="K2105" t="s">
        <v>834</v>
      </c>
      <c r="L2105" t="s">
        <v>1</v>
      </c>
      <c r="M2105" t="str">
        <f t="shared" si="587"/>
        <v>048314</v>
      </c>
      <c r="N2105">
        <v>1</v>
      </c>
      <c r="O2105">
        <v>1</v>
      </c>
      <c r="P2105" t="str">
        <f>"09"</f>
        <v>09</v>
      </c>
      <c r="Q2105" t="s">
        <v>835</v>
      </c>
      <c r="S2105" t="s">
        <v>836</v>
      </c>
      <c r="T2105" t="s">
        <v>836</v>
      </c>
      <c r="U2105" t="str">
        <f t="shared" si="590"/>
        <v>2500-12-31 00:00:00.0</v>
      </c>
      <c r="V2105" t="s">
        <v>837</v>
      </c>
      <c r="W2105" t="str">
        <f>"048397-042333-**-**"</f>
        <v>048397-042333-**-**</v>
      </c>
      <c r="X2105" t="s">
        <v>838</v>
      </c>
      <c r="Y2105">
        <v>1113.0999999999999</v>
      </c>
      <c r="Z2105">
        <v>1113.0999999999999</v>
      </c>
      <c r="AA2105" t="str">
        <f t="shared" ref="AA2105:AA2110" si="593">"06/08/2016"</f>
        <v>06/08/2016</v>
      </c>
    </row>
    <row r="2106" spans="1:27" x14ac:dyDescent="0.3">
      <c r="A2106" t="str">
        <f t="shared" si="584"/>
        <v>048314</v>
      </c>
      <c r="B2106" t="str">
        <f t="shared" si="589"/>
        <v>070417</v>
      </c>
      <c r="C2106" t="s">
        <v>2820</v>
      </c>
      <c r="D2106" t="s">
        <v>3839</v>
      </c>
      <c r="E2106" t="s">
        <v>3840</v>
      </c>
      <c r="F2106" t="s">
        <v>3841</v>
      </c>
      <c r="G2106" t="s">
        <v>3842</v>
      </c>
      <c r="H2106" t="str">
        <f>"048314"</f>
        <v>048314</v>
      </c>
      <c r="I2106" t="s">
        <v>833</v>
      </c>
      <c r="J2106" t="str">
        <f t="shared" si="592"/>
        <v>2015-07-01 00:00:00.0</v>
      </c>
      <c r="K2106" t="s">
        <v>834</v>
      </c>
      <c r="L2106" t="s">
        <v>0</v>
      </c>
      <c r="M2106" t="str">
        <f t="shared" si="587"/>
        <v>048314</v>
      </c>
      <c r="N2106">
        <v>1</v>
      </c>
      <c r="O2106">
        <v>1</v>
      </c>
      <c r="P2106" t="str">
        <f>"06"</f>
        <v>06</v>
      </c>
      <c r="Q2106" t="s">
        <v>835</v>
      </c>
      <c r="S2106" t="s">
        <v>836</v>
      </c>
      <c r="T2106" t="s">
        <v>836</v>
      </c>
      <c r="U2106" t="str">
        <f t="shared" si="590"/>
        <v>2500-12-31 00:00:00.0</v>
      </c>
      <c r="V2106" t="s">
        <v>837</v>
      </c>
      <c r="W2106" t="str">
        <f>"048314-070417-**-**"</f>
        <v>048314-070417-**-**</v>
      </c>
      <c r="X2106" t="s">
        <v>838</v>
      </c>
      <c r="Y2106">
        <v>1125</v>
      </c>
      <c r="Z2106">
        <v>1125</v>
      </c>
      <c r="AA2106" t="str">
        <f t="shared" si="593"/>
        <v>06/08/2016</v>
      </c>
    </row>
    <row r="2107" spans="1:27" x14ac:dyDescent="0.3">
      <c r="A2107" t="str">
        <f t="shared" si="584"/>
        <v>048314</v>
      </c>
      <c r="B2107" t="str">
        <f t="shared" si="589"/>
        <v>070417</v>
      </c>
      <c r="C2107" t="s">
        <v>3724</v>
      </c>
      <c r="D2107" t="s">
        <v>3839</v>
      </c>
      <c r="E2107" t="s">
        <v>3840</v>
      </c>
      <c r="F2107" t="s">
        <v>3841</v>
      </c>
      <c r="G2107" t="s">
        <v>3842</v>
      </c>
      <c r="H2107" t="str">
        <f>"048314"</f>
        <v>048314</v>
      </c>
      <c r="I2107" t="s">
        <v>833</v>
      </c>
      <c r="J2107" t="str">
        <f>"2015-08-01 00:00:00.0"</f>
        <v>2015-08-01 00:00:00.0</v>
      </c>
      <c r="K2107" t="s">
        <v>834</v>
      </c>
      <c r="L2107" t="s">
        <v>0</v>
      </c>
      <c r="M2107" t="str">
        <f t="shared" si="587"/>
        <v>048314</v>
      </c>
      <c r="N2107">
        <v>1</v>
      </c>
      <c r="O2107">
        <v>1</v>
      </c>
      <c r="P2107" t="str">
        <f>"05"</f>
        <v>05</v>
      </c>
      <c r="Q2107" t="s">
        <v>835</v>
      </c>
      <c r="S2107" t="s">
        <v>836</v>
      </c>
      <c r="T2107" t="s">
        <v>836</v>
      </c>
      <c r="U2107" t="str">
        <f t="shared" si="590"/>
        <v>2500-12-31 00:00:00.0</v>
      </c>
      <c r="V2107" t="s">
        <v>837</v>
      </c>
      <c r="W2107" t="str">
        <f>"048314-070417-**-**"</f>
        <v>048314-070417-**-**</v>
      </c>
      <c r="X2107" t="s">
        <v>838</v>
      </c>
      <c r="Y2107">
        <v>1125</v>
      </c>
      <c r="Z2107">
        <v>1125</v>
      </c>
      <c r="AA2107" t="str">
        <f t="shared" si="593"/>
        <v>06/08/2016</v>
      </c>
    </row>
    <row r="2108" spans="1:27" x14ac:dyDescent="0.3">
      <c r="A2108" t="str">
        <f t="shared" si="584"/>
        <v>048314</v>
      </c>
      <c r="B2108" t="str">
        <f t="shared" si="589"/>
        <v>070417</v>
      </c>
      <c r="C2108" t="s">
        <v>2601</v>
      </c>
      <c r="D2108" t="s">
        <v>3839</v>
      </c>
      <c r="E2108" t="s">
        <v>3840</v>
      </c>
      <c r="F2108" t="s">
        <v>3841</v>
      </c>
      <c r="G2108" t="s">
        <v>3842</v>
      </c>
      <c r="H2108" t="str">
        <f>"048314"</f>
        <v>048314</v>
      </c>
      <c r="I2108" t="s">
        <v>833</v>
      </c>
      <c r="J2108" t="str">
        <f>"2015-07-01 00:00:00.0"</f>
        <v>2015-07-01 00:00:00.0</v>
      </c>
      <c r="K2108" t="s">
        <v>834</v>
      </c>
      <c r="L2108" t="s">
        <v>0</v>
      </c>
      <c r="M2108" t="str">
        <f t="shared" si="587"/>
        <v>048314</v>
      </c>
      <c r="N2108">
        <v>1</v>
      </c>
      <c r="O2108">
        <v>1</v>
      </c>
      <c r="P2108" t="str">
        <f>"07"</f>
        <v>07</v>
      </c>
      <c r="Q2108" t="s">
        <v>835</v>
      </c>
      <c r="S2108" t="s">
        <v>836</v>
      </c>
      <c r="T2108" t="s">
        <v>836</v>
      </c>
      <c r="U2108" t="str">
        <f t="shared" si="590"/>
        <v>2500-12-31 00:00:00.0</v>
      </c>
      <c r="V2108" t="s">
        <v>837</v>
      </c>
      <c r="W2108" t="str">
        <f>"048314-070417-**-**"</f>
        <v>048314-070417-**-**</v>
      </c>
      <c r="X2108" t="s">
        <v>838</v>
      </c>
      <c r="Y2108">
        <v>1125</v>
      </c>
      <c r="Z2108">
        <v>1125</v>
      </c>
      <c r="AA2108" t="str">
        <f t="shared" si="593"/>
        <v>06/08/2016</v>
      </c>
    </row>
    <row r="2109" spans="1:27" x14ac:dyDescent="0.3">
      <c r="A2109" t="str">
        <f t="shared" si="584"/>
        <v>048314</v>
      </c>
      <c r="B2109" t="str">
        <f t="shared" si="589"/>
        <v>070417</v>
      </c>
      <c r="C2109" t="s">
        <v>2602</v>
      </c>
      <c r="D2109" t="s">
        <v>3839</v>
      </c>
      <c r="E2109" t="s">
        <v>3840</v>
      </c>
      <c r="F2109" t="s">
        <v>3841</v>
      </c>
      <c r="G2109" t="s">
        <v>3842</v>
      </c>
      <c r="H2109" t="str">
        <f>"048314"</f>
        <v>048314</v>
      </c>
      <c r="I2109" t="s">
        <v>833</v>
      </c>
      <c r="J2109" t="str">
        <f>"2015-07-01 00:00:00.0"</f>
        <v>2015-07-01 00:00:00.0</v>
      </c>
      <c r="K2109" t="s">
        <v>834</v>
      </c>
      <c r="L2109" t="s">
        <v>0</v>
      </c>
      <c r="M2109" t="str">
        <f t="shared" si="587"/>
        <v>048314</v>
      </c>
      <c r="N2109">
        <v>1</v>
      </c>
      <c r="O2109">
        <v>1</v>
      </c>
      <c r="P2109" t="str">
        <f>"09"</f>
        <v>09</v>
      </c>
      <c r="Q2109" t="s">
        <v>835</v>
      </c>
      <c r="S2109" t="s">
        <v>836</v>
      </c>
      <c r="T2109" t="s">
        <v>836</v>
      </c>
      <c r="U2109" t="str">
        <f t="shared" si="590"/>
        <v>2500-12-31 00:00:00.0</v>
      </c>
      <c r="V2109" t="s">
        <v>837</v>
      </c>
      <c r="W2109" t="str">
        <f>"048314-004796-**-**"</f>
        <v>048314-004796-**-**</v>
      </c>
      <c r="X2109" t="s">
        <v>838</v>
      </c>
      <c r="Y2109">
        <v>1254.5</v>
      </c>
      <c r="Z2109">
        <v>1254.5</v>
      </c>
      <c r="AA2109" t="str">
        <f t="shared" si="593"/>
        <v>06/08/2016</v>
      </c>
    </row>
    <row r="2110" spans="1:27" x14ac:dyDescent="0.3">
      <c r="A2110" t="str">
        <f t="shared" si="584"/>
        <v>048314</v>
      </c>
      <c r="B2110" t="str">
        <f t="shared" si="589"/>
        <v>070417</v>
      </c>
      <c r="C2110" t="s">
        <v>2474</v>
      </c>
      <c r="D2110" t="s">
        <v>3839</v>
      </c>
      <c r="E2110" t="s">
        <v>3840</v>
      </c>
      <c r="F2110" t="s">
        <v>3841</v>
      </c>
      <c r="G2110" t="s">
        <v>3842</v>
      </c>
      <c r="H2110" t="str">
        <f>"048314"</f>
        <v>048314</v>
      </c>
      <c r="I2110" t="s">
        <v>833</v>
      </c>
      <c r="J2110" t="str">
        <f>"2015-07-01 00:00:00.0"</f>
        <v>2015-07-01 00:00:00.0</v>
      </c>
      <c r="K2110" t="s">
        <v>834</v>
      </c>
      <c r="L2110" t="s">
        <v>0</v>
      </c>
      <c r="M2110" t="str">
        <f t="shared" si="587"/>
        <v>048314</v>
      </c>
      <c r="N2110">
        <v>1</v>
      </c>
      <c r="O2110">
        <v>1</v>
      </c>
      <c r="P2110" t="str">
        <f>"07"</f>
        <v>07</v>
      </c>
      <c r="Q2110" t="s">
        <v>835</v>
      </c>
      <c r="S2110" t="s">
        <v>836</v>
      </c>
      <c r="T2110" t="s">
        <v>836</v>
      </c>
      <c r="U2110" t="str">
        <f t="shared" si="590"/>
        <v>2500-12-31 00:00:00.0</v>
      </c>
      <c r="V2110" t="s">
        <v>837</v>
      </c>
      <c r="W2110" t="str">
        <f>"048314-070417-**-**"</f>
        <v>048314-070417-**-**</v>
      </c>
      <c r="X2110" t="s">
        <v>838</v>
      </c>
      <c r="Y2110">
        <v>1125</v>
      </c>
      <c r="Z2110">
        <v>1125</v>
      </c>
      <c r="AA2110" t="str">
        <f t="shared" si="593"/>
        <v>06/08/2016</v>
      </c>
    </row>
    <row r="2111" spans="1:27" x14ac:dyDescent="0.3">
      <c r="A2111" t="str">
        <f t="shared" si="584"/>
        <v>048314</v>
      </c>
      <c r="B2111" t="str">
        <f t="shared" si="589"/>
        <v>070417</v>
      </c>
      <c r="C2111" t="s">
        <v>2330</v>
      </c>
      <c r="D2111" t="s">
        <v>3839</v>
      </c>
      <c r="E2111" t="s">
        <v>3840</v>
      </c>
      <c r="F2111" t="s">
        <v>3841</v>
      </c>
      <c r="G2111" t="s">
        <v>3842</v>
      </c>
      <c r="H2111" t="str">
        <f>"133413"</f>
        <v>133413</v>
      </c>
      <c r="I2111" t="s">
        <v>833</v>
      </c>
      <c r="J2111" t="str">
        <f>"2015-08-21 00:00:00.0"</f>
        <v>2015-08-21 00:00:00.0</v>
      </c>
      <c r="K2111" t="s">
        <v>834</v>
      </c>
      <c r="L2111" t="s">
        <v>2</v>
      </c>
      <c r="M2111" t="str">
        <f t="shared" si="587"/>
        <v>048314</v>
      </c>
      <c r="N2111">
        <v>1</v>
      </c>
      <c r="O2111">
        <v>1</v>
      </c>
      <c r="P2111" t="str">
        <f>"07"</f>
        <v>07</v>
      </c>
      <c r="Q2111" t="str">
        <f>"12"</f>
        <v>12</v>
      </c>
      <c r="R2111" t="str">
        <f>"6"</f>
        <v>6</v>
      </c>
      <c r="S2111" t="s">
        <v>836</v>
      </c>
      <c r="T2111" t="s">
        <v>836</v>
      </c>
      <c r="U2111" t="str">
        <f t="shared" si="590"/>
        <v>2500-12-31 00:00:00.0</v>
      </c>
      <c r="V2111" t="s">
        <v>837</v>
      </c>
      <c r="W2111" t="str">
        <f>"133413-133413-**-**"</f>
        <v>133413-133413-**-**</v>
      </c>
      <c r="X2111" t="s">
        <v>865</v>
      </c>
      <c r="Y2111">
        <v>921.29</v>
      </c>
      <c r="Z2111">
        <v>921.29</v>
      </c>
      <c r="AA2111" t="str">
        <f>"05/25/2016"</f>
        <v>05/25/2016</v>
      </c>
    </row>
    <row r="2112" spans="1:27" x14ac:dyDescent="0.3">
      <c r="A2112" t="str">
        <f t="shared" si="584"/>
        <v>048314</v>
      </c>
      <c r="B2112" t="str">
        <f t="shared" si="589"/>
        <v>070417</v>
      </c>
      <c r="C2112" t="s">
        <v>3676</v>
      </c>
      <c r="D2112" t="s">
        <v>3839</v>
      </c>
      <c r="E2112" t="s">
        <v>3840</v>
      </c>
      <c r="F2112" t="s">
        <v>3841</v>
      </c>
      <c r="G2112" t="s">
        <v>3842</v>
      </c>
      <c r="H2112" t="str">
        <f>"048314"</f>
        <v>048314</v>
      </c>
      <c r="I2112" t="s">
        <v>833</v>
      </c>
      <c r="J2112" t="str">
        <f>"2015-07-01 00:00:00.0"</f>
        <v>2015-07-01 00:00:00.0</v>
      </c>
      <c r="K2112" t="s">
        <v>834</v>
      </c>
      <c r="L2112" t="s">
        <v>0</v>
      </c>
      <c r="M2112" t="str">
        <f t="shared" si="587"/>
        <v>048314</v>
      </c>
      <c r="N2112">
        <v>1</v>
      </c>
      <c r="O2112">
        <v>1</v>
      </c>
      <c r="P2112" t="str">
        <f>"09"</f>
        <v>09</v>
      </c>
      <c r="Q2112" t="s">
        <v>835</v>
      </c>
      <c r="S2112" t="s">
        <v>836</v>
      </c>
      <c r="T2112" t="s">
        <v>836</v>
      </c>
      <c r="U2112" t="str">
        <f t="shared" si="590"/>
        <v>2500-12-31 00:00:00.0</v>
      </c>
      <c r="V2112" t="s">
        <v>837</v>
      </c>
      <c r="W2112" t="str">
        <f>"048314-004796-**-**"</f>
        <v>048314-004796-**-**</v>
      </c>
      <c r="X2112" t="s">
        <v>838</v>
      </c>
      <c r="Y2112">
        <v>1254.5</v>
      </c>
      <c r="Z2112">
        <v>1254.5</v>
      </c>
      <c r="AA2112" t="str">
        <f>"06/08/2016"</f>
        <v>06/08/2016</v>
      </c>
    </row>
    <row r="2113" spans="1:27" x14ac:dyDescent="0.3">
      <c r="A2113" t="str">
        <f t="shared" si="584"/>
        <v>048314</v>
      </c>
      <c r="B2113" t="str">
        <f t="shared" si="589"/>
        <v>070417</v>
      </c>
      <c r="C2113" t="s">
        <v>3677</v>
      </c>
      <c r="D2113" t="s">
        <v>3839</v>
      </c>
      <c r="E2113" t="s">
        <v>3840</v>
      </c>
      <c r="F2113" t="s">
        <v>3841</v>
      </c>
      <c r="G2113" t="s">
        <v>3842</v>
      </c>
      <c r="H2113" t="str">
        <f>"048314"</f>
        <v>048314</v>
      </c>
      <c r="I2113" t="s">
        <v>833</v>
      </c>
      <c r="J2113" t="str">
        <f>"2015-07-01 00:00:00.0"</f>
        <v>2015-07-01 00:00:00.0</v>
      </c>
      <c r="K2113" t="s">
        <v>834</v>
      </c>
      <c r="L2113" t="s">
        <v>0</v>
      </c>
      <c r="M2113" t="str">
        <f t="shared" si="587"/>
        <v>048314</v>
      </c>
      <c r="N2113">
        <v>1</v>
      </c>
      <c r="O2113">
        <v>1</v>
      </c>
      <c r="P2113" t="str">
        <f>"06"</f>
        <v>06</v>
      </c>
      <c r="Q2113" t="s">
        <v>835</v>
      </c>
      <c r="S2113" t="s">
        <v>836</v>
      </c>
      <c r="T2113" t="s">
        <v>836</v>
      </c>
      <c r="U2113" t="str">
        <f t="shared" si="590"/>
        <v>2500-12-31 00:00:00.0</v>
      </c>
      <c r="V2113" t="s">
        <v>837</v>
      </c>
      <c r="W2113" t="str">
        <f>"048314-070417-**-**"</f>
        <v>048314-070417-**-**</v>
      </c>
      <c r="X2113" t="s">
        <v>838</v>
      </c>
      <c r="Y2113">
        <v>1125</v>
      </c>
      <c r="Z2113">
        <v>1125</v>
      </c>
      <c r="AA2113" t="str">
        <f>"06/08/2016"</f>
        <v>06/08/2016</v>
      </c>
    </row>
    <row r="2114" spans="1:27" x14ac:dyDescent="0.3">
      <c r="A2114" t="str">
        <f t="shared" ref="A2114:A2177" si="594">"048314"</f>
        <v>048314</v>
      </c>
      <c r="B2114" t="str">
        <f t="shared" si="589"/>
        <v>070417</v>
      </c>
      <c r="C2114" t="s">
        <v>2603</v>
      </c>
      <c r="D2114" t="s">
        <v>3839</v>
      </c>
      <c r="E2114" t="s">
        <v>3840</v>
      </c>
      <c r="F2114" t="s">
        <v>3841</v>
      </c>
      <c r="G2114" t="s">
        <v>3842</v>
      </c>
      <c r="H2114" t="str">
        <f>"048314"</f>
        <v>048314</v>
      </c>
      <c r="I2114" t="s">
        <v>833</v>
      </c>
      <c r="J2114" t="str">
        <f>"2015-07-01 00:00:00.0"</f>
        <v>2015-07-01 00:00:00.0</v>
      </c>
      <c r="K2114" t="s">
        <v>834</v>
      </c>
      <c r="L2114" t="s">
        <v>0</v>
      </c>
      <c r="M2114" t="str">
        <f t="shared" si="587"/>
        <v>048314</v>
      </c>
      <c r="N2114">
        <v>1</v>
      </c>
      <c r="O2114">
        <v>1</v>
      </c>
      <c r="P2114" t="str">
        <f>"06"</f>
        <v>06</v>
      </c>
      <c r="Q2114" t="s">
        <v>835</v>
      </c>
      <c r="S2114" t="s">
        <v>836</v>
      </c>
      <c r="T2114" t="s">
        <v>836</v>
      </c>
      <c r="U2114" t="str">
        <f t="shared" si="590"/>
        <v>2500-12-31 00:00:00.0</v>
      </c>
      <c r="V2114" t="s">
        <v>837</v>
      </c>
      <c r="W2114" t="str">
        <f>"048314-070417-**-**"</f>
        <v>048314-070417-**-**</v>
      </c>
      <c r="X2114" t="s">
        <v>838</v>
      </c>
      <c r="Y2114">
        <v>1125</v>
      </c>
      <c r="Z2114">
        <v>1125</v>
      </c>
      <c r="AA2114" t="str">
        <f>"06/08/2016"</f>
        <v>06/08/2016</v>
      </c>
    </row>
    <row r="2115" spans="1:27" x14ac:dyDescent="0.3">
      <c r="A2115" t="str">
        <f t="shared" si="594"/>
        <v>048314</v>
      </c>
      <c r="B2115" t="str">
        <f t="shared" si="589"/>
        <v>070417</v>
      </c>
      <c r="C2115" t="s">
        <v>1026</v>
      </c>
      <c r="D2115" t="s">
        <v>3839</v>
      </c>
      <c r="E2115" t="s">
        <v>3840</v>
      </c>
      <c r="F2115" t="s">
        <v>3841</v>
      </c>
      <c r="G2115" t="s">
        <v>3842</v>
      </c>
      <c r="H2115" t="str">
        <f>"048314"</f>
        <v>048314</v>
      </c>
      <c r="I2115" t="s">
        <v>833</v>
      </c>
      <c r="J2115" t="str">
        <f>"2015-08-01 00:00:00.0"</f>
        <v>2015-08-01 00:00:00.0</v>
      </c>
      <c r="K2115" t="s">
        <v>834</v>
      </c>
      <c r="L2115" t="s">
        <v>0</v>
      </c>
      <c r="M2115" t="str">
        <f t="shared" si="587"/>
        <v>048314</v>
      </c>
      <c r="N2115">
        <v>1</v>
      </c>
      <c r="O2115">
        <v>1</v>
      </c>
      <c r="P2115" t="str">
        <f>"05"</f>
        <v>05</v>
      </c>
      <c r="Q2115" t="s">
        <v>835</v>
      </c>
      <c r="S2115" t="s">
        <v>836</v>
      </c>
      <c r="T2115" t="s">
        <v>836</v>
      </c>
      <c r="U2115" t="str">
        <f t="shared" si="590"/>
        <v>2500-12-31 00:00:00.0</v>
      </c>
      <c r="V2115" t="s">
        <v>837</v>
      </c>
      <c r="W2115" t="str">
        <f>"048314-070417-**-**"</f>
        <v>048314-070417-**-**</v>
      </c>
      <c r="X2115" t="s">
        <v>838</v>
      </c>
      <c r="Y2115">
        <v>1125</v>
      </c>
      <c r="Z2115">
        <v>1125</v>
      </c>
      <c r="AA2115" t="str">
        <f>"06/08/2016"</f>
        <v>06/08/2016</v>
      </c>
    </row>
    <row r="2116" spans="1:27" x14ac:dyDescent="0.3">
      <c r="A2116" t="str">
        <f t="shared" si="594"/>
        <v>048314</v>
      </c>
      <c r="B2116" t="str">
        <f t="shared" si="589"/>
        <v>070417</v>
      </c>
      <c r="C2116" t="s">
        <v>2796</v>
      </c>
      <c r="D2116" t="s">
        <v>3839</v>
      </c>
      <c r="E2116" t="s">
        <v>3840</v>
      </c>
      <c r="F2116" t="s">
        <v>3841</v>
      </c>
      <c r="G2116" t="s">
        <v>3842</v>
      </c>
      <c r="H2116" t="str">
        <f>"048363"</f>
        <v>048363</v>
      </c>
      <c r="I2116" t="s">
        <v>833</v>
      </c>
      <c r="J2116" t="str">
        <f>"2016-03-17 00:00:00.0"</f>
        <v>2016-03-17 00:00:00.0</v>
      </c>
      <c r="K2116" t="s">
        <v>834</v>
      </c>
      <c r="L2116" t="s">
        <v>1</v>
      </c>
      <c r="M2116" t="str">
        <f t="shared" si="587"/>
        <v>048314</v>
      </c>
      <c r="N2116">
        <v>0.276841</v>
      </c>
      <c r="O2116">
        <v>0.276841</v>
      </c>
      <c r="P2116" t="str">
        <f>"05"</f>
        <v>05</v>
      </c>
      <c r="Q2116" t="s">
        <v>835</v>
      </c>
      <c r="S2116" t="s">
        <v>836</v>
      </c>
      <c r="T2116" t="s">
        <v>836</v>
      </c>
      <c r="U2116" t="str">
        <f t="shared" si="590"/>
        <v>2500-12-31 00:00:00.0</v>
      </c>
      <c r="V2116" t="s">
        <v>837</v>
      </c>
      <c r="W2116" t="str">
        <f>"048363-014522-**-**"</f>
        <v>048363-014522-**-**</v>
      </c>
      <c r="X2116" t="s">
        <v>838</v>
      </c>
      <c r="Y2116">
        <v>312</v>
      </c>
      <c r="Z2116">
        <v>1127</v>
      </c>
      <c r="AA2116" t="str">
        <f>"06/15/2016"</f>
        <v>06/15/2016</v>
      </c>
    </row>
    <row r="2117" spans="1:27" x14ac:dyDescent="0.3">
      <c r="A2117" t="str">
        <f t="shared" si="594"/>
        <v>048314</v>
      </c>
      <c r="B2117" t="str">
        <f t="shared" si="589"/>
        <v>070417</v>
      </c>
      <c r="C2117" t="s">
        <v>2089</v>
      </c>
      <c r="D2117" t="s">
        <v>3839</v>
      </c>
      <c r="E2117" t="s">
        <v>3840</v>
      </c>
      <c r="F2117" t="s">
        <v>3841</v>
      </c>
      <c r="G2117" t="s">
        <v>3842</v>
      </c>
      <c r="H2117" t="str">
        <f t="shared" ref="H2117:H2158" si="595">"048314"</f>
        <v>048314</v>
      </c>
      <c r="I2117" t="s">
        <v>833</v>
      </c>
      <c r="J2117" t="str">
        <f t="shared" ref="J2117:J2147" si="596">"2015-07-01 00:00:00.0"</f>
        <v>2015-07-01 00:00:00.0</v>
      </c>
      <c r="K2117" t="s">
        <v>834</v>
      </c>
      <c r="L2117" t="s">
        <v>0</v>
      </c>
      <c r="M2117" t="str">
        <f t="shared" si="587"/>
        <v>048314</v>
      </c>
      <c r="N2117">
        <v>1</v>
      </c>
      <c r="O2117">
        <v>1</v>
      </c>
      <c r="P2117" t="str">
        <f>"08"</f>
        <v>08</v>
      </c>
      <c r="Q2117" t="s">
        <v>835</v>
      </c>
      <c r="S2117" t="s">
        <v>836</v>
      </c>
      <c r="T2117" t="s">
        <v>836</v>
      </c>
      <c r="U2117" t="str">
        <f t="shared" si="590"/>
        <v>2500-12-31 00:00:00.0</v>
      </c>
      <c r="V2117" t="s">
        <v>837</v>
      </c>
      <c r="W2117" t="str">
        <f>"048314-070417-**-**"</f>
        <v>048314-070417-**-**</v>
      </c>
      <c r="X2117" t="s">
        <v>838</v>
      </c>
      <c r="Y2117">
        <v>1125</v>
      </c>
      <c r="Z2117">
        <v>1125</v>
      </c>
      <c r="AA2117" t="str">
        <f t="shared" ref="AA2117:AA2180" si="597">"06/08/2016"</f>
        <v>06/08/2016</v>
      </c>
    </row>
    <row r="2118" spans="1:27" x14ac:dyDescent="0.3">
      <c r="A2118" t="str">
        <f t="shared" si="594"/>
        <v>048314</v>
      </c>
      <c r="B2118" t="str">
        <f t="shared" si="589"/>
        <v>070417</v>
      </c>
      <c r="C2118" t="s">
        <v>2193</v>
      </c>
      <c r="D2118" t="s">
        <v>3839</v>
      </c>
      <c r="E2118" t="s">
        <v>3840</v>
      </c>
      <c r="F2118" t="s">
        <v>3841</v>
      </c>
      <c r="G2118" t="s">
        <v>3842</v>
      </c>
      <c r="H2118" t="str">
        <f t="shared" si="595"/>
        <v>048314</v>
      </c>
      <c r="I2118" t="s">
        <v>833</v>
      </c>
      <c r="J2118" t="str">
        <f t="shared" si="596"/>
        <v>2015-07-01 00:00:00.0</v>
      </c>
      <c r="K2118" t="s">
        <v>834</v>
      </c>
      <c r="L2118" t="s">
        <v>0</v>
      </c>
      <c r="M2118" t="str">
        <f t="shared" si="587"/>
        <v>048314</v>
      </c>
      <c r="N2118">
        <v>1</v>
      </c>
      <c r="O2118">
        <v>1</v>
      </c>
      <c r="P2118" t="str">
        <f>"08"</f>
        <v>08</v>
      </c>
      <c r="Q2118" t="s">
        <v>835</v>
      </c>
      <c r="S2118" t="s">
        <v>836</v>
      </c>
      <c r="T2118" t="s">
        <v>836</v>
      </c>
      <c r="U2118" t="str">
        <f t="shared" si="590"/>
        <v>2500-12-31 00:00:00.0</v>
      </c>
      <c r="V2118" t="s">
        <v>837</v>
      </c>
      <c r="W2118" t="str">
        <f>"048314-070417-**-**"</f>
        <v>048314-070417-**-**</v>
      </c>
      <c r="X2118" t="s">
        <v>838</v>
      </c>
      <c r="Y2118">
        <v>1125</v>
      </c>
      <c r="Z2118">
        <v>1125</v>
      </c>
      <c r="AA2118" t="str">
        <f t="shared" si="597"/>
        <v>06/08/2016</v>
      </c>
    </row>
    <row r="2119" spans="1:27" x14ac:dyDescent="0.3">
      <c r="A2119" t="str">
        <f t="shared" si="594"/>
        <v>048314</v>
      </c>
      <c r="B2119" t="str">
        <f t="shared" si="589"/>
        <v>070417</v>
      </c>
      <c r="C2119" t="s">
        <v>3106</v>
      </c>
      <c r="D2119" t="s">
        <v>3839</v>
      </c>
      <c r="E2119" t="s">
        <v>3840</v>
      </c>
      <c r="F2119" t="s">
        <v>3841</v>
      </c>
      <c r="G2119" t="s">
        <v>3842</v>
      </c>
      <c r="H2119" t="str">
        <f t="shared" si="595"/>
        <v>048314</v>
      </c>
      <c r="I2119" t="s">
        <v>833</v>
      </c>
      <c r="J2119" t="str">
        <f t="shared" si="596"/>
        <v>2015-07-01 00:00:00.0</v>
      </c>
      <c r="K2119" t="s">
        <v>834</v>
      </c>
      <c r="L2119" t="s">
        <v>0</v>
      </c>
      <c r="M2119" t="str">
        <f t="shared" si="587"/>
        <v>048314</v>
      </c>
      <c r="N2119">
        <v>1</v>
      </c>
      <c r="O2119">
        <v>1</v>
      </c>
      <c r="P2119" t="str">
        <f>"06"</f>
        <v>06</v>
      </c>
      <c r="Q2119" t="s">
        <v>835</v>
      </c>
      <c r="S2119" t="s">
        <v>836</v>
      </c>
      <c r="T2119" t="s">
        <v>836</v>
      </c>
      <c r="U2119" t="str">
        <f t="shared" si="590"/>
        <v>2500-12-31 00:00:00.0</v>
      </c>
      <c r="V2119" t="s">
        <v>837</v>
      </c>
      <c r="W2119" t="str">
        <f>"048314-070417-**-**"</f>
        <v>048314-070417-**-**</v>
      </c>
      <c r="X2119" t="s">
        <v>838</v>
      </c>
      <c r="Y2119">
        <v>1125</v>
      </c>
      <c r="Z2119">
        <v>1125</v>
      </c>
      <c r="AA2119" t="str">
        <f t="shared" si="597"/>
        <v>06/08/2016</v>
      </c>
    </row>
    <row r="2120" spans="1:27" x14ac:dyDescent="0.3">
      <c r="A2120" t="str">
        <f t="shared" si="594"/>
        <v>048314</v>
      </c>
      <c r="B2120" t="str">
        <f t="shared" si="589"/>
        <v>070417</v>
      </c>
      <c r="C2120" t="s">
        <v>3651</v>
      </c>
      <c r="D2120" t="s">
        <v>3839</v>
      </c>
      <c r="E2120" t="s">
        <v>3840</v>
      </c>
      <c r="F2120" t="s">
        <v>3841</v>
      </c>
      <c r="G2120" t="s">
        <v>3842</v>
      </c>
      <c r="H2120" t="str">
        <f t="shared" si="595"/>
        <v>048314</v>
      </c>
      <c r="I2120" t="s">
        <v>833</v>
      </c>
      <c r="J2120" t="str">
        <f t="shared" si="596"/>
        <v>2015-07-01 00:00:00.0</v>
      </c>
      <c r="K2120" t="s">
        <v>834</v>
      </c>
      <c r="L2120" t="s">
        <v>0</v>
      </c>
      <c r="M2120" t="str">
        <f t="shared" si="587"/>
        <v>048314</v>
      </c>
      <c r="N2120">
        <v>1</v>
      </c>
      <c r="O2120">
        <v>1</v>
      </c>
      <c r="P2120" t="str">
        <f>"07"</f>
        <v>07</v>
      </c>
      <c r="Q2120" t="s">
        <v>835</v>
      </c>
      <c r="S2120" t="s">
        <v>836</v>
      </c>
      <c r="T2120" t="s">
        <v>836</v>
      </c>
      <c r="U2120" t="str">
        <f t="shared" si="590"/>
        <v>2500-12-31 00:00:00.0</v>
      </c>
      <c r="V2120" t="s">
        <v>837</v>
      </c>
      <c r="W2120" t="str">
        <f>"048314-070417-**-**"</f>
        <v>048314-070417-**-**</v>
      </c>
      <c r="X2120" t="s">
        <v>838</v>
      </c>
      <c r="Y2120">
        <v>1125</v>
      </c>
      <c r="Z2120">
        <v>1125</v>
      </c>
      <c r="AA2120" t="str">
        <f t="shared" si="597"/>
        <v>06/08/2016</v>
      </c>
    </row>
    <row r="2121" spans="1:27" x14ac:dyDescent="0.3">
      <c r="A2121" t="str">
        <f t="shared" si="594"/>
        <v>048314</v>
      </c>
      <c r="B2121" t="str">
        <f t="shared" si="589"/>
        <v>070417</v>
      </c>
      <c r="C2121" t="s">
        <v>2391</v>
      </c>
      <c r="D2121" t="s">
        <v>3839</v>
      </c>
      <c r="E2121" t="s">
        <v>3840</v>
      </c>
      <c r="F2121" t="s">
        <v>3841</v>
      </c>
      <c r="G2121" t="s">
        <v>3842</v>
      </c>
      <c r="H2121" t="str">
        <f t="shared" si="595"/>
        <v>048314</v>
      </c>
      <c r="I2121" t="s">
        <v>833</v>
      </c>
      <c r="J2121" t="str">
        <f t="shared" si="596"/>
        <v>2015-07-01 00:00:00.0</v>
      </c>
      <c r="K2121" t="s">
        <v>834</v>
      </c>
      <c r="L2121" t="s">
        <v>0</v>
      </c>
      <c r="M2121" t="str">
        <f t="shared" si="587"/>
        <v>048314</v>
      </c>
      <c r="N2121">
        <v>1</v>
      </c>
      <c r="O2121">
        <v>1</v>
      </c>
      <c r="P2121" t="str">
        <f>"07"</f>
        <v>07</v>
      </c>
      <c r="Q2121" t="s">
        <v>835</v>
      </c>
      <c r="S2121" t="s">
        <v>836</v>
      </c>
      <c r="T2121" t="s">
        <v>836</v>
      </c>
      <c r="U2121" t="str">
        <f t="shared" si="590"/>
        <v>2500-12-31 00:00:00.0</v>
      </c>
      <c r="V2121" t="s">
        <v>837</v>
      </c>
      <c r="W2121" t="str">
        <f>"048314-070417-**-**"</f>
        <v>048314-070417-**-**</v>
      </c>
      <c r="X2121" t="s">
        <v>838</v>
      </c>
      <c r="Y2121">
        <v>1125</v>
      </c>
      <c r="Z2121">
        <v>1125</v>
      </c>
      <c r="AA2121" t="str">
        <f t="shared" si="597"/>
        <v>06/08/2016</v>
      </c>
    </row>
    <row r="2122" spans="1:27" x14ac:dyDescent="0.3">
      <c r="A2122" t="str">
        <f t="shared" si="594"/>
        <v>048314</v>
      </c>
      <c r="B2122" t="str">
        <f t="shared" si="589"/>
        <v>070417</v>
      </c>
      <c r="C2122" t="s">
        <v>1917</v>
      </c>
      <c r="D2122" t="s">
        <v>3839</v>
      </c>
      <c r="E2122" t="s">
        <v>3840</v>
      </c>
      <c r="F2122" t="s">
        <v>3841</v>
      </c>
      <c r="G2122" t="s">
        <v>3842</v>
      </c>
      <c r="H2122" t="str">
        <f t="shared" si="595"/>
        <v>048314</v>
      </c>
      <c r="I2122" t="s">
        <v>833</v>
      </c>
      <c r="J2122" t="str">
        <f t="shared" si="596"/>
        <v>2015-07-01 00:00:00.0</v>
      </c>
      <c r="K2122" t="s">
        <v>834</v>
      </c>
      <c r="L2122" t="s">
        <v>0</v>
      </c>
      <c r="M2122" t="str">
        <f t="shared" si="587"/>
        <v>048314</v>
      </c>
      <c r="N2122">
        <v>1</v>
      </c>
      <c r="O2122">
        <v>1</v>
      </c>
      <c r="P2122" t="str">
        <f>"09"</f>
        <v>09</v>
      </c>
      <c r="Q2122" t="s">
        <v>835</v>
      </c>
      <c r="S2122" t="s">
        <v>836</v>
      </c>
      <c r="T2122" t="s">
        <v>836</v>
      </c>
      <c r="U2122" t="str">
        <f t="shared" si="590"/>
        <v>2500-12-31 00:00:00.0</v>
      </c>
      <c r="V2122" t="s">
        <v>837</v>
      </c>
      <c r="W2122" t="str">
        <f>"048314-004796-**-**"</f>
        <v>048314-004796-**-**</v>
      </c>
      <c r="X2122" t="s">
        <v>838</v>
      </c>
      <c r="Y2122">
        <v>1254.5</v>
      </c>
      <c r="Z2122">
        <v>1254.5</v>
      </c>
      <c r="AA2122" t="str">
        <f t="shared" si="597"/>
        <v>06/08/2016</v>
      </c>
    </row>
    <row r="2123" spans="1:27" x14ac:dyDescent="0.3">
      <c r="A2123" t="str">
        <f t="shared" si="594"/>
        <v>048314</v>
      </c>
      <c r="B2123" t="str">
        <f t="shared" si="589"/>
        <v>070417</v>
      </c>
      <c r="C2123" t="s">
        <v>2090</v>
      </c>
      <c r="D2123" t="s">
        <v>3839</v>
      </c>
      <c r="E2123" t="s">
        <v>3840</v>
      </c>
      <c r="F2123" t="s">
        <v>3841</v>
      </c>
      <c r="G2123" t="s">
        <v>3842</v>
      </c>
      <c r="H2123" t="str">
        <f t="shared" si="595"/>
        <v>048314</v>
      </c>
      <c r="I2123" t="s">
        <v>833</v>
      </c>
      <c r="J2123" t="str">
        <f t="shared" si="596"/>
        <v>2015-07-01 00:00:00.0</v>
      </c>
      <c r="K2123" t="s">
        <v>834</v>
      </c>
      <c r="L2123" t="s">
        <v>0</v>
      </c>
      <c r="M2123" t="str">
        <f t="shared" si="587"/>
        <v>048314</v>
      </c>
      <c r="N2123">
        <v>1</v>
      </c>
      <c r="O2123">
        <v>1</v>
      </c>
      <c r="P2123" t="str">
        <f>"08"</f>
        <v>08</v>
      </c>
      <c r="Q2123" t="s">
        <v>835</v>
      </c>
      <c r="S2123" t="s">
        <v>836</v>
      </c>
      <c r="T2123" t="s">
        <v>836</v>
      </c>
      <c r="U2123" t="str">
        <f t="shared" si="590"/>
        <v>2500-12-31 00:00:00.0</v>
      </c>
      <c r="V2123" t="s">
        <v>837</v>
      </c>
      <c r="W2123" t="str">
        <f>"048314-070417-**-**"</f>
        <v>048314-070417-**-**</v>
      </c>
      <c r="X2123" t="s">
        <v>838</v>
      </c>
      <c r="Y2123">
        <v>1125</v>
      </c>
      <c r="Z2123">
        <v>1125</v>
      </c>
      <c r="AA2123" t="str">
        <f t="shared" si="597"/>
        <v>06/08/2016</v>
      </c>
    </row>
    <row r="2124" spans="1:27" x14ac:dyDescent="0.3">
      <c r="A2124" t="str">
        <f t="shared" si="594"/>
        <v>048314</v>
      </c>
      <c r="B2124" t="str">
        <f t="shared" si="589"/>
        <v>070417</v>
      </c>
      <c r="C2124" t="s">
        <v>1991</v>
      </c>
      <c r="D2124" t="s">
        <v>3839</v>
      </c>
      <c r="E2124" t="s">
        <v>3840</v>
      </c>
      <c r="F2124" t="s">
        <v>3841</v>
      </c>
      <c r="G2124" t="s">
        <v>3842</v>
      </c>
      <c r="H2124" t="str">
        <f t="shared" si="595"/>
        <v>048314</v>
      </c>
      <c r="I2124" t="s">
        <v>833</v>
      </c>
      <c r="J2124" t="str">
        <f t="shared" si="596"/>
        <v>2015-07-01 00:00:00.0</v>
      </c>
      <c r="K2124" t="s">
        <v>834</v>
      </c>
      <c r="L2124" t="s">
        <v>0</v>
      </c>
      <c r="M2124" t="str">
        <f t="shared" si="587"/>
        <v>048314</v>
      </c>
      <c r="N2124">
        <v>1</v>
      </c>
      <c r="O2124">
        <v>1</v>
      </c>
      <c r="P2124" t="str">
        <f>"08"</f>
        <v>08</v>
      </c>
      <c r="Q2124" t="s">
        <v>835</v>
      </c>
      <c r="S2124" t="s">
        <v>836</v>
      </c>
      <c r="T2124" t="s">
        <v>836</v>
      </c>
      <c r="U2124" t="str">
        <f t="shared" si="590"/>
        <v>2500-12-31 00:00:00.0</v>
      </c>
      <c r="V2124" t="s">
        <v>837</v>
      </c>
      <c r="W2124" t="str">
        <f>"048314-070417-**-**"</f>
        <v>048314-070417-**-**</v>
      </c>
      <c r="X2124" t="s">
        <v>838</v>
      </c>
      <c r="Y2124">
        <v>1125</v>
      </c>
      <c r="Z2124">
        <v>1125</v>
      </c>
      <c r="AA2124" t="str">
        <f t="shared" si="597"/>
        <v>06/08/2016</v>
      </c>
    </row>
    <row r="2125" spans="1:27" x14ac:dyDescent="0.3">
      <c r="A2125" t="str">
        <f t="shared" si="594"/>
        <v>048314</v>
      </c>
      <c r="B2125" t="str">
        <f t="shared" si="589"/>
        <v>070417</v>
      </c>
      <c r="C2125" t="s">
        <v>3508</v>
      </c>
      <c r="D2125" t="s">
        <v>3839</v>
      </c>
      <c r="E2125" t="s">
        <v>3840</v>
      </c>
      <c r="F2125" t="s">
        <v>3841</v>
      </c>
      <c r="G2125" t="s">
        <v>3842</v>
      </c>
      <c r="H2125" t="str">
        <f t="shared" si="595"/>
        <v>048314</v>
      </c>
      <c r="I2125" t="s">
        <v>833</v>
      </c>
      <c r="J2125" t="str">
        <f t="shared" si="596"/>
        <v>2015-07-01 00:00:00.0</v>
      </c>
      <c r="K2125" t="s">
        <v>834</v>
      </c>
      <c r="L2125" t="s">
        <v>0</v>
      </c>
      <c r="M2125" t="str">
        <f t="shared" si="587"/>
        <v>048314</v>
      </c>
      <c r="N2125">
        <v>1</v>
      </c>
      <c r="O2125">
        <v>1</v>
      </c>
      <c r="P2125" t="str">
        <f>"06"</f>
        <v>06</v>
      </c>
      <c r="Q2125" t="s">
        <v>835</v>
      </c>
      <c r="S2125" t="s">
        <v>836</v>
      </c>
      <c r="T2125" t="s">
        <v>836</v>
      </c>
      <c r="U2125" t="str">
        <f t="shared" si="590"/>
        <v>2500-12-31 00:00:00.0</v>
      </c>
      <c r="V2125" t="s">
        <v>837</v>
      </c>
      <c r="W2125" t="str">
        <f>"048314-070417-**-**"</f>
        <v>048314-070417-**-**</v>
      </c>
      <c r="X2125" t="s">
        <v>838</v>
      </c>
      <c r="Y2125">
        <v>1125</v>
      </c>
      <c r="Z2125">
        <v>1125</v>
      </c>
      <c r="AA2125" t="str">
        <f t="shared" si="597"/>
        <v>06/08/2016</v>
      </c>
    </row>
    <row r="2126" spans="1:27" x14ac:dyDescent="0.3">
      <c r="A2126" t="str">
        <f t="shared" si="594"/>
        <v>048314</v>
      </c>
      <c r="B2126" t="str">
        <f t="shared" si="589"/>
        <v>070417</v>
      </c>
      <c r="C2126" t="s">
        <v>3174</v>
      </c>
      <c r="D2126" t="s">
        <v>3839</v>
      </c>
      <c r="E2126" t="s">
        <v>3840</v>
      </c>
      <c r="F2126" t="s">
        <v>3841</v>
      </c>
      <c r="G2126" t="s">
        <v>3842</v>
      </c>
      <c r="H2126" t="str">
        <f t="shared" si="595"/>
        <v>048314</v>
      </c>
      <c r="I2126" t="s">
        <v>833</v>
      </c>
      <c r="J2126" t="str">
        <f t="shared" si="596"/>
        <v>2015-07-01 00:00:00.0</v>
      </c>
      <c r="K2126" t="s">
        <v>834</v>
      </c>
      <c r="L2126" t="s">
        <v>0</v>
      </c>
      <c r="M2126" t="str">
        <f t="shared" si="587"/>
        <v>048314</v>
      </c>
      <c r="N2126">
        <v>1</v>
      </c>
      <c r="O2126">
        <v>1</v>
      </c>
      <c r="P2126" t="str">
        <f>"09"</f>
        <v>09</v>
      </c>
      <c r="Q2126" t="s">
        <v>835</v>
      </c>
      <c r="S2126" t="s">
        <v>860</v>
      </c>
      <c r="T2126" t="s">
        <v>836</v>
      </c>
      <c r="U2126" t="str">
        <f t="shared" si="590"/>
        <v>2500-12-31 00:00:00.0</v>
      </c>
      <c r="V2126" t="s">
        <v>837</v>
      </c>
      <c r="W2126" t="str">
        <f>"048314-004796-**-**"</f>
        <v>048314-004796-**-**</v>
      </c>
      <c r="X2126" t="s">
        <v>838</v>
      </c>
      <c r="Y2126">
        <v>1254.5</v>
      </c>
      <c r="Z2126">
        <v>1254.5</v>
      </c>
      <c r="AA2126" t="str">
        <f t="shared" si="597"/>
        <v>06/08/2016</v>
      </c>
    </row>
    <row r="2127" spans="1:27" x14ac:dyDescent="0.3">
      <c r="A2127" t="str">
        <f t="shared" si="594"/>
        <v>048314</v>
      </c>
      <c r="B2127" t="str">
        <f t="shared" si="589"/>
        <v>070417</v>
      </c>
      <c r="C2127" t="s">
        <v>2080</v>
      </c>
      <c r="D2127" t="s">
        <v>3839</v>
      </c>
      <c r="E2127" t="s">
        <v>3840</v>
      </c>
      <c r="F2127" t="s">
        <v>3841</v>
      </c>
      <c r="G2127" t="s">
        <v>3842</v>
      </c>
      <c r="H2127" t="str">
        <f t="shared" si="595"/>
        <v>048314</v>
      </c>
      <c r="I2127" t="s">
        <v>833</v>
      </c>
      <c r="J2127" t="str">
        <f t="shared" si="596"/>
        <v>2015-07-01 00:00:00.0</v>
      </c>
      <c r="K2127" t="s">
        <v>834</v>
      </c>
      <c r="L2127" t="s">
        <v>0</v>
      </c>
      <c r="M2127" t="str">
        <f t="shared" si="587"/>
        <v>048314</v>
      </c>
      <c r="N2127">
        <v>1</v>
      </c>
      <c r="O2127">
        <v>1</v>
      </c>
      <c r="P2127" t="str">
        <f>"08"</f>
        <v>08</v>
      </c>
      <c r="Q2127" t="s">
        <v>835</v>
      </c>
      <c r="S2127" t="s">
        <v>836</v>
      </c>
      <c r="T2127" t="s">
        <v>836</v>
      </c>
      <c r="U2127" t="str">
        <f t="shared" si="590"/>
        <v>2500-12-31 00:00:00.0</v>
      </c>
      <c r="V2127" t="s">
        <v>837</v>
      </c>
      <c r="W2127" t="str">
        <f>"048314-070417-**-**"</f>
        <v>048314-070417-**-**</v>
      </c>
      <c r="X2127" t="s">
        <v>838</v>
      </c>
      <c r="Y2127">
        <v>1125</v>
      </c>
      <c r="Z2127">
        <v>1125</v>
      </c>
      <c r="AA2127" t="str">
        <f t="shared" si="597"/>
        <v>06/08/2016</v>
      </c>
    </row>
    <row r="2128" spans="1:27" x14ac:dyDescent="0.3">
      <c r="A2128" t="str">
        <f t="shared" si="594"/>
        <v>048314</v>
      </c>
      <c r="B2128" t="str">
        <f t="shared" si="589"/>
        <v>070417</v>
      </c>
      <c r="C2128" t="s">
        <v>1850</v>
      </c>
      <c r="D2128" t="s">
        <v>3839</v>
      </c>
      <c r="E2128" t="s">
        <v>3840</v>
      </c>
      <c r="F2128" t="s">
        <v>3841</v>
      </c>
      <c r="G2128" t="s">
        <v>3842</v>
      </c>
      <c r="H2128" t="str">
        <f t="shared" si="595"/>
        <v>048314</v>
      </c>
      <c r="I2128" t="s">
        <v>833</v>
      </c>
      <c r="J2128" t="str">
        <f t="shared" si="596"/>
        <v>2015-07-01 00:00:00.0</v>
      </c>
      <c r="K2128" t="s">
        <v>834</v>
      </c>
      <c r="L2128" t="s">
        <v>0</v>
      </c>
      <c r="M2128" t="str">
        <f t="shared" si="587"/>
        <v>048314</v>
      </c>
      <c r="N2128">
        <v>1</v>
      </c>
      <c r="O2128">
        <v>1</v>
      </c>
      <c r="P2128" t="str">
        <f>"09"</f>
        <v>09</v>
      </c>
      <c r="Q2128" t="s">
        <v>835</v>
      </c>
      <c r="S2128" t="s">
        <v>836</v>
      </c>
      <c r="T2128" t="s">
        <v>836</v>
      </c>
      <c r="U2128" t="str">
        <f t="shared" si="590"/>
        <v>2500-12-31 00:00:00.0</v>
      </c>
      <c r="V2128" t="s">
        <v>837</v>
      </c>
      <c r="W2128" t="str">
        <f>"048314-004796-**-**"</f>
        <v>048314-004796-**-**</v>
      </c>
      <c r="X2128" t="s">
        <v>838</v>
      </c>
      <c r="Y2128">
        <v>1254.5</v>
      </c>
      <c r="Z2128">
        <v>1254.5</v>
      </c>
      <c r="AA2128" t="str">
        <f t="shared" si="597"/>
        <v>06/08/2016</v>
      </c>
    </row>
    <row r="2129" spans="1:27" x14ac:dyDescent="0.3">
      <c r="A2129" t="str">
        <f t="shared" si="594"/>
        <v>048314</v>
      </c>
      <c r="B2129" t="str">
        <f t="shared" si="589"/>
        <v>070417</v>
      </c>
      <c r="C2129" t="s">
        <v>2604</v>
      </c>
      <c r="D2129" t="s">
        <v>3839</v>
      </c>
      <c r="E2129" t="s">
        <v>3840</v>
      </c>
      <c r="F2129" t="s">
        <v>3841</v>
      </c>
      <c r="G2129" t="s">
        <v>3842</v>
      </c>
      <c r="H2129" t="str">
        <f t="shared" si="595"/>
        <v>048314</v>
      </c>
      <c r="I2129" t="s">
        <v>833</v>
      </c>
      <c r="J2129" t="str">
        <f t="shared" si="596"/>
        <v>2015-07-01 00:00:00.0</v>
      </c>
      <c r="K2129" t="s">
        <v>834</v>
      </c>
      <c r="L2129" t="s">
        <v>0</v>
      </c>
      <c r="M2129" t="str">
        <f t="shared" si="587"/>
        <v>048314</v>
      </c>
      <c r="N2129">
        <v>1</v>
      </c>
      <c r="O2129">
        <v>1</v>
      </c>
      <c r="P2129" t="str">
        <f>"06"</f>
        <v>06</v>
      </c>
      <c r="Q2129" t="s">
        <v>835</v>
      </c>
      <c r="S2129" t="s">
        <v>836</v>
      </c>
      <c r="T2129" t="s">
        <v>836</v>
      </c>
      <c r="U2129" t="str">
        <f t="shared" si="590"/>
        <v>2500-12-31 00:00:00.0</v>
      </c>
      <c r="V2129" t="s">
        <v>837</v>
      </c>
      <c r="W2129" t="str">
        <f>"048314-070417-**-**"</f>
        <v>048314-070417-**-**</v>
      </c>
      <c r="X2129" t="s">
        <v>838</v>
      </c>
      <c r="Y2129">
        <v>1125</v>
      </c>
      <c r="Z2129">
        <v>1125</v>
      </c>
      <c r="AA2129" t="str">
        <f t="shared" si="597"/>
        <v>06/08/2016</v>
      </c>
    </row>
    <row r="2130" spans="1:27" x14ac:dyDescent="0.3">
      <c r="A2130" t="str">
        <f t="shared" si="594"/>
        <v>048314</v>
      </c>
      <c r="B2130" t="str">
        <f t="shared" si="589"/>
        <v>070417</v>
      </c>
      <c r="C2130" t="s">
        <v>2605</v>
      </c>
      <c r="D2130" t="s">
        <v>3839</v>
      </c>
      <c r="E2130" t="s">
        <v>3840</v>
      </c>
      <c r="F2130" t="s">
        <v>3841</v>
      </c>
      <c r="G2130" t="s">
        <v>3842</v>
      </c>
      <c r="H2130" t="str">
        <f t="shared" si="595"/>
        <v>048314</v>
      </c>
      <c r="I2130" t="s">
        <v>833</v>
      </c>
      <c r="J2130" t="str">
        <f t="shared" si="596"/>
        <v>2015-07-01 00:00:00.0</v>
      </c>
      <c r="K2130" t="s">
        <v>834</v>
      </c>
      <c r="L2130" t="s">
        <v>0</v>
      </c>
      <c r="M2130" t="str">
        <f t="shared" si="587"/>
        <v>048314</v>
      </c>
      <c r="N2130">
        <v>1</v>
      </c>
      <c r="O2130">
        <v>1</v>
      </c>
      <c r="P2130" t="str">
        <f>"06"</f>
        <v>06</v>
      </c>
      <c r="Q2130" t="s">
        <v>835</v>
      </c>
      <c r="S2130" t="s">
        <v>836</v>
      </c>
      <c r="T2130" t="s">
        <v>836</v>
      </c>
      <c r="U2130" t="str">
        <f t="shared" si="590"/>
        <v>2500-12-31 00:00:00.0</v>
      </c>
      <c r="V2130" t="s">
        <v>837</v>
      </c>
      <c r="W2130" t="str">
        <f>"048314-070417-**-**"</f>
        <v>048314-070417-**-**</v>
      </c>
      <c r="X2130" t="s">
        <v>838</v>
      </c>
      <c r="Y2130">
        <v>1125</v>
      </c>
      <c r="Z2130">
        <v>1125</v>
      </c>
      <c r="AA2130" t="str">
        <f t="shared" si="597"/>
        <v>06/08/2016</v>
      </c>
    </row>
    <row r="2131" spans="1:27" x14ac:dyDescent="0.3">
      <c r="A2131" t="str">
        <f t="shared" si="594"/>
        <v>048314</v>
      </c>
      <c r="B2131" t="str">
        <f t="shared" si="589"/>
        <v>070417</v>
      </c>
      <c r="C2131" t="s">
        <v>2392</v>
      </c>
      <c r="D2131" t="s">
        <v>3839</v>
      </c>
      <c r="E2131" t="s">
        <v>3840</v>
      </c>
      <c r="F2131" t="s">
        <v>3841</v>
      </c>
      <c r="G2131" t="s">
        <v>3842</v>
      </c>
      <c r="H2131" t="str">
        <f t="shared" si="595"/>
        <v>048314</v>
      </c>
      <c r="I2131" t="s">
        <v>833</v>
      </c>
      <c r="J2131" t="str">
        <f t="shared" si="596"/>
        <v>2015-07-01 00:00:00.0</v>
      </c>
      <c r="K2131" t="s">
        <v>834</v>
      </c>
      <c r="L2131" t="s">
        <v>0</v>
      </c>
      <c r="M2131" t="str">
        <f t="shared" si="587"/>
        <v>048314</v>
      </c>
      <c r="N2131">
        <v>1</v>
      </c>
      <c r="O2131">
        <v>1</v>
      </c>
      <c r="P2131" t="str">
        <f>"07"</f>
        <v>07</v>
      </c>
      <c r="Q2131" t="s">
        <v>835</v>
      </c>
      <c r="S2131" t="s">
        <v>836</v>
      </c>
      <c r="T2131" t="s">
        <v>836</v>
      </c>
      <c r="U2131" t="str">
        <f t="shared" si="590"/>
        <v>2500-12-31 00:00:00.0</v>
      </c>
      <c r="V2131" t="s">
        <v>837</v>
      </c>
      <c r="W2131" t="str">
        <f>"048314-070417-**-**"</f>
        <v>048314-070417-**-**</v>
      </c>
      <c r="X2131" t="s">
        <v>838</v>
      </c>
      <c r="Y2131">
        <v>1125</v>
      </c>
      <c r="Z2131">
        <v>1125</v>
      </c>
      <c r="AA2131" t="str">
        <f t="shared" si="597"/>
        <v>06/08/2016</v>
      </c>
    </row>
    <row r="2132" spans="1:27" x14ac:dyDescent="0.3">
      <c r="A2132" t="str">
        <f t="shared" si="594"/>
        <v>048314</v>
      </c>
      <c r="B2132" t="str">
        <f t="shared" si="589"/>
        <v>070417</v>
      </c>
      <c r="C2132" t="s">
        <v>1918</v>
      </c>
      <c r="D2132" t="s">
        <v>3839</v>
      </c>
      <c r="E2132" t="s">
        <v>3840</v>
      </c>
      <c r="F2132" t="s">
        <v>3841</v>
      </c>
      <c r="G2132" t="s">
        <v>3842</v>
      </c>
      <c r="H2132" t="str">
        <f t="shared" si="595"/>
        <v>048314</v>
      </c>
      <c r="I2132" t="s">
        <v>833</v>
      </c>
      <c r="J2132" t="str">
        <f t="shared" si="596"/>
        <v>2015-07-01 00:00:00.0</v>
      </c>
      <c r="K2132" t="s">
        <v>834</v>
      </c>
      <c r="L2132" t="s">
        <v>0</v>
      </c>
      <c r="M2132" t="str">
        <f t="shared" si="587"/>
        <v>048314</v>
      </c>
      <c r="N2132">
        <v>1</v>
      </c>
      <c r="O2132">
        <v>1</v>
      </c>
      <c r="P2132" t="str">
        <f>"09"</f>
        <v>09</v>
      </c>
      <c r="Q2132" t="s">
        <v>835</v>
      </c>
      <c r="S2132" t="s">
        <v>836</v>
      </c>
      <c r="T2132" t="s">
        <v>836</v>
      </c>
      <c r="U2132" t="str">
        <f t="shared" si="590"/>
        <v>2500-12-31 00:00:00.0</v>
      </c>
      <c r="V2132" t="s">
        <v>837</v>
      </c>
      <c r="W2132" t="str">
        <f>"048314-004796-**-**"</f>
        <v>048314-004796-**-**</v>
      </c>
      <c r="X2132" t="s">
        <v>838</v>
      </c>
      <c r="Y2132">
        <v>1254.5</v>
      </c>
      <c r="Z2132">
        <v>1254.5</v>
      </c>
      <c r="AA2132" t="str">
        <f t="shared" si="597"/>
        <v>06/08/2016</v>
      </c>
    </row>
    <row r="2133" spans="1:27" x14ac:dyDescent="0.3">
      <c r="A2133" t="str">
        <f t="shared" si="594"/>
        <v>048314</v>
      </c>
      <c r="B2133" t="str">
        <f t="shared" si="589"/>
        <v>070417</v>
      </c>
      <c r="C2133" t="s">
        <v>1919</v>
      </c>
      <c r="D2133" t="s">
        <v>3839</v>
      </c>
      <c r="E2133" t="s">
        <v>3840</v>
      </c>
      <c r="F2133" t="s">
        <v>3841</v>
      </c>
      <c r="G2133" t="s">
        <v>3842</v>
      </c>
      <c r="H2133" t="str">
        <f t="shared" si="595"/>
        <v>048314</v>
      </c>
      <c r="I2133" t="s">
        <v>833</v>
      </c>
      <c r="J2133" t="str">
        <f t="shared" si="596"/>
        <v>2015-07-01 00:00:00.0</v>
      </c>
      <c r="K2133" t="s">
        <v>834</v>
      </c>
      <c r="L2133" t="s">
        <v>0</v>
      </c>
      <c r="M2133" t="str">
        <f t="shared" si="587"/>
        <v>048314</v>
      </c>
      <c r="N2133">
        <v>1</v>
      </c>
      <c r="O2133">
        <v>1</v>
      </c>
      <c r="P2133" t="str">
        <f>"09"</f>
        <v>09</v>
      </c>
      <c r="Q2133" t="s">
        <v>835</v>
      </c>
      <c r="S2133" t="s">
        <v>836</v>
      </c>
      <c r="T2133" t="s">
        <v>836</v>
      </c>
      <c r="U2133" t="str">
        <f t="shared" si="590"/>
        <v>2500-12-31 00:00:00.0</v>
      </c>
      <c r="V2133" t="s">
        <v>837</v>
      </c>
      <c r="W2133" t="str">
        <f>"048314-004796-**-**"</f>
        <v>048314-004796-**-**</v>
      </c>
      <c r="X2133" t="s">
        <v>838</v>
      </c>
      <c r="Y2133">
        <v>1254.5</v>
      </c>
      <c r="Z2133">
        <v>1254.5</v>
      </c>
      <c r="AA2133" t="str">
        <f t="shared" si="597"/>
        <v>06/08/2016</v>
      </c>
    </row>
    <row r="2134" spans="1:27" x14ac:dyDescent="0.3">
      <c r="A2134" t="str">
        <f t="shared" si="594"/>
        <v>048314</v>
      </c>
      <c r="B2134" t="str">
        <f t="shared" si="589"/>
        <v>070417</v>
      </c>
      <c r="C2134" t="s">
        <v>2393</v>
      </c>
      <c r="D2134" t="s">
        <v>3839</v>
      </c>
      <c r="E2134" t="s">
        <v>3840</v>
      </c>
      <c r="F2134" t="s">
        <v>3841</v>
      </c>
      <c r="G2134" t="s">
        <v>3842</v>
      </c>
      <c r="H2134" t="str">
        <f t="shared" si="595"/>
        <v>048314</v>
      </c>
      <c r="I2134" t="s">
        <v>833</v>
      </c>
      <c r="J2134" t="str">
        <f t="shared" si="596"/>
        <v>2015-07-01 00:00:00.0</v>
      </c>
      <c r="K2134" t="s">
        <v>834</v>
      </c>
      <c r="L2134" t="s">
        <v>0</v>
      </c>
      <c r="M2134" t="str">
        <f t="shared" si="587"/>
        <v>048314</v>
      </c>
      <c r="N2134">
        <v>1</v>
      </c>
      <c r="O2134">
        <v>1</v>
      </c>
      <c r="P2134" t="str">
        <f>"07"</f>
        <v>07</v>
      </c>
      <c r="Q2134" t="s">
        <v>835</v>
      </c>
      <c r="S2134" t="s">
        <v>836</v>
      </c>
      <c r="T2134" t="s">
        <v>836</v>
      </c>
      <c r="U2134" t="str">
        <f t="shared" si="590"/>
        <v>2500-12-31 00:00:00.0</v>
      </c>
      <c r="V2134" t="s">
        <v>837</v>
      </c>
      <c r="W2134" t="str">
        <f t="shared" ref="W2134:W2139" si="598">"048314-070417-**-**"</f>
        <v>048314-070417-**-**</v>
      </c>
      <c r="X2134" t="s">
        <v>838</v>
      </c>
      <c r="Y2134">
        <v>1125</v>
      </c>
      <c r="Z2134">
        <v>1125</v>
      </c>
      <c r="AA2134" t="str">
        <f t="shared" si="597"/>
        <v>06/08/2016</v>
      </c>
    </row>
    <row r="2135" spans="1:27" x14ac:dyDescent="0.3">
      <c r="A2135" t="str">
        <f t="shared" si="594"/>
        <v>048314</v>
      </c>
      <c r="B2135" t="str">
        <f t="shared" si="589"/>
        <v>070417</v>
      </c>
      <c r="C2135" t="s">
        <v>2312</v>
      </c>
      <c r="D2135" t="s">
        <v>3839</v>
      </c>
      <c r="E2135" t="s">
        <v>3840</v>
      </c>
      <c r="F2135" t="s">
        <v>3841</v>
      </c>
      <c r="G2135" t="s">
        <v>3842</v>
      </c>
      <c r="H2135" t="str">
        <f t="shared" si="595"/>
        <v>048314</v>
      </c>
      <c r="I2135" t="s">
        <v>833</v>
      </c>
      <c r="J2135" t="str">
        <f t="shared" si="596"/>
        <v>2015-07-01 00:00:00.0</v>
      </c>
      <c r="K2135" t="s">
        <v>834</v>
      </c>
      <c r="L2135" t="s">
        <v>0</v>
      </c>
      <c r="M2135" t="str">
        <f t="shared" si="587"/>
        <v>048314</v>
      </c>
      <c r="N2135">
        <v>1</v>
      </c>
      <c r="O2135">
        <v>1</v>
      </c>
      <c r="P2135" t="str">
        <f>"08"</f>
        <v>08</v>
      </c>
      <c r="Q2135" t="s">
        <v>835</v>
      </c>
      <c r="S2135" t="s">
        <v>836</v>
      </c>
      <c r="T2135" t="s">
        <v>836</v>
      </c>
      <c r="U2135" t="str">
        <f t="shared" si="590"/>
        <v>2500-12-31 00:00:00.0</v>
      </c>
      <c r="V2135" t="s">
        <v>837</v>
      </c>
      <c r="W2135" t="str">
        <f t="shared" si="598"/>
        <v>048314-070417-**-**</v>
      </c>
      <c r="X2135" t="s">
        <v>838</v>
      </c>
      <c r="Y2135">
        <v>1125</v>
      </c>
      <c r="Z2135">
        <v>1125</v>
      </c>
      <c r="AA2135" t="str">
        <f t="shared" si="597"/>
        <v>06/08/2016</v>
      </c>
    </row>
    <row r="2136" spans="1:27" x14ac:dyDescent="0.3">
      <c r="A2136" t="str">
        <f t="shared" si="594"/>
        <v>048314</v>
      </c>
      <c r="B2136" t="str">
        <f t="shared" si="589"/>
        <v>070417</v>
      </c>
      <c r="C2136" t="s">
        <v>2822</v>
      </c>
      <c r="D2136" t="s">
        <v>3839</v>
      </c>
      <c r="E2136" t="s">
        <v>3840</v>
      </c>
      <c r="F2136" t="s">
        <v>3841</v>
      </c>
      <c r="G2136" t="s">
        <v>3842</v>
      </c>
      <c r="H2136" t="str">
        <f t="shared" si="595"/>
        <v>048314</v>
      </c>
      <c r="I2136" t="s">
        <v>833</v>
      </c>
      <c r="J2136" t="str">
        <f t="shared" si="596"/>
        <v>2015-07-01 00:00:00.0</v>
      </c>
      <c r="K2136" t="s">
        <v>834</v>
      </c>
      <c r="L2136" t="s">
        <v>0</v>
      </c>
      <c r="M2136" t="str">
        <f t="shared" si="587"/>
        <v>048314</v>
      </c>
      <c r="N2136">
        <v>1</v>
      </c>
      <c r="O2136">
        <v>1</v>
      </c>
      <c r="P2136" t="str">
        <f>"06"</f>
        <v>06</v>
      </c>
      <c r="Q2136" t="s">
        <v>835</v>
      </c>
      <c r="S2136" t="s">
        <v>836</v>
      </c>
      <c r="T2136" t="s">
        <v>836</v>
      </c>
      <c r="U2136" t="str">
        <f t="shared" si="590"/>
        <v>2500-12-31 00:00:00.0</v>
      </c>
      <c r="V2136" t="s">
        <v>837</v>
      </c>
      <c r="W2136" t="str">
        <f t="shared" si="598"/>
        <v>048314-070417-**-**</v>
      </c>
      <c r="X2136" t="s">
        <v>838</v>
      </c>
      <c r="Y2136">
        <v>1125</v>
      </c>
      <c r="Z2136">
        <v>1125</v>
      </c>
      <c r="AA2136" t="str">
        <f t="shared" si="597"/>
        <v>06/08/2016</v>
      </c>
    </row>
    <row r="2137" spans="1:27" x14ac:dyDescent="0.3">
      <c r="A2137" t="str">
        <f t="shared" si="594"/>
        <v>048314</v>
      </c>
      <c r="B2137" t="str">
        <f t="shared" si="589"/>
        <v>070417</v>
      </c>
      <c r="C2137" t="s">
        <v>2256</v>
      </c>
      <c r="D2137" t="s">
        <v>3839</v>
      </c>
      <c r="E2137" t="s">
        <v>3840</v>
      </c>
      <c r="F2137" t="s">
        <v>3841</v>
      </c>
      <c r="G2137" t="s">
        <v>3842</v>
      </c>
      <c r="H2137" t="str">
        <f t="shared" si="595"/>
        <v>048314</v>
      </c>
      <c r="I2137" t="s">
        <v>833</v>
      </c>
      <c r="J2137" t="str">
        <f t="shared" si="596"/>
        <v>2015-07-01 00:00:00.0</v>
      </c>
      <c r="K2137" t="s">
        <v>834</v>
      </c>
      <c r="L2137" t="s">
        <v>0</v>
      </c>
      <c r="M2137" t="str">
        <f t="shared" ref="M2137:M2200" si="599">"048314"</f>
        <v>048314</v>
      </c>
      <c r="N2137">
        <v>1</v>
      </c>
      <c r="O2137">
        <v>1</v>
      </c>
      <c r="P2137" t="str">
        <f>"08"</f>
        <v>08</v>
      </c>
      <c r="Q2137" t="s">
        <v>835</v>
      </c>
      <c r="S2137" t="s">
        <v>860</v>
      </c>
      <c r="T2137" t="s">
        <v>836</v>
      </c>
      <c r="U2137" t="str">
        <f t="shared" si="590"/>
        <v>2500-12-31 00:00:00.0</v>
      </c>
      <c r="V2137" t="s">
        <v>837</v>
      </c>
      <c r="W2137" t="str">
        <f t="shared" si="598"/>
        <v>048314-070417-**-**</v>
      </c>
      <c r="X2137" t="s">
        <v>838</v>
      </c>
      <c r="Y2137">
        <v>1125</v>
      </c>
      <c r="Z2137">
        <v>1125</v>
      </c>
      <c r="AA2137" t="str">
        <f t="shared" si="597"/>
        <v>06/08/2016</v>
      </c>
    </row>
    <row r="2138" spans="1:27" x14ac:dyDescent="0.3">
      <c r="A2138" t="str">
        <f t="shared" si="594"/>
        <v>048314</v>
      </c>
      <c r="B2138" t="str">
        <f t="shared" si="589"/>
        <v>070417</v>
      </c>
      <c r="C2138" t="s">
        <v>2081</v>
      </c>
      <c r="D2138" t="s">
        <v>3839</v>
      </c>
      <c r="E2138" t="s">
        <v>3840</v>
      </c>
      <c r="F2138" t="s">
        <v>3841</v>
      </c>
      <c r="G2138" t="s">
        <v>3842</v>
      </c>
      <c r="H2138" t="str">
        <f t="shared" si="595"/>
        <v>048314</v>
      </c>
      <c r="I2138" t="s">
        <v>833</v>
      </c>
      <c r="J2138" t="str">
        <f t="shared" si="596"/>
        <v>2015-07-01 00:00:00.0</v>
      </c>
      <c r="K2138" t="s">
        <v>834</v>
      </c>
      <c r="L2138" t="s">
        <v>0</v>
      </c>
      <c r="M2138" t="str">
        <f t="shared" si="599"/>
        <v>048314</v>
      </c>
      <c r="N2138">
        <v>1</v>
      </c>
      <c r="O2138">
        <v>1</v>
      </c>
      <c r="P2138" t="str">
        <f>"08"</f>
        <v>08</v>
      </c>
      <c r="Q2138" t="s">
        <v>835</v>
      </c>
      <c r="S2138" t="s">
        <v>836</v>
      </c>
      <c r="T2138" t="s">
        <v>836</v>
      </c>
      <c r="U2138" t="str">
        <f t="shared" si="590"/>
        <v>2500-12-31 00:00:00.0</v>
      </c>
      <c r="V2138" t="s">
        <v>837</v>
      </c>
      <c r="W2138" t="str">
        <f t="shared" si="598"/>
        <v>048314-070417-**-**</v>
      </c>
      <c r="X2138" t="s">
        <v>838</v>
      </c>
      <c r="Y2138">
        <v>1125</v>
      </c>
      <c r="Z2138">
        <v>1125</v>
      </c>
      <c r="AA2138" t="str">
        <f t="shared" si="597"/>
        <v>06/08/2016</v>
      </c>
    </row>
    <row r="2139" spans="1:27" x14ac:dyDescent="0.3">
      <c r="A2139" t="str">
        <f t="shared" si="594"/>
        <v>048314</v>
      </c>
      <c r="B2139" t="str">
        <f t="shared" si="589"/>
        <v>070417</v>
      </c>
      <c r="C2139" t="s">
        <v>2606</v>
      </c>
      <c r="D2139" t="s">
        <v>3839</v>
      </c>
      <c r="E2139" t="s">
        <v>3840</v>
      </c>
      <c r="F2139" t="s">
        <v>3841</v>
      </c>
      <c r="G2139" t="s">
        <v>3842</v>
      </c>
      <c r="H2139" t="str">
        <f t="shared" si="595"/>
        <v>048314</v>
      </c>
      <c r="I2139" t="s">
        <v>833</v>
      </c>
      <c r="J2139" t="str">
        <f t="shared" si="596"/>
        <v>2015-07-01 00:00:00.0</v>
      </c>
      <c r="K2139" t="s">
        <v>834</v>
      </c>
      <c r="L2139" t="s">
        <v>0</v>
      </c>
      <c r="M2139" t="str">
        <f t="shared" si="599"/>
        <v>048314</v>
      </c>
      <c r="N2139">
        <v>1</v>
      </c>
      <c r="O2139">
        <v>1</v>
      </c>
      <c r="P2139" t="str">
        <f>"06"</f>
        <v>06</v>
      </c>
      <c r="Q2139" t="s">
        <v>835</v>
      </c>
      <c r="S2139" t="s">
        <v>836</v>
      </c>
      <c r="T2139" t="s">
        <v>836</v>
      </c>
      <c r="U2139" t="str">
        <f t="shared" si="590"/>
        <v>2500-12-31 00:00:00.0</v>
      </c>
      <c r="V2139" t="s">
        <v>837</v>
      </c>
      <c r="W2139" t="str">
        <f t="shared" si="598"/>
        <v>048314-070417-**-**</v>
      </c>
      <c r="X2139" t="s">
        <v>838</v>
      </c>
      <c r="Y2139">
        <v>1125</v>
      </c>
      <c r="Z2139">
        <v>1125</v>
      </c>
      <c r="AA2139" t="str">
        <f t="shared" si="597"/>
        <v>06/08/2016</v>
      </c>
    </row>
    <row r="2140" spans="1:27" x14ac:dyDescent="0.3">
      <c r="A2140" t="str">
        <f t="shared" si="594"/>
        <v>048314</v>
      </c>
      <c r="B2140" t="str">
        <f t="shared" si="589"/>
        <v>070417</v>
      </c>
      <c r="C2140" t="s">
        <v>2052</v>
      </c>
      <c r="D2140" t="s">
        <v>3839</v>
      </c>
      <c r="E2140" t="s">
        <v>3840</v>
      </c>
      <c r="F2140" t="s">
        <v>3841</v>
      </c>
      <c r="G2140" t="s">
        <v>3842</v>
      </c>
      <c r="H2140" t="str">
        <f t="shared" si="595"/>
        <v>048314</v>
      </c>
      <c r="I2140" t="s">
        <v>833</v>
      </c>
      <c r="J2140" t="str">
        <f t="shared" si="596"/>
        <v>2015-07-01 00:00:00.0</v>
      </c>
      <c r="K2140" t="s">
        <v>834</v>
      </c>
      <c r="L2140" t="s">
        <v>0</v>
      </c>
      <c r="M2140" t="str">
        <f t="shared" si="599"/>
        <v>048314</v>
      </c>
      <c r="N2140">
        <v>1</v>
      </c>
      <c r="O2140">
        <v>1</v>
      </c>
      <c r="P2140" t="str">
        <f>"09"</f>
        <v>09</v>
      </c>
      <c r="Q2140" t="s">
        <v>835</v>
      </c>
      <c r="S2140" t="s">
        <v>836</v>
      </c>
      <c r="T2140" t="s">
        <v>836</v>
      </c>
      <c r="U2140" t="str">
        <f t="shared" si="590"/>
        <v>2500-12-31 00:00:00.0</v>
      </c>
      <c r="V2140" t="s">
        <v>837</v>
      </c>
      <c r="W2140" t="str">
        <f>"048314-004796-**-**"</f>
        <v>048314-004796-**-**</v>
      </c>
      <c r="X2140" t="s">
        <v>838</v>
      </c>
      <c r="Y2140">
        <v>1254.5</v>
      </c>
      <c r="Z2140">
        <v>1254.5</v>
      </c>
      <c r="AA2140" t="str">
        <f t="shared" si="597"/>
        <v>06/08/2016</v>
      </c>
    </row>
    <row r="2141" spans="1:27" x14ac:dyDescent="0.3">
      <c r="A2141" t="str">
        <f t="shared" si="594"/>
        <v>048314</v>
      </c>
      <c r="B2141" t="str">
        <f t="shared" si="589"/>
        <v>070417</v>
      </c>
      <c r="C2141" t="s">
        <v>1851</v>
      </c>
      <c r="D2141" t="s">
        <v>3839</v>
      </c>
      <c r="E2141" t="s">
        <v>3840</v>
      </c>
      <c r="F2141" t="s">
        <v>3841</v>
      </c>
      <c r="G2141" t="s">
        <v>3842</v>
      </c>
      <c r="H2141" t="str">
        <f t="shared" si="595"/>
        <v>048314</v>
      </c>
      <c r="I2141" t="s">
        <v>833</v>
      </c>
      <c r="J2141" t="str">
        <f t="shared" si="596"/>
        <v>2015-07-01 00:00:00.0</v>
      </c>
      <c r="K2141" t="s">
        <v>834</v>
      </c>
      <c r="L2141" t="s">
        <v>0</v>
      </c>
      <c r="M2141" t="str">
        <f t="shared" si="599"/>
        <v>048314</v>
      </c>
      <c r="N2141">
        <v>1</v>
      </c>
      <c r="O2141">
        <v>1</v>
      </c>
      <c r="P2141" t="str">
        <f>"09"</f>
        <v>09</v>
      </c>
      <c r="Q2141" t="s">
        <v>835</v>
      </c>
      <c r="S2141" t="s">
        <v>836</v>
      </c>
      <c r="T2141" t="s">
        <v>836</v>
      </c>
      <c r="U2141" t="str">
        <f t="shared" si="590"/>
        <v>2500-12-31 00:00:00.0</v>
      </c>
      <c r="V2141" t="s">
        <v>837</v>
      </c>
      <c r="W2141" t="str">
        <f>"048314-004796-**-**"</f>
        <v>048314-004796-**-**</v>
      </c>
      <c r="X2141" t="s">
        <v>838</v>
      </c>
      <c r="Y2141">
        <v>1254.5</v>
      </c>
      <c r="Z2141">
        <v>1254.5</v>
      </c>
      <c r="AA2141" t="str">
        <f t="shared" si="597"/>
        <v>06/08/2016</v>
      </c>
    </row>
    <row r="2142" spans="1:27" x14ac:dyDescent="0.3">
      <c r="A2142" t="str">
        <f t="shared" si="594"/>
        <v>048314</v>
      </c>
      <c r="B2142" t="str">
        <f t="shared" si="589"/>
        <v>070417</v>
      </c>
      <c r="C2142" t="s">
        <v>2607</v>
      </c>
      <c r="D2142" t="s">
        <v>3839</v>
      </c>
      <c r="E2142" t="s">
        <v>3840</v>
      </c>
      <c r="F2142" t="s">
        <v>3841</v>
      </c>
      <c r="G2142" t="s">
        <v>3842</v>
      </c>
      <c r="H2142" t="str">
        <f t="shared" si="595"/>
        <v>048314</v>
      </c>
      <c r="I2142" t="s">
        <v>833</v>
      </c>
      <c r="J2142" t="str">
        <f t="shared" si="596"/>
        <v>2015-07-01 00:00:00.0</v>
      </c>
      <c r="K2142" t="s">
        <v>834</v>
      </c>
      <c r="L2142" t="s">
        <v>0</v>
      </c>
      <c r="M2142" t="str">
        <f t="shared" si="599"/>
        <v>048314</v>
      </c>
      <c r="N2142">
        <v>1</v>
      </c>
      <c r="O2142">
        <v>1</v>
      </c>
      <c r="P2142" t="str">
        <f>"06"</f>
        <v>06</v>
      </c>
      <c r="Q2142" t="s">
        <v>835</v>
      </c>
      <c r="S2142" t="s">
        <v>836</v>
      </c>
      <c r="T2142" t="s">
        <v>836</v>
      </c>
      <c r="U2142" t="str">
        <f t="shared" si="590"/>
        <v>2500-12-31 00:00:00.0</v>
      </c>
      <c r="V2142" t="s">
        <v>837</v>
      </c>
      <c r="W2142" t="str">
        <f>"048314-070417-**-**"</f>
        <v>048314-070417-**-**</v>
      </c>
      <c r="X2142" t="s">
        <v>838</v>
      </c>
      <c r="Y2142">
        <v>1125</v>
      </c>
      <c r="Z2142">
        <v>1125</v>
      </c>
      <c r="AA2142" t="str">
        <f t="shared" si="597"/>
        <v>06/08/2016</v>
      </c>
    </row>
    <row r="2143" spans="1:27" x14ac:dyDescent="0.3">
      <c r="A2143" t="str">
        <f t="shared" si="594"/>
        <v>048314</v>
      </c>
      <c r="B2143" t="str">
        <f t="shared" si="589"/>
        <v>070417</v>
      </c>
      <c r="C2143" t="s">
        <v>2823</v>
      </c>
      <c r="D2143" t="s">
        <v>3839</v>
      </c>
      <c r="E2143" t="s">
        <v>3840</v>
      </c>
      <c r="F2143" t="s">
        <v>3841</v>
      </c>
      <c r="G2143" t="s">
        <v>3842</v>
      </c>
      <c r="H2143" t="str">
        <f t="shared" si="595"/>
        <v>048314</v>
      </c>
      <c r="I2143" t="s">
        <v>833</v>
      </c>
      <c r="J2143" t="str">
        <f t="shared" si="596"/>
        <v>2015-07-01 00:00:00.0</v>
      </c>
      <c r="K2143" t="s">
        <v>834</v>
      </c>
      <c r="L2143" t="s">
        <v>0</v>
      </c>
      <c r="M2143" t="str">
        <f t="shared" si="599"/>
        <v>048314</v>
      </c>
      <c r="N2143">
        <v>1</v>
      </c>
      <c r="O2143">
        <v>1</v>
      </c>
      <c r="P2143" t="str">
        <f>"06"</f>
        <v>06</v>
      </c>
      <c r="Q2143" t="s">
        <v>835</v>
      </c>
      <c r="S2143" t="s">
        <v>836</v>
      </c>
      <c r="T2143" t="s">
        <v>836</v>
      </c>
      <c r="U2143" t="str">
        <f t="shared" si="590"/>
        <v>2500-12-31 00:00:00.0</v>
      </c>
      <c r="V2143" t="s">
        <v>837</v>
      </c>
      <c r="W2143" t="str">
        <f>"048314-070417-**-**"</f>
        <v>048314-070417-**-**</v>
      </c>
      <c r="X2143" t="s">
        <v>838</v>
      </c>
      <c r="Y2143">
        <v>1125</v>
      </c>
      <c r="Z2143">
        <v>1125</v>
      </c>
      <c r="AA2143" t="str">
        <f t="shared" si="597"/>
        <v>06/08/2016</v>
      </c>
    </row>
    <row r="2144" spans="1:27" x14ac:dyDescent="0.3">
      <c r="A2144" t="str">
        <f t="shared" si="594"/>
        <v>048314</v>
      </c>
      <c r="B2144" t="str">
        <f t="shared" si="589"/>
        <v>070417</v>
      </c>
      <c r="C2144" t="s">
        <v>2082</v>
      </c>
      <c r="D2144" t="s">
        <v>3839</v>
      </c>
      <c r="E2144" t="s">
        <v>3840</v>
      </c>
      <c r="F2144" t="s">
        <v>3841</v>
      </c>
      <c r="G2144" t="s">
        <v>3842</v>
      </c>
      <c r="H2144" t="str">
        <f t="shared" si="595"/>
        <v>048314</v>
      </c>
      <c r="I2144" t="s">
        <v>833</v>
      </c>
      <c r="J2144" t="str">
        <f t="shared" si="596"/>
        <v>2015-07-01 00:00:00.0</v>
      </c>
      <c r="K2144" t="s">
        <v>834</v>
      </c>
      <c r="L2144" t="s">
        <v>0</v>
      </c>
      <c r="M2144" t="str">
        <f t="shared" si="599"/>
        <v>048314</v>
      </c>
      <c r="N2144">
        <v>1</v>
      </c>
      <c r="O2144">
        <v>1</v>
      </c>
      <c r="P2144" t="str">
        <f>"08"</f>
        <v>08</v>
      </c>
      <c r="Q2144" t="s">
        <v>835</v>
      </c>
      <c r="S2144" t="s">
        <v>836</v>
      </c>
      <c r="T2144" t="s">
        <v>836</v>
      </c>
      <c r="U2144" t="str">
        <f t="shared" si="590"/>
        <v>2500-12-31 00:00:00.0</v>
      </c>
      <c r="V2144" t="s">
        <v>837</v>
      </c>
      <c r="W2144" t="str">
        <f>"048314-070417-**-**"</f>
        <v>048314-070417-**-**</v>
      </c>
      <c r="X2144" t="s">
        <v>838</v>
      </c>
      <c r="Y2144">
        <v>1125</v>
      </c>
      <c r="Z2144">
        <v>1125</v>
      </c>
      <c r="AA2144" t="str">
        <f t="shared" si="597"/>
        <v>06/08/2016</v>
      </c>
    </row>
    <row r="2145" spans="1:27" x14ac:dyDescent="0.3">
      <c r="A2145" t="str">
        <f t="shared" si="594"/>
        <v>048314</v>
      </c>
      <c r="B2145" t="str">
        <f t="shared" si="589"/>
        <v>070417</v>
      </c>
      <c r="C2145" t="s">
        <v>1920</v>
      </c>
      <c r="D2145" t="s">
        <v>3839</v>
      </c>
      <c r="E2145" t="s">
        <v>3840</v>
      </c>
      <c r="F2145" t="s">
        <v>3841</v>
      </c>
      <c r="G2145" t="s">
        <v>3842</v>
      </c>
      <c r="H2145" t="str">
        <f t="shared" si="595"/>
        <v>048314</v>
      </c>
      <c r="I2145" t="s">
        <v>833</v>
      </c>
      <c r="J2145" t="str">
        <f t="shared" si="596"/>
        <v>2015-07-01 00:00:00.0</v>
      </c>
      <c r="K2145" t="s">
        <v>834</v>
      </c>
      <c r="L2145" t="s">
        <v>0</v>
      </c>
      <c r="M2145" t="str">
        <f t="shared" si="599"/>
        <v>048314</v>
      </c>
      <c r="N2145">
        <v>1</v>
      </c>
      <c r="O2145">
        <v>1</v>
      </c>
      <c r="P2145" t="str">
        <f>"09"</f>
        <v>09</v>
      </c>
      <c r="Q2145" t="s">
        <v>835</v>
      </c>
      <c r="S2145" t="s">
        <v>836</v>
      </c>
      <c r="T2145" t="s">
        <v>836</v>
      </c>
      <c r="U2145" t="str">
        <f t="shared" si="590"/>
        <v>2500-12-31 00:00:00.0</v>
      </c>
      <c r="V2145" t="s">
        <v>837</v>
      </c>
      <c r="W2145" t="str">
        <f>"048314-004796-**-**"</f>
        <v>048314-004796-**-**</v>
      </c>
      <c r="X2145" t="s">
        <v>838</v>
      </c>
      <c r="Y2145">
        <v>1254.5</v>
      </c>
      <c r="Z2145">
        <v>1254.5</v>
      </c>
      <c r="AA2145" t="str">
        <f t="shared" si="597"/>
        <v>06/08/2016</v>
      </c>
    </row>
    <row r="2146" spans="1:27" x14ac:dyDescent="0.3">
      <c r="A2146" t="str">
        <f t="shared" si="594"/>
        <v>048314</v>
      </c>
      <c r="B2146" t="str">
        <f t="shared" si="589"/>
        <v>070417</v>
      </c>
      <c r="C2146" t="s">
        <v>2608</v>
      </c>
      <c r="D2146" t="s">
        <v>3839</v>
      </c>
      <c r="E2146" t="s">
        <v>3840</v>
      </c>
      <c r="F2146" t="s">
        <v>3841</v>
      </c>
      <c r="G2146" t="s">
        <v>3842</v>
      </c>
      <c r="H2146" t="str">
        <f t="shared" si="595"/>
        <v>048314</v>
      </c>
      <c r="I2146" t="s">
        <v>833</v>
      </c>
      <c r="J2146" t="str">
        <f t="shared" si="596"/>
        <v>2015-07-01 00:00:00.0</v>
      </c>
      <c r="K2146" t="s">
        <v>834</v>
      </c>
      <c r="L2146" t="s">
        <v>0</v>
      </c>
      <c r="M2146" t="str">
        <f t="shared" si="599"/>
        <v>048314</v>
      </c>
      <c r="N2146">
        <v>1</v>
      </c>
      <c r="O2146">
        <v>1</v>
      </c>
      <c r="P2146" t="str">
        <f>"07"</f>
        <v>07</v>
      </c>
      <c r="Q2146" t="s">
        <v>835</v>
      </c>
      <c r="S2146" t="s">
        <v>836</v>
      </c>
      <c r="T2146" t="s">
        <v>836</v>
      </c>
      <c r="U2146" t="str">
        <f t="shared" si="590"/>
        <v>2500-12-31 00:00:00.0</v>
      </c>
      <c r="V2146" t="s">
        <v>837</v>
      </c>
      <c r="W2146" t="str">
        <f>"048314-070417-**-**"</f>
        <v>048314-070417-**-**</v>
      </c>
      <c r="X2146" t="s">
        <v>838</v>
      </c>
      <c r="Y2146">
        <v>1125</v>
      </c>
      <c r="Z2146">
        <v>1125</v>
      </c>
      <c r="AA2146" t="str">
        <f t="shared" si="597"/>
        <v>06/08/2016</v>
      </c>
    </row>
    <row r="2147" spans="1:27" x14ac:dyDescent="0.3">
      <c r="A2147" t="str">
        <f t="shared" si="594"/>
        <v>048314</v>
      </c>
      <c r="B2147" t="str">
        <f t="shared" si="589"/>
        <v>070417</v>
      </c>
      <c r="C2147" t="s">
        <v>2609</v>
      </c>
      <c r="D2147" t="s">
        <v>3839</v>
      </c>
      <c r="E2147" t="s">
        <v>3840</v>
      </c>
      <c r="F2147" t="s">
        <v>3841</v>
      </c>
      <c r="G2147" t="s">
        <v>3842</v>
      </c>
      <c r="H2147" t="str">
        <f t="shared" si="595"/>
        <v>048314</v>
      </c>
      <c r="I2147" t="s">
        <v>833</v>
      </c>
      <c r="J2147" t="str">
        <f t="shared" si="596"/>
        <v>2015-07-01 00:00:00.0</v>
      </c>
      <c r="K2147" t="s">
        <v>834</v>
      </c>
      <c r="L2147" t="s">
        <v>0</v>
      </c>
      <c r="M2147" t="str">
        <f t="shared" si="599"/>
        <v>048314</v>
      </c>
      <c r="N2147">
        <v>1</v>
      </c>
      <c r="O2147">
        <v>1</v>
      </c>
      <c r="P2147" t="str">
        <f>"06"</f>
        <v>06</v>
      </c>
      <c r="Q2147" t="s">
        <v>835</v>
      </c>
      <c r="S2147" t="s">
        <v>836</v>
      </c>
      <c r="T2147" t="s">
        <v>836</v>
      </c>
      <c r="U2147" t="str">
        <f t="shared" si="590"/>
        <v>2500-12-31 00:00:00.0</v>
      </c>
      <c r="V2147" t="s">
        <v>837</v>
      </c>
      <c r="W2147" t="str">
        <f>"048314-070417-**-**"</f>
        <v>048314-070417-**-**</v>
      </c>
      <c r="X2147" t="s">
        <v>838</v>
      </c>
      <c r="Y2147">
        <v>1125</v>
      </c>
      <c r="Z2147">
        <v>1125</v>
      </c>
      <c r="AA2147" t="str">
        <f t="shared" si="597"/>
        <v>06/08/2016</v>
      </c>
    </row>
    <row r="2148" spans="1:27" x14ac:dyDescent="0.3">
      <c r="A2148" t="str">
        <f t="shared" si="594"/>
        <v>048314</v>
      </c>
      <c r="B2148" t="str">
        <f t="shared" ref="B2148:B2211" si="600">"070417"</f>
        <v>070417</v>
      </c>
      <c r="C2148" t="s">
        <v>2300</v>
      </c>
      <c r="D2148" t="s">
        <v>3839</v>
      </c>
      <c r="E2148" t="s">
        <v>3840</v>
      </c>
      <c r="F2148" t="s">
        <v>3841</v>
      </c>
      <c r="G2148" t="s">
        <v>3842</v>
      </c>
      <c r="H2148" t="str">
        <f t="shared" si="595"/>
        <v>048314</v>
      </c>
      <c r="I2148" t="s">
        <v>833</v>
      </c>
      <c r="J2148" t="str">
        <f>"2015-08-01 00:00:00.0"</f>
        <v>2015-08-01 00:00:00.0</v>
      </c>
      <c r="K2148" t="s">
        <v>834</v>
      </c>
      <c r="L2148" t="s">
        <v>0</v>
      </c>
      <c r="M2148" t="str">
        <f t="shared" si="599"/>
        <v>048314</v>
      </c>
      <c r="N2148">
        <v>1</v>
      </c>
      <c r="O2148">
        <v>1</v>
      </c>
      <c r="P2148" t="str">
        <f>"08"</f>
        <v>08</v>
      </c>
      <c r="Q2148" t="s">
        <v>835</v>
      </c>
      <c r="S2148" t="s">
        <v>836</v>
      </c>
      <c r="T2148" t="s">
        <v>836</v>
      </c>
      <c r="U2148" t="str">
        <f t="shared" ref="U2148:U2180" si="601">"2500-12-31 00:00:00.0"</f>
        <v>2500-12-31 00:00:00.0</v>
      </c>
      <c r="V2148" t="s">
        <v>837</v>
      </c>
      <c r="W2148" t="str">
        <f>"048314-070417-**-**"</f>
        <v>048314-070417-**-**</v>
      </c>
      <c r="X2148" t="s">
        <v>838</v>
      </c>
      <c r="Y2148">
        <v>1125</v>
      </c>
      <c r="Z2148">
        <v>1125</v>
      </c>
      <c r="AA2148" t="str">
        <f t="shared" si="597"/>
        <v>06/08/2016</v>
      </c>
    </row>
    <row r="2149" spans="1:27" x14ac:dyDescent="0.3">
      <c r="A2149" t="str">
        <f t="shared" si="594"/>
        <v>048314</v>
      </c>
      <c r="B2149" t="str">
        <f t="shared" si="600"/>
        <v>070417</v>
      </c>
      <c r="C2149" t="s">
        <v>2782</v>
      </c>
      <c r="D2149" t="s">
        <v>3839</v>
      </c>
      <c r="E2149" t="s">
        <v>3840</v>
      </c>
      <c r="F2149" t="s">
        <v>3841</v>
      </c>
      <c r="G2149" t="s">
        <v>3842</v>
      </c>
      <c r="H2149" t="str">
        <f t="shared" si="595"/>
        <v>048314</v>
      </c>
      <c r="I2149" t="s">
        <v>833</v>
      </c>
      <c r="J2149" t="str">
        <f>"2015-08-01 00:00:00.0"</f>
        <v>2015-08-01 00:00:00.0</v>
      </c>
      <c r="K2149" t="s">
        <v>834</v>
      </c>
      <c r="L2149" t="s">
        <v>0</v>
      </c>
      <c r="M2149" t="str">
        <f t="shared" si="599"/>
        <v>048314</v>
      </c>
      <c r="N2149">
        <v>1</v>
      </c>
      <c r="O2149">
        <v>1</v>
      </c>
      <c r="P2149" t="str">
        <f>"06"</f>
        <v>06</v>
      </c>
      <c r="Q2149" t="s">
        <v>835</v>
      </c>
      <c r="S2149" t="s">
        <v>836</v>
      </c>
      <c r="T2149" t="s">
        <v>836</v>
      </c>
      <c r="U2149" t="str">
        <f t="shared" si="601"/>
        <v>2500-12-31 00:00:00.0</v>
      </c>
      <c r="V2149" t="s">
        <v>837</v>
      </c>
      <c r="W2149" t="str">
        <f>"048314-070417-**-**"</f>
        <v>048314-070417-**-**</v>
      </c>
      <c r="X2149" t="s">
        <v>838</v>
      </c>
      <c r="Y2149">
        <v>1125</v>
      </c>
      <c r="Z2149">
        <v>1125</v>
      </c>
      <c r="AA2149" t="str">
        <f t="shared" si="597"/>
        <v>06/08/2016</v>
      </c>
    </row>
    <row r="2150" spans="1:27" x14ac:dyDescent="0.3">
      <c r="A2150" t="str">
        <f t="shared" si="594"/>
        <v>048314</v>
      </c>
      <c r="B2150" t="str">
        <f t="shared" si="600"/>
        <v>070417</v>
      </c>
      <c r="C2150" t="s">
        <v>3085</v>
      </c>
      <c r="D2150" t="s">
        <v>3839</v>
      </c>
      <c r="E2150" t="s">
        <v>3840</v>
      </c>
      <c r="F2150" t="s">
        <v>3841</v>
      </c>
      <c r="G2150" t="s">
        <v>3842</v>
      </c>
      <c r="H2150" t="str">
        <f t="shared" si="595"/>
        <v>048314</v>
      </c>
      <c r="I2150" t="s">
        <v>833</v>
      </c>
      <c r="J2150" t="str">
        <f t="shared" ref="J2150:J2179" si="602">"2015-07-01 00:00:00.0"</f>
        <v>2015-07-01 00:00:00.0</v>
      </c>
      <c r="K2150" t="s">
        <v>834</v>
      </c>
      <c r="L2150" t="s">
        <v>0</v>
      </c>
      <c r="M2150" t="str">
        <f t="shared" si="599"/>
        <v>048314</v>
      </c>
      <c r="N2150">
        <v>1</v>
      </c>
      <c r="O2150">
        <v>1</v>
      </c>
      <c r="P2150" t="str">
        <f>"09"</f>
        <v>09</v>
      </c>
      <c r="Q2150" t="s">
        <v>835</v>
      </c>
      <c r="S2150" t="s">
        <v>836</v>
      </c>
      <c r="T2150" t="s">
        <v>836</v>
      </c>
      <c r="U2150" t="str">
        <f t="shared" si="601"/>
        <v>2500-12-31 00:00:00.0</v>
      </c>
      <c r="V2150" t="s">
        <v>837</v>
      </c>
      <c r="W2150" t="str">
        <f>"048314-004796-**-**"</f>
        <v>048314-004796-**-**</v>
      </c>
      <c r="X2150" t="s">
        <v>838</v>
      </c>
      <c r="Y2150">
        <v>1254.5</v>
      </c>
      <c r="Z2150">
        <v>1254.5</v>
      </c>
      <c r="AA2150" t="str">
        <f t="shared" si="597"/>
        <v>06/08/2016</v>
      </c>
    </row>
    <row r="2151" spans="1:27" x14ac:dyDescent="0.3">
      <c r="A2151" t="str">
        <f t="shared" si="594"/>
        <v>048314</v>
      </c>
      <c r="B2151" t="str">
        <f t="shared" si="600"/>
        <v>070417</v>
      </c>
      <c r="C2151" t="s">
        <v>2394</v>
      </c>
      <c r="D2151" t="s">
        <v>3839</v>
      </c>
      <c r="E2151" t="s">
        <v>3840</v>
      </c>
      <c r="F2151" t="s">
        <v>3841</v>
      </c>
      <c r="G2151" t="s">
        <v>3842</v>
      </c>
      <c r="H2151" t="str">
        <f t="shared" si="595"/>
        <v>048314</v>
      </c>
      <c r="I2151" t="s">
        <v>833</v>
      </c>
      <c r="J2151" t="str">
        <f t="shared" si="602"/>
        <v>2015-07-01 00:00:00.0</v>
      </c>
      <c r="K2151" t="s">
        <v>834</v>
      </c>
      <c r="L2151" t="s">
        <v>0</v>
      </c>
      <c r="M2151" t="str">
        <f t="shared" si="599"/>
        <v>048314</v>
      </c>
      <c r="N2151">
        <v>1</v>
      </c>
      <c r="O2151">
        <v>1</v>
      </c>
      <c r="P2151" t="str">
        <f>"07"</f>
        <v>07</v>
      </c>
      <c r="Q2151" t="s">
        <v>835</v>
      </c>
      <c r="S2151" t="s">
        <v>836</v>
      </c>
      <c r="T2151" t="s">
        <v>836</v>
      </c>
      <c r="U2151" t="str">
        <f t="shared" si="601"/>
        <v>2500-12-31 00:00:00.0</v>
      </c>
      <c r="V2151" t="s">
        <v>837</v>
      </c>
      <c r="W2151" t="str">
        <f>"048314-070417-**-**"</f>
        <v>048314-070417-**-**</v>
      </c>
      <c r="X2151" t="s">
        <v>838</v>
      </c>
      <c r="Y2151">
        <v>1125</v>
      </c>
      <c r="Z2151">
        <v>1125</v>
      </c>
      <c r="AA2151" t="str">
        <f t="shared" si="597"/>
        <v>06/08/2016</v>
      </c>
    </row>
    <row r="2152" spans="1:27" x14ac:dyDescent="0.3">
      <c r="A2152" t="str">
        <f t="shared" si="594"/>
        <v>048314</v>
      </c>
      <c r="B2152" t="str">
        <f t="shared" si="600"/>
        <v>070417</v>
      </c>
      <c r="C2152" t="s">
        <v>1921</v>
      </c>
      <c r="D2152" t="s">
        <v>3839</v>
      </c>
      <c r="E2152" t="s">
        <v>3840</v>
      </c>
      <c r="F2152" t="s">
        <v>3841</v>
      </c>
      <c r="G2152" t="s">
        <v>3842</v>
      </c>
      <c r="H2152" t="str">
        <f t="shared" si="595"/>
        <v>048314</v>
      </c>
      <c r="I2152" t="s">
        <v>833</v>
      </c>
      <c r="J2152" t="str">
        <f t="shared" si="602"/>
        <v>2015-07-01 00:00:00.0</v>
      </c>
      <c r="K2152" t="s">
        <v>834</v>
      </c>
      <c r="L2152" t="s">
        <v>0</v>
      </c>
      <c r="M2152" t="str">
        <f t="shared" si="599"/>
        <v>048314</v>
      </c>
      <c r="N2152">
        <v>1</v>
      </c>
      <c r="O2152">
        <v>1</v>
      </c>
      <c r="P2152" t="str">
        <f>"09"</f>
        <v>09</v>
      </c>
      <c r="Q2152" t="s">
        <v>835</v>
      </c>
      <c r="S2152" t="s">
        <v>836</v>
      </c>
      <c r="T2152" t="s">
        <v>836</v>
      </c>
      <c r="U2152" t="str">
        <f t="shared" si="601"/>
        <v>2500-12-31 00:00:00.0</v>
      </c>
      <c r="V2152" t="s">
        <v>837</v>
      </c>
      <c r="W2152" t="str">
        <f>"048314-004796-**-**"</f>
        <v>048314-004796-**-**</v>
      </c>
      <c r="X2152" t="s">
        <v>838</v>
      </c>
      <c r="Y2152">
        <v>1254.5</v>
      </c>
      <c r="Z2152">
        <v>1254.5</v>
      </c>
      <c r="AA2152" t="str">
        <f t="shared" si="597"/>
        <v>06/08/2016</v>
      </c>
    </row>
    <row r="2153" spans="1:27" x14ac:dyDescent="0.3">
      <c r="A2153" t="str">
        <f t="shared" si="594"/>
        <v>048314</v>
      </c>
      <c r="B2153" t="str">
        <f t="shared" si="600"/>
        <v>070417</v>
      </c>
      <c r="C2153" t="s">
        <v>1922</v>
      </c>
      <c r="D2153" t="s">
        <v>3839</v>
      </c>
      <c r="E2153" t="s">
        <v>3840</v>
      </c>
      <c r="F2153" t="s">
        <v>3841</v>
      </c>
      <c r="G2153" t="s">
        <v>3842</v>
      </c>
      <c r="H2153" t="str">
        <f t="shared" si="595"/>
        <v>048314</v>
      </c>
      <c r="I2153" t="s">
        <v>833</v>
      </c>
      <c r="J2153" t="str">
        <f t="shared" si="602"/>
        <v>2015-07-01 00:00:00.0</v>
      </c>
      <c r="K2153" t="s">
        <v>834</v>
      </c>
      <c r="L2153" t="s">
        <v>0</v>
      </c>
      <c r="M2153" t="str">
        <f t="shared" si="599"/>
        <v>048314</v>
      </c>
      <c r="N2153">
        <v>1</v>
      </c>
      <c r="O2153">
        <v>1</v>
      </c>
      <c r="P2153" t="str">
        <f>"09"</f>
        <v>09</v>
      </c>
      <c r="Q2153" t="s">
        <v>835</v>
      </c>
      <c r="S2153" t="s">
        <v>836</v>
      </c>
      <c r="T2153" t="s">
        <v>836</v>
      </c>
      <c r="U2153" t="str">
        <f t="shared" si="601"/>
        <v>2500-12-31 00:00:00.0</v>
      </c>
      <c r="V2153" t="s">
        <v>837</v>
      </c>
      <c r="W2153" t="str">
        <f>"048314-004796-**-**"</f>
        <v>048314-004796-**-**</v>
      </c>
      <c r="X2153" t="s">
        <v>838</v>
      </c>
      <c r="Y2153">
        <v>1254.5</v>
      </c>
      <c r="Z2153">
        <v>1254.5</v>
      </c>
      <c r="AA2153" t="str">
        <f t="shared" si="597"/>
        <v>06/08/2016</v>
      </c>
    </row>
    <row r="2154" spans="1:27" x14ac:dyDescent="0.3">
      <c r="A2154" t="str">
        <f t="shared" si="594"/>
        <v>048314</v>
      </c>
      <c r="B2154" t="str">
        <f t="shared" si="600"/>
        <v>070417</v>
      </c>
      <c r="C2154" t="s">
        <v>2190</v>
      </c>
      <c r="D2154" t="s">
        <v>3839</v>
      </c>
      <c r="E2154" t="s">
        <v>3840</v>
      </c>
      <c r="F2154" t="s">
        <v>3841</v>
      </c>
      <c r="G2154" t="s">
        <v>3842</v>
      </c>
      <c r="H2154" t="str">
        <f t="shared" si="595"/>
        <v>048314</v>
      </c>
      <c r="I2154" t="s">
        <v>833</v>
      </c>
      <c r="J2154" t="str">
        <f t="shared" si="602"/>
        <v>2015-07-01 00:00:00.0</v>
      </c>
      <c r="K2154" t="s">
        <v>834</v>
      </c>
      <c r="L2154" t="s">
        <v>0</v>
      </c>
      <c r="M2154" t="str">
        <f t="shared" si="599"/>
        <v>048314</v>
      </c>
      <c r="N2154">
        <v>1</v>
      </c>
      <c r="O2154">
        <v>1</v>
      </c>
      <c r="P2154" t="str">
        <f>"08"</f>
        <v>08</v>
      </c>
      <c r="Q2154" t="s">
        <v>835</v>
      </c>
      <c r="S2154" t="s">
        <v>836</v>
      </c>
      <c r="T2154" t="s">
        <v>836</v>
      </c>
      <c r="U2154" t="str">
        <f t="shared" si="601"/>
        <v>2500-12-31 00:00:00.0</v>
      </c>
      <c r="V2154" t="s">
        <v>837</v>
      </c>
      <c r="W2154" t="str">
        <f>"048314-070417-**-**"</f>
        <v>048314-070417-**-**</v>
      </c>
      <c r="X2154" t="s">
        <v>838</v>
      </c>
      <c r="Y2154">
        <v>1125</v>
      </c>
      <c r="Z2154">
        <v>1125</v>
      </c>
      <c r="AA2154" t="str">
        <f t="shared" si="597"/>
        <v>06/08/2016</v>
      </c>
    </row>
    <row r="2155" spans="1:27" x14ac:dyDescent="0.3">
      <c r="A2155" t="str">
        <f t="shared" si="594"/>
        <v>048314</v>
      </c>
      <c r="B2155" t="str">
        <f t="shared" si="600"/>
        <v>070417</v>
      </c>
      <c r="C2155" t="s">
        <v>2610</v>
      </c>
      <c r="D2155" t="s">
        <v>3839</v>
      </c>
      <c r="E2155" t="s">
        <v>3840</v>
      </c>
      <c r="F2155" t="s">
        <v>3841</v>
      </c>
      <c r="G2155" t="s">
        <v>3842</v>
      </c>
      <c r="H2155" t="str">
        <f t="shared" si="595"/>
        <v>048314</v>
      </c>
      <c r="I2155" t="s">
        <v>833</v>
      </c>
      <c r="J2155" t="str">
        <f t="shared" si="602"/>
        <v>2015-07-01 00:00:00.0</v>
      </c>
      <c r="K2155" t="s">
        <v>834</v>
      </c>
      <c r="L2155" t="s">
        <v>0</v>
      </c>
      <c r="M2155" t="str">
        <f t="shared" si="599"/>
        <v>048314</v>
      </c>
      <c r="N2155">
        <v>1</v>
      </c>
      <c r="O2155">
        <v>1</v>
      </c>
      <c r="P2155" t="str">
        <f>"06"</f>
        <v>06</v>
      </c>
      <c r="Q2155" t="s">
        <v>835</v>
      </c>
      <c r="S2155" t="s">
        <v>836</v>
      </c>
      <c r="T2155" t="s">
        <v>836</v>
      </c>
      <c r="U2155" t="str">
        <f t="shared" si="601"/>
        <v>2500-12-31 00:00:00.0</v>
      </c>
      <c r="V2155" t="s">
        <v>837</v>
      </c>
      <c r="W2155" t="str">
        <f>"048314-070417-**-**"</f>
        <v>048314-070417-**-**</v>
      </c>
      <c r="X2155" t="s">
        <v>838</v>
      </c>
      <c r="Y2155">
        <v>1125</v>
      </c>
      <c r="Z2155">
        <v>1125</v>
      </c>
      <c r="AA2155" t="str">
        <f t="shared" si="597"/>
        <v>06/08/2016</v>
      </c>
    </row>
    <row r="2156" spans="1:27" x14ac:dyDescent="0.3">
      <c r="A2156" t="str">
        <f t="shared" si="594"/>
        <v>048314</v>
      </c>
      <c r="B2156" t="str">
        <f t="shared" si="600"/>
        <v>070417</v>
      </c>
      <c r="C2156" t="s">
        <v>2345</v>
      </c>
      <c r="D2156" t="s">
        <v>3839</v>
      </c>
      <c r="E2156" t="s">
        <v>3840</v>
      </c>
      <c r="F2156" t="s">
        <v>3841</v>
      </c>
      <c r="G2156" t="s">
        <v>3842</v>
      </c>
      <c r="H2156" t="str">
        <f t="shared" si="595"/>
        <v>048314</v>
      </c>
      <c r="I2156" t="s">
        <v>833</v>
      </c>
      <c r="J2156" t="str">
        <f t="shared" si="602"/>
        <v>2015-07-01 00:00:00.0</v>
      </c>
      <c r="K2156" t="s">
        <v>834</v>
      </c>
      <c r="L2156" t="s">
        <v>0</v>
      </c>
      <c r="M2156" t="str">
        <f t="shared" si="599"/>
        <v>048314</v>
      </c>
      <c r="N2156">
        <v>1</v>
      </c>
      <c r="O2156">
        <v>1</v>
      </c>
      <c r="P2156" t="str">
        <f>"08"</f>
        <v>08</v>
      </c>
      <c r="Q2156" t="s">
        <v>835</v>
      </c>
      <c r="S2156" t="s">
        <v>836</v>
      </c>
      <c r="T2156" t="s">
        <v>836</v>
      </c>
      <c r="U2156" t="str">
        <f t="shared" si="601"/>
        <v>2500-12-31 00:00:00.0</v>
      </c>
      <c r="V2156" t="s">
        <v>837</v>
      </c>
      <c r="W2156" t="str">
        <f>"048314-070417-**-**"</f>
        <v>048314-070417-**-**</v>
      </c>
      <c r="X2156" t="s">
        <v>838</v>
      </c>
      <c r="Y2156">
        <v>1125</v>
      </c>
      <c r="Z2156">
        <v>1125</v>
      </c>
      <c r="AA2156" t="str">
        <f t="shared" si="597"/>
        <v>06/08/2016</v>
      </c>
    </row>
    <row r="2157" spans="1:27" x14ac:dyDescent="0.3">
      <c r="A2157" t="str">
        <f t="shared" si="594"/>
        <v>048314</v>
      </c>
      <c r="B2157" t="str">
        <f t="shared" si="600"/>
        <v>070417</v>
      </c>
      <c r="C2157" t="s">
        <v>2611</v>
      </c>
      <c r="D2157" t="s">
        <v>3839</v>
      </c>
      <c r="E2157" t="s">
        <v>3840</v>
      </c>
      <c r="F2157" t="s">
        <v>3841</v>
      </c>
      <c r="G2157" t="s">
        <v>3842</v>
      </c>
      <c r="H2157" t="str">
        <f t="shared" si="595"/>
        <v>048314</v>
      </c>
      <c r="I2157" t="s">
        <v>833</v>
      </c>
      <c r="J2157" t="str">
        <f t="shared" si="602"/>
        <v>2015-07-01 00:00:00.0</v>
      </c>
      <c r="K2157" t="s">
        <v>834</v>
      </c>
      <c r="L2157" t="s">
        <v>0</v>
      </c>
      <c r="M2157" t="str">
        <f t="shared" si="599"/>
        <v>048314</v>
      </c>
      <c r="N2157">
        <v>1</v>
      </c>
      <c r="O2157">
        <v>1</v>
      </c>
      <c r="P2157" t="str">
        <f>"07"</f>
        <v>07</v>
      </c>
      <c r="Q2157" t="s">
        <v>835</v>
      </c>
      <c r="S2157" t="s">
        <v>836</v>
      </c>
      <c r="T2157" t="s">
        <v>836</v>
      </c>
      <c r="U2157" t="str">
        <f t="shared" si="601"/>
        <v>2500-12-31 00:00:00.0</v>
      </c>
      <c r="V2157" t="s">
        <v>837</v>
      </c>
      <c r="W2157" t="str">
        <f>"048314-070417-**-**"</f>
        <v>048314-070417-**-**</v>
      </c>
      <c r="X2157" t="s">
        <v>838</v>
      </c>
      <c r="Y2157">
        <v>1125</v>
      </c>
      <c r="Z2157">
        <v>1125</v>
      </c>
      <c r="AA2157" t="str">
        <f t="shared" si="597"/>
        <v>06/08/2016</v>
      </c>
    </row>
    <row r="2158" spans="1:27" x14ac:dyDescent="0.3">
      <c r="A2158" t="str">
        <f t="shared" si="594"/>
        <v>048314</v>
      </c>
      <c r="B2158" t="str">
        <f t="shared" si="600"/>
        <v>070417</v>
      </c>
      <c r="C2158" t="s">
        <v>2612</v>
      </c>
      <c r="D2158" t="s">
        <v>3839</v>
      </c>
      <c r="E2158" t="s">
        <v>3840</v>
      </c>
      <c r="F2158" t="s">
        <v>3841</v>
      </c>
      <c r="G2158" t="s">
        <v>3842</v>
      </c>
      <c r="H2158" t="str">
        <f t="shared" si="595"/>
        <v>048314</v>
      </c>
      <c r="I2158" t="s">
        <v>833</v>
      </c>
      <c r="J2158" t="str">
        <f t="shared" si="602"/>
        <v>2015-07-01 00:00:00.0</v>
      </c>
      <c r="K2158" t="s">
        <v>834</v>
      </c>
      <c r="L2158" t="s">
        <v>0</v>
      </c>
      <c r="M2158" t="str">
        <f t="shared" si="599"/>
        <v>048314</v>
      </c>
      <c r="N2158">
        <v>1</v>
      </c>
      <c r="O2158">
        <v>1</v>
      </c>
      <c r="P2158" t="str">
        <f>"06"</f>
        <v>06</v>
      </c>
      <c r="Q2158" t="s">
        <v>835</v>
      </c>
      <c r="S2158" t="s">
        <v>836</v>
      </c>
      <c r="T2158" t="s">
        <v>836</v>
      </c>
      <c r="U2158" t="str">
        <f t="shared" si="601"/>
        <v>2500-12-31 00:00:00.0</v>
      </c>
      <c r="V2158" t="s">
        <v>837</v>
      </c>
      <c r="W2158" t="str">
        <f>"048314-070417-**-**"</f>
        <v>048314-070417-**-**</v>
      </c>
      <c r="X2158" t="s">
        <v>838</v>
      </c>
      <c r="Y2158">
        <v>1125</v>
      </c>
      <c r="Z2158">
        <v>1125</v>
      </c>
      <c r="AA2158" t="str">
        <f t="shared" si="597"/>
        <v>06/08/2016</v>
      </c>
    </row>
    <row r="2159" spans="1:27" x14ac:dyDescent="0.3">
      <c r="A2159" t="str">
        <f t="shared" si="594"/>
        <v>048314</v>
      </c>
      <c r="B2159" t="str">
        <f t="shared" si="600"/>
        <v>070417</v>
      </c>
      <c r="C2159" t="s">
        <v>2258</v>
      </c>
      <c r="D2159" t="s">
        <v>3839</v>
      </c>
      <c r="E2159" t="s">
        <v>3840</v>
      </c>
      <c r="F2159" t="s">
        <v>3841</v>
      </c>
      <c r="G2159" t="s">
        <v>3842</v>
      </c>
      <c r="H2159" t="str">
        <f>"048397"</f>
        <v>048397</v>
      </c>
      <c r="I2159" t="s">
        <v>833</v>
      </c>
      <c r="J2159" t="str">
        <f t="shared" si="602"/>
        <v>2015-07-01 00:00:00.0</v>
      </c>
      <c r="K2159" t="s">
        <v>834</v>
      </c>
      <c r="L2159" t="s">
        <v>1</v>
      </c>
      <c r="M2159" t="str">
        <f t="shared" si="599"/>
        <v>048314</v>
      </c>
      <c r="N2159">
        <v>1</v>
      </c>
      <c r="O2159">
        <v>1</v>
      </c>
      <c r="P2159" t="str">
        <f>"08"</f>
        <v>08</v>
      </c>
      <c r="Q2159" t="s">
        <v>835</v>
      </c>
      <c r="S2159" t="s">
        <v>836</v>
      </c>
      <c r="T2159" t="s">
        <v>836</v>
      </c>
      <c r="U2159" t="str">
        <f t="shared" si="601"/>
        <v>2500-12-31 00:00:00.0</v>
      </c>
      <c r="V2159" t="s">
        <v>837</v>
      </c>
      <c r="W2159" t="str">
        <f>"048397-002444-**-**"</f>
        <v>048397-002444-**-**</v>
      </c>
      <c r="X2159" t="s">
        <v>838</v>
      </c>
      <c r="Y2159">
        <v>1113.0999999999999</v>
      </c>
      <c r="Z2159">
        <v>1113.0999999999999</v>
      </c>
      <c r="AA2159" t="str">
        <f t="shared" si="597"/>
        <v>06/08/2016</v>
      </c>
    </row>
    <row r="2160" spans="1:27" x14ac:dyDescent="0.3">
      <c r="A2160" t="str">
        <f t="shared" si="594"/>
        <v>048314</v>
      </c>
      <c r="B2160" t="str">
        <f t="shared" si="600"/>
        <v>070417</v>
      </c>
      <c r="C2160" t="s">
        <v>1923</v>
      </c>
      <c r="D2160" t="s">
        <v>3839</v>
      </c>
      <c r="E2160" t="s">
        <v>3840</v>
      </c>
      <c r="F2160" t="s">
        <v>3841</v>
      </c>
      <c r="G2160" t="s">
        <v>3842</v>
      </c>
      <c r="H2160" t="str">
        <f t="shared" ref="H2160:H2223" si="603">"048314"</f>
        <v>048314</v>
      </c>
      <c r="I2160" t="s">
        <v>833</v>
      </c>
      <c r="J2160" t="str">
        <f t="shared" si="602"/>
        <v>2015-07-01 00:00:00.0</v>
      </c>
      <c r="K2160" t="s">
        <v>834</v>
      </c>
      <c r="L2160" t="s">
        <v>0</v>
      </c>
      <c r="M2160" t="str">
        <f t="shared" si="599"/>
        <v>048314</v>
      </c>
      <c r="N2160">
        <v>1</v>
      </c>
      <c r="O2160">
        <v>1</v>
      </c>
      <c r="P2160" t="str">
        <f>"09"</f>
        <v>09</v>
      </c>
      <c r="Q2160" t="s">
        <v>835</v>
      </c>
      <c r="S2160" t="s">
        <v>836</v>
      </c>
      <c r="T2160" t="s">
        <v>836</v>
      </c>
      <c r="U2160" t="str">
        <f t="shared" si="601"/>
        <v>2500-12-31 00:00:00.0</v>
      </c>
      <c r="V2160" t="s">
        <v>837</v>
      </c>
      <c r="W2160" t="str">
        <f>"048314-004796-**-**"</f>
        <v>048314-004796-**-**</v>
      </c>
      <c r="X2160" t="s">
        <v>838</v>
      </c>
      <c r="Y2160">
        <v>1254.5</v>
      </c>
      <c r="Z2160">
        <v>1254.5</v>
      </c>
      <c r="AA2160" t="str">
        <f t="shared" si="597"/>
        <v>06/08/2016</v>
      </c>
    </row>
    <row r="2161" spans="1:27" x14ac:dyDescent="0.3">
      <c r="A2161" t="str">
        <f t="shared" si="594"/>
        <v>048314</v>
      </c>
      <c r="B2161" t="str">
        <f t="shared" si="600"/>
        <v>070417</v>
      </c>
      <c r="C2161" t="s">
        <v>2613</v>
      </c>
      <c r="D2161" t="s">
        <v>3839</v>
      </c>
      <c r="E2161" t="s">
        <v>3840</v>
      </c>
      <c r="F2161" t="s">
        <v>3841</v>
      </c>
      <c r="G2161" t="s">
        <v>3842</v>
      </c>
      <c r="H2161" t="str">
        <f t="shared" si="603"/>
        <v>048314</v>
      </c>
      <c r="I2161" t="s">
        <v>833</v>
      </c>
      <c r="J2161" t="str">
        <f t="shared" si="602"/>
        <v>2015-07-01 00:00:00.0</v>
      </c>
      <c r="K2161" t="s">
        <v>834</v>
      </c>
      <c r="L2161" t="s">
        <v>0</v>
      </c>
      <c r="M2161" t="str">
        <f t="shared" si="599"/>
        <v>048314</v>
      </c>
      <c r="N2161">
        <v>1</v>
      </c>
      <c r="O2161">
        <v>1</v>
      </c>
      <c r="P2161" t="str">
        <f>"06"</f>
        <v>06</v>
      </c>
      <c r="Q2161" t="s">
        <v>835</v>
      </c>
      <c r="S2161" t="s">
        <v>836</v>
      </c>
      <c r="T2161" t="s">
        <v>836</v>
      </c>
      <c r="U2161" t="str">
        <f t="shared" si="601"/>
        <v>2500-12-31 00:00:00.0</v>
      </c>
      <c r="V2161" t="s">
        <v>837</v>
      </c>
      <c r="W2161" t="str">
        <f>"048314-070417-**-**"</f>
        <v>048314-070417-**-**</v>
      </c>
      <c r="X2161" t="s">
        <v>838</v>
      </c>
      <c r="Y2161">
        <v>1125</v>
      </c>
      <c r="Z2161">
        <v>1125</v>
      </c>
      <c r="AA2161" t="str">
        <f t="shared" si="597"/>
        <v>06/08/2016</v>
      </c>
    </row>
    <row r="2162" spans="1:27" x14ac:dyDescent="0.3">
      <c r="A2162" t="str">
        <f t="shared" si="594"/>
        <v>048314</v>
      </c>
      <c r="B2162" t="str">
        <f t="shared" si="600"/>
        <v>070417</v>
      </c>
      <c r="C2162" t="s">
        <v>2614</v>
      </c>
      <c r="D2162" t="s">
        <v>3839</v>
      </c>
      <c r="E2162" t="s">
        <v>3840</v>
      </c>
      <c r="F2162" t="s">
        <v>3841</v>
      </c>
      <c r="G2162" t="s">
        <v>3842</v>
      </c>
      <c r="H2162" t="str">
        <f t="shared" si="603"/>
        <v>048314</v>
      </c>
      <c r="I2162" t="s">
        <v>833</v>
      </c>
      <c r="J2162" t="str">
        <f t="shared" si="602"/>
        <v>2015-07-01 00:00:00.0</v>
      </c>
      <c r="K2162" t="s">
        <v>834</v>
      </c>
      <c r="L2162" t="s">
        <v>0</v>
      </c>
      <c r="M2162" t="str">
        <f t="shared" si="599"/>
        <v>048314</v>
      </c>
      <c r="N2162">
        <v>1</v>
      </c>
      <c r="O2162">
        <v>1</v>
      </c>
      <c r="P2162" t="str">
        <f>"07"</f>
        <v>07</v>
      </c>
      <c r="Q2162" t="s">
        <v>835</v>
      </c>
      <c r="S2162" t="s">
        <v>836</v>
      </c>
      <c r="T2162" t="s">
        <v>836</v>
      </c>
      <c r="U2162" t="str">
        <f t="shared" si="601"/>
        <v>2500-12-31 00:00:00.0</v>
      </c>
      <c r="V2162" t="s">
        <v>837</v>
      </c>
      <c r="W2162" t="str">
        <f>"048314-070417-**-**"</f>
        <v>048314-070417-**-**</v>
      </c>
      <c r="X2162" t="s">
        <v>838</v>
      </c>
      <c r="Y2162">
        <v>1125</v>
      </c>
      <c r="Z2162">
        <v>1125</v>
      </c>
      <c r="AA2162" t="str">
        <f t="shared" si="597"/>
        <v>06/08/2016</v>
      </c>
    </row>
    <row r="2163" spans="1:27" x14ac:dyDescent="0.3">
      <c r="A2163" t="str">
        <f t="shared" si="594"/>
        <v>048314</v>
      </c>
      <c r="B2163" t="str">
        <f t="shared" si="600"/>
        <v>070417</v>
      </c>
      <c r="C2163" t="s">
        <v>2168</v>
      </c>
      <c r="D2163" t="s">
        <v>3839</v>
      </c>
      <c r="E2163" t="s">
        <v>3840</v>
      </c>
      <c r="F2163" t="s">
        <v>3841</v>
      </c>
      <c r="G2163" t="s">
        <v>3842</v>
      </c>
      <c r="H2163" t="str">
        <f t="shared" si="603"/>
        <v>048314</v>
      </c>
      <c r="I2163" t="s">
        <v>833</v>
      </c>
      <c r="J2163" t="str">
        <f t="shared" si="602"/>
        <v>2015-07-01 00:00:00.0</v>
      </c>
      <c r="K2163" t="s">
        <v>834</v>
      </c>
      <c r="L2163" t="s">
        <v>0</v>
      </c>
      <c r="M2163" t="str">
        <f t="shared" si="599"/>
        <v>048314</v>
      </c>
      <c r="N2163">
        <v>1</v>
      </c>
      <c r="O2163">
        <v>1</v>
      </c>
      <c r="P2163" t="str">
        <f>"09"</f>
        <v>09</v>
      </c>
      <c r="Q2163" t="s">
        <v>835</v>
      </c>
      <c r="S2163" t="s">
        <v>836</v>
      </c>
      <c r="T2163" t="s">
        <v>836</v>
      </c>
      <c r="U2163" t="str">
        <f t="shared" si="601"/>
        <v>2500-12-31 00:00:00.0</v>
      </c>
      <c r="V2163" t="s">
        <v>837</v>
      </c>
      <c r="W2163" t="str">
        <f>"048314-004796-**-**"</f>
        <v>048314-004796-**-**</v>
      </c>
      <c r="X2163" t="s">
        <v>838</v>
      </c>
      <c r="Y2163">
        <v>1254.5</v>
      </c>
      <c r="Z2163">
        <v>1254.5</v>
      </c>
      <c r="AA2163" t="str">
        <f t="shared" si="597"/>
        <v>06/08/2016</v>
      </c>
    </row>
    <row r="2164" spans="1:27" x14ac:dyDescent="0.3">
      <c r="A2164" t="str">
        <f t="shared" si="594"/>
        <v>048314</v>
      </c>
      <c r="B2164" t="str">
        <f t="shared" si="600"/>
        <v>070417</v>
      </c>
      <c r="C2164" t="s">
        <v>2266</v>
      </c>
      <c r="D2164" t="s">
        <v>3839</v>
      </c>
      <c r="E2164" t="s">
        <v>3840</v>
      </c>
      <c r="F2164" t="s">
        <v>3841</v>
      </c>
      <c r="G2164" t="s">
        <v>3842</v>
      </c>
      <c r="H2164" t="str">
        <f t="shared" si="603"/>
        <v>048314</v>
      </c>
      <c r="I2164" t="s">
        <v>833</v>
      </c>
      <c r="J2164" t="str">
        <f t="shared" si="602"/>
        <v>2015-07-01 00:00:00.0</v>
      </c>
      <c r="K2164" t="s">
        <v>834</v>
      </c>
      <c r="L2164" t="s">
        <v>0</v>
      </c>
      <c r="M2164" t="str">
        <f t="shared" si="599"/>
        <v>048314</v>
      </c>
      <c r="N2164">
        <v>1</v>
      </c>
      <c r="O2164">
        <v>1</v>
      </c>
      <c r="P2164" t="str">
        <f>"08"</f>
        <v>08</v>
      </c>
      <c r="Q2164" t="s">
        <v>835</v>
      </c>
      <c r="S2164" t="s">
        <v>836</v>
      </c>
      <c r="T2164" t="s">
        <v>836</v>
      </c>
      <c r="U2164" t="str">
        <f t="shared" si="601"/>
        <v>2500-12-31 00:00:00.0</v>
      </c>
      <c r="V2164" t="s">
        <v>837</v>
      </c>
      <c r="W2164" t="str">
        <f>"048314-070417-**-**"</f>
        <v>048314-070417-**-**</v>
      </c>
      <c r="X2164" t="s">
        <v>838</v>
      </c>
      <c r="Y2164">
        <v>1125</v>
      </c>
      <c r="Z2164">
        <v>1125</v>
      </c>
      <c r="AA2164" t="str">
        <f t="shared" si="597"/>
        <v>06/08/2016</v>
      </c>
    </row>
    <row r="2165" spans="1:27" x14ac:dyDescent="0.3">
      <c r="A2165" t="str">
        <f t="shared" si="594"/>
        <v>048314</v>
      </c>
      <c r="B2165" t="str">
        <f t="shared" si="600"/>
        <v>070417</v>
      </c>
      <c r="C2165" t="s">
        <v>2395</v>
      </c>
      <c r="D2165" t="s">
        <v>3839</v>
      </c>
      <c r="E2165" t="s">
        <v>3840</v>
      </c>
      <c r="F2165" t="s">
        <v>3841</v>
      </c>
      <c r="G2165" t="s">
        <v>3842</v>
      </c>
      <c r="H2165" t="str">
        <f t="shared" si="603"/>
        <v>048314</v>
      </c>
      <c r="I2165" t="s">
        <v>833</v>
      </c>
      <c r="J2165" t="str">
        <f t="shared" si="602"/>
        <v>2015-07-01 00:00:00.0</v>
      </c>
      <c r="K2165" t="s">
        <v>834</v>
      </c>
      <c r="L2165" t="s">
        <v>0</v>
      </c>
      <c r="M2165" t="str">
        <f t="shared" si="599"/>
        <v>048314</v>
      </c>
      <c r="N2165">
        <v>1</v>
      </c>
      <c r="O2165">
        <v>1</v>
      </c>
      <c r="P2165" t="str">
        <f>"08"</f>
        <v>08</v>
      </c>
      <c r="Q2165" t="s">
        <v>835</v>
      </c>
      <c r="S2165" t="s">
        <v>836</v>
      </c>
      <c r="T2165" t="s">
        <v>836</v>
      </c>
      <c r="U2165" t="str">
        <f t="shared" si="601"/>
        <v>2500-12-31 00:00:00.0</v>
      </c>
      <c r="V2165" t="s">
        <v>837</v>
      </c>
      <c r="W2165" t="str">
        <f>"048314-070417-**-**"</f>
        <v>048314-070417-**-**</v>
      </c>
      <c r="X2165" t="s">
        <v>838</v>
      </c>
      <c r="Y2165">
        <v>1125</v>
      </c>
      <c r="Z2165">
        <v>1125</v>
      </c>
      <c r="AA2165" t="str">
        <f t="shared" si="597"/>
        <v>06/08/2016</v>
      </c>
    </row>
    <row r="2166" spans="1:27" x14ac:dyDescent="0.3">
      <c r="A2166" t="str">
        <f t="shared" si="594"/>
        <v>048314</v>
      </c>
      <c r="B2166" t="str">
        <f t="shared" si="600"/>
        <v>070417</v>
      </c>
      <c r="C2166" t="s">
        <v>2615</v>
      </c>
      <c r="D2166" t="s">
        <v>3839</v>
      </c>
      <c r="E2166" t="s">
        <v>3840</v>
      </c>
      <c r="F2166" t="s">
        <v>3841</v>
      </c>
      <c r="G2166" t="s">
        <v>3842</v>
      </c>
      <c r="H2166" t="str">
        <f t="shared" si="603"/>
        <v>048314</v>
      </c>
      <c r="I2166" t="s">
        <v>833</v>
      </c>
      <c r="J2166" t="str">
        <f t="shared" si="602"/>
        <v>2015-07-01 00:00:00.0</v>
      </c>
      <c r="K2166" t="s">
        <v>834</v>
      </c>
      <c r="L2166" t="s">
        <v>0</v>
      </c>
      <c r="M2166" t="str">
        <f t="shared" si="599"/>
        <v>048314</v>
      </c>
      <c r="N2166">
        <v>1</v>
      </c>
      <c r="O2166">
        <v>1</v>
      </c>
      <c r="P2166" t="str">
        <f>"06"</f>
        <v>06</v>
      </c>
      <c r="Q2166" t="s">
        <v>835</v>
      </c>
      <c r="S2166" t="s">
        <v>860</v>
      </c>
      <c r="T2166" t="s">
        <v>836</v>
      </c>
      <c r="U2166" t="str">
        <f t="shared" si="601"/>
        <v>2500-12-31 00:00:00.0</v>
      </c>
      <c r="V2166" t="s">
        <v>837</v>
      </c>
      <c r="W2166" t="str">
        <f>"048314-070417-**-**"</f>
        <v>048314-070417-**-**</v>
      </c>
      <c r="X2166" t="s">
        <v>838</v>
      </c>
      <c r="Y2166">
        <v>1125</v>
      </c>
      <c r="Z2166">
        <v>1125</v>
      </c>
      <c r="AA2166" t="str">
        <f t="shared" si="597"/>
        <v>06/08/2016</v>
      </c>
    </row>
    <row r="2167" spans="1:27" x14ac:dyDescent="0.3">
      <c r="A2167" t="str">
        <f t="shared" si="594"/>
        <v>048314</v>
      </c>
      <c r="B2167" t="str">
        <f t="shared" si="600"/>
        <v>070417</v>
      </c>
      <c r="C2167" t="s">
        <v>1852</v>
      </c>
      <c r="D2167" t="s">
        <v>3839</v>
      </c>
      <c r="E2167" t="s">
        <v>3840</v>
      </c>
      <c r="F2167" t="s">
        <v>3841</v>
      </c>
      <c r="G2167" t="s">
        <v>3842</v>
      </c>
      <c r="H2167" t="str">
        <f t="shared" si="603"/>
        <v>048314</v>
      </c>
      <c r="I2167" t="s">
        <v>833</v>
      </c>
      <c r="J2167" t="str">
        <f t="shared" si="602"/>
        <v>2015-07-01 00:00:00.0</v>
      </c>
      <c r="K2167" t="s">
        <v>834</v>
      </c>
      <c r="L2167" t="s">
        <v>0</v>
      </c>
      <c r="M2167" t="str">
        <f t="shared" si="599"/>
        <v>048314</v>
      </c>
      <c r="N2167">
        <v>1</v>
      </c>
      <c r="O2167">
        <v>1</v>
      </c>
      <c r="P2167" t="str">
        <f>"09"</f>
        <v>09</v>
      </c>
      <c r="Q2167" t="s">
        <v>835</v>
      </c>
      <c r="S2167" t="s">
        <v>836</v>
      </c>
      <c r="T2167" t="s">
        <v>836</v>
      </c>
      <c r="U2167" t="str">
        <f t="shared" si="601"/>
        <v>2500-12-31 00:00:00.0</v>
      </c>
      <c r="V2167" t="s">
        <v>837</v>
      </c>
      <c r="W2167" t="str">
        <f>"048314-004796-**-**"</f>
        <v>048314-004796-**-**</v>
      </c>
      <c r="X2167" t="s">
        <v>838</v>
      </c>
      <c r="Y2167">
        <v>1254.5</v>
      </c>
      <c r="Z2167">
        <v>1254.5</v>
      </c>
      <c r="AA2167" t="str">
        <f t="shared" si="597"/>
        <v>06/08/2016</v>
      </c>
    </row>
    <row r="2168" spans="1:27" x14ac:dyDescent="0.3">
      <c r="A2168" t="str">
        <f t="shared" si="594"/>
        <v>048314</v>
      </c>
      <c r="B2168" t="str">
        <f t="shared" si="600"/>
        <v>070417</v>
      </c>
      <c r="C2168" t="s">
        <v>2761</v>
      </c>
      <c r="D2168" t="s">
        <v>3839</v>
      </c>
      <c r="E2168" t="s">
        <v>3840</v>
      </c>
      <c r="F2168" t="s">
        <v>3841</v>
      </c>
      <c r="G2168" t="s">
        <v>3842</v>
      </c>
      <c r="H2168" t="str">
        <f t="shared" si="603"/>
        <v>048314</v>
      </c>
      <c r="I2168" t="s">
        <v>833</v>
      </c>
      <c r="J2168" t="str">
        <f t="shared" si="602"/>
        <v>2015-07-01 00:00:00.0</v>
      </c>
      <c r="K2168" t="s">
        <v>834</v>
      </c>
      <c r="L2168" t="s">
        <v>0</v>
      </c>
      <c r="M2168" t="str">
        <f t="shared" si="599"/>
        <v>048314</v>
      </c>
      <c r="N2168">
        <v>1</v>
      </c>
      <c r="O2168">
        <v>1</v>
      </c>
      <c r="P2168" t="str">
        <f>"06"</f>
        <v>06</v>
      </c>
      <c r="Q2168" t="s">
        <v>835</v>
      </c>
      <c r="S2168" t="s">
        <v>836</v>
      </c>
      <c r="T2168" t="s">
        <v>836</v>
      </c>
      <c r="U2168" t="str">
        <f t="shared" si="601"/>
        <v>2500-12-31 00:00:00.0</v>
      </c>
      <c r="V2168" t="s">
        <v>837</v>
      </c>
      <c r="W2168" t="str">
        <f>"048314-070417-**-**"</f>
        <v>048314-070417-**-**</v>
      </c>
      <c r="X2168" t="s">
        <v>838</v>
      </c>
      <c r="Y2168">
        <v>1125</v>
      </c>
      <c r="Z2168">
        <v>1125</v>
      </c>
      <c r="AA2168" t="str">
        <f t="shared" si="597"/>
        <v>06/08/2016</v>
      </c>
    </row>
    <row r="2169" spans="1:27" x14ac:dyDescent="0.3">
      <c r="A2169" t="str">
        <f t="shared" si="594"/>
        <v>048314</v>
      </c>
      <c r="B2169" t="str">
        <f t="shared" si="600"/>
        <v>070417</v>
      </c>
      <c r="C2169" t="s">
        <v>2396</v>
      </c>
      <c r="D2169" t="s">
        <v>3839</v>
      </c>
      <c r="E2169" t="s">
        <v>3840</v>
      </c>
      <c r="F2169" t="s">
        <v>3841</v>
      </c>
      <c r="G2169" t="s">
        <v>3842</v>
      </c>
      <c r="H2169" t="str">
        <f t="shared" si="603"/>
        <v>048314</v>
      </c>
      <c r="I2169" t="s">
        <v>833</v>
      </c>
      <c r="J2169" t="str">
        <f t="shared" si="602"/>
        <v>2015-07-01 00:00:00.0</v>
      </c>
      <c r="K2169" t="s">
        <v>834</v>
      </c>
      <c r="L2169" t="s">
        <v>0</v>
      </c>
      <c r="M2169" t="str">
        <f t="shared" si="599"/>
        <v>048314</v>
      </c>
      <c r="N2169">
        <v>1</v>
      </c>
      <c r="O2169">
        <v>1</v>
      </c>
      <c r="P2169" t="str">
        <f>"08"</f>
        <v>08</v>
      </c>
      <c r="Q2169" t="s">
        <v>835</v>
      </c>
      <c r="S2169" t="s">
        <v>836</v>
      </c>
      <c r="T2169" t="s">
        <v>836</v>
      </c>
      <c r="U2169" t="str">
        <f t="shared" si="601"/>
        <v>2500-12-31 00:00:00.0</v>
      </c>
      <c r="V2169" t="s">
        <v>837</v>
      </c>
      <c r="W2169" t="str">
        <f>"048314-070417-**-**"</f>
        <v>048314-070417-**-**</v>
      </c>
      <c r="X2169" t="s">
        <v>838</v>
      </c>
      <c r="Y2169">
        <v>1125</v>
      </c>
      <c r="Z2169">
        <v>1125</v>
      </c>
      <c r="AA2169" t="str">
        <f t="shared" si="597"/>
        <v>06/08/2016</v>
      </c>
    </row>
    <row r="2170" spans="1:27" x14ac:dyDescent="0.3">
      <c r="A2170" t="str">
        <f t="shared" si="594"/>
        <v>048314</v>
      </c>
      <c r="B2170" t="str">
        <f t="shared" si="600"/>
        <v>070417</v>
      </c>
      <c r="C2170" t="s">
        <v>2169</v>
      </c>
      <c r="D2170" t="s">
        <v>3839</v>
      </c>
      <c r="E2170" t="s">
        <v>3840</v>
      </c>
      <c r="F2170" t="s">
        <v>3841</v>
      </c>
      <c r="G2170" t="s">
        <v>3842</v>
      </c>
      <c r="H2170" t="str">
        <f t="shared" si="603"/>
        <v>048314</v>
      </c>
      <c r="I2170" t="s">
        <v>833</v>
      </c>
      <c r="J2170" t="str">
        <f t="shared" si="602"/>
        <v>2015-07-01 00:00:00.0</v>
      </c>
      <c r="K2170" t="s">
        <v>834</v>
      </c>
      <c r="L2170" t="s">
        <v>0</v>
      </c>
      <c r="M2170" t="str">
        <f t="shared" si="599"/>
        <v>048314</v>
      </c>
      <c r="N2170">
        <v>1</v>
      </c>
      <c r="O2170">
        <v>1</v>
      </c>
      <c r="P2170" t="str">
        <f>"09"</f>
        <v>09</v>
      </c>
      <c r="Q2170" t="str">
        <f>"15"</f>
        <v>15</v>
      </c>
      <c r="R2170" t="str">
        <f>"2"</f>
        <v>2</v>
      </c>
      <c r="S2170" t="s">
        <v>836</v>
      </c>
      <c r="T2170" t="s">
        <v>836</v>
      </c>
      <c r="U2170" t="str">
        <f t="shared" si="601"/>
        <v>2500-12-31 00:00:00.0</v>
      </c>
      <c r="V2170" t="s">
        <v>837</v>
      </c>
      <c r="W2170" t="str">
        <f>"048314-004796-**-**"</f>
        <v>048314-004796-**-**</v>
      </c>
      <c r="X2170" t="s">
        <v>838</v>
      </c>
      <c r="Y2170">
        <v>1254.5</v>
      </c>
      <c r="Z2170">
        <v>1254.5</v>
      </c>
      <c r="AA2170" t="str">
        <f t="shared" si="597"/>
        <v>06/08/2016</v>
      </c>
    </row>
    <row r="2171" spans="1:27" x14ac:dyDescent="0.3">
      <c r="A2171" t="str">
        <f t="shared" si="594"/>
        <v>048314</v>
      </c>
      <c r="B2171" t="str">
        <f t="shared" si="600"/>
        <v>070417</v>
      </c>
      <c r="C2171" t="s">
        <v>1841</v>
      </c>
      <c r="D2171" t="s">
        <v>3839</v>
      </c>
      <c r="E2171" t="s">
        <v>3840</v>
      </c>
      <c r="F2171" t="s">
        <v>3841</v>
      </c>
      <c r="G2171" t="s">
        <v>3842</v>
      </c>
      <c r="H2171" t="str">
        <f t="shared" si="603"/>
        <v>048314</v>
      </c>
      <c r="I2171" t="s">
        <v>833</v>
      </c>
      <c r="J2171" t="str">
        <f t="shared" si="602"/>
        <v>2015-07-01 00:00:00.0</v>
      </c>
      <c r="K2171" t="s">
        <v>834</v>
      </c>
      <c r="L2171" t="s">
        <v>0</v>
      </c>
      <c r="M2171" t="str">
        <f t="shared" si="599"/>
        <v>048314</v>
      </c>
      <c r="N2171">
        <v>1</v>
      </c>
      <c r="O2171">
        <v>1</v>
      </c>
      <c r="P2171" t="str">
        <f>"09"</f>
        <v>09</v>
      </c>
      <c r="Q2171" t="s">
        <v>835</v>
      </c>
      <c r="S2171" t="s">
        <v>836</v>
      </c>
      <c r="T2171" t="s">
        <v>836</v>
      </c>
      <c r="U2171" t="str">
        <f t="shared" si="601"/>
        <v>2500-12-31 00:00:00.0</v>
      </c>
      <c r="V2171" t="s">
        <v>837</v>
      </c>
      <c r="W2171" t="str">
        <f>"048314-004796-**-**"</f>
        <v>048314-004796-**-**</v>
      </c>
      <c r="X2171" t="s">
        <v>838</v>
      </c>
      <c r="Y2171">
        <v>1254.5</v>
      </c>
      <c r="Z2171">
        <v>1254.5</v>
      </c>
      <c r="AA2171" t="str">
        <f t="shared" si="597"/>
        <v>06/08/2016</v>
      </c>
    </row>
    <row r="2172" spans="1:27" x14ac:dyDescent="0.3">
      <c r="A2172" t="str">
        <f t="shared" si="594"/>
        <v>048314</v>
      </c>
      <c r="B2172" t="str">
        <f t="shared" si="600"/>
        <v>070417</v>
      </c>
      <c r="C2172" t="s">
        <v>3267</v>
      </c>
      <c r="D2172" t="s">
        <v>3839</v>
      </c>
      <c r="E2172" t="s">
        <v>3840</v>
      </c>
      <c r="F2172" t="s">
        <v>3841</v>
      </c>
      <c r="G2172" t="s">
        <v>3842</v>
      </c>
      <c r="H2172" t="str">
        <f t="shared" si="603"/>
        <v>048314</v>
      </c>
      <c r="I2172" t="s">
        <v>833</v>
      </c>
      <c r="J2172" t="str">
        <f t="shared" si="602"/>
        <v>2015-07-01 00:00:00.0</v>
      </c>
      <c r="K2172" t="s">
        <v>834</v>
      </c>
      <c r="L2172" t="s">
        <v>0</v>
      </c>
      <c r="M2172" t="str">
        <f t="shared" si="599"/>
        <v>048314</v>
      </c>
      <c r="N2172">
        <v>1</v>
      </c>
      <c r="O2172">
        <v>1</v>
      </c>
      <c r="P2172" t="str">
        <f>"09"</f>
        <v>09</v>
      </c>
      <c r="Q2172" t="s">
        <v>835</v>
      </c>
      <c r="S2172" t="s">
        <v>836</v>
      </c>
      <c r="T2172" t="s">
        <v>836</v>
      </c>
      <c r="U2172" t="str">
        <f t="shared" si="601"/>
        <v>2500-12-31 00:00:00.0</v>
      </c>
      <c r="V2172" t="s">
        <v>837</v>
      </c>
      <c r="W2172" t="str">
        <f>"048314-004796-**-**"</f>
        <v>048314-004796-**-**</v>
      </c>
      <c r="X2172" t="s">
        <v>838</v>
      </c>
      <c r="Y2172">
        <v>1254.5</v>
      </c>
      <c r="Z2172">
        <v>1254.5</v>
      </c>
      <c r="AA2172" t="str">
        <f t="shared" si="597"/>
        <v>06/08/2016</v>
      </c>
    </row>
    <row r="2173" spans="1:27" x14ac:dyDescent="0.3">
      <c r="A2173" t="str">
        <f t="shared" si="594"/>
        <v>048314</v>
      </c>
      <c r="B2173" t="str">
        <f t="shared" si="600"/>
        <v>070417</v>
      </c>
      <c r="C2173" t="s">
        <v>2259</v>
      </c>
      <c r="D2173" t="s">
        <v>3839</v>
      </c>
      <c r="E2173" t="s">
        <v>3840</v>
      </c>
      <c r="F2173" t="s">
        <v>3841</v>
      </c>
      <c r="G2173" t="s">
        <v>3842</v>
      </c>
      <c r="H2173" t="str">
        <f t="shared" si="603"/>
        <v>048314</v>
      </c>
      <c r="I2173" t="s">
        <v>833</v>
      </c>
      <c r="J2173" t="str">
        <f t="shared" si="602"/>
        <v>2015-07-01 00:00:00.0</v>
      </c>
      <c r="K2173" t="s">
        <v>834</v>
      </c>
      <c r="L2173" t="s">
        <v>0</v>
      </c>
      <c r="M2173" t="str">
        <f t="shared" si="599"/>
        <v>048314</v>
      </c>
      <c r="N2173">
        <v>1</v>
      </c>
      <c r="O2173">
        <v>1</v>
      </c>
      <c r="P2173" t="str">
        <f>"09"</f>
        <v>09</v>
      </c>
      <c r="Q2173" t="s">
        <v>835</v>
      </c>
      <c r="S2173" t="s">
        <v>836</v>
      </c>
      <c r="T2173" t="s">
        <v>836</v>
      </c>
      <c r="U2173" t="str">
        <f t="shared" si="601"/>
        <v>2500-12-31 00:00:00.0</v>
      </c>
      <c r="V2173" t="s">
        <v>837</v>
      </c>
      <c r="W2173" t="str">
        <f>"048314-004796-**-**"</f>
        <v>048314-004796-**-**</v>
      </c>
      <c r="X2173" t="s">
        <v>838</v>
      </c>
      <c r="Y2173">
        <v>1254.5</v>
      </c>
      <c r="Z2173">
        <v>1254.5</v>
      </c>
      <c r="AA2173" t="str">
        <f t="shared" si="597"/>
        <v>06/08/2016</v>
      </c>
    </row>
    <row r="2174" spans="1:27" x14ac:dyDescent="0.3">
      <c r="A2174" t="str">
        <f t="shared" si="594"/>
        <v>048314</v>
      </c>
      <c r="B2174" t="str">
        <f t="shared" si="600"/>
        <v>070417</v>
      </c>
      <c r="C2174" t="s">
        <v>2055</v>
      </c>
      <c r="D2174" t="s">
        <v>3839</v>
      </c>
      <c r="E2174" t="s">
        <v>3840</v>
      </c>
      <c r="F2174" t="s">
        <v>3841</v>
      </c>
      <c r="G2174" t="s">
        <v>3842</v>
      </c>
      <c r="H2174" t="str">
        <f t="shared" si="603"/>
        <v>048314</v>
      </c>
      <c r="I2174" t="s">
        <v>833</v>
      </c>
      <c r="J2174" t="str">
        <f t="shared" si="602"/>
        <v>2015-07-01 00:00:00.0</v>
      </c>
      <c r="K2174" t="s">
        <v>834</v>
      </c>
      <c r="L2174" t="s">
        <v>0</v>
      </c>
      <c r="M2174" t="str">
        <f t="shared" si="599"/>
        <v>048314</v>
      </c>
      <c r="N2174">
        <v>1</v>
      </c>
      <c r="O2174">
        <v>1</v>
      </c>
      <c r="P2174" t="str">
        <f>"09"</f>
        <v>09</v>
      </c>
      <c r="Q2174" t="s">
        <v>835</v>
      </c>
      <c r="S2174" t="s">
        <v>836</v>
      </c>
      <c r="T2174" t="s">
        <v>836</v>
      </c>
      <c r="U2174" t="str">
        <f t="shared" si="601"/>
        <v>2500-12-31 00:00:00.0</v>
      </c>
      <c r="V2174" t="s">
        <v>837</v>
      </c>
      <c r="W2174" t="str">
        <f>"048314-004796-**-**"</f>
        <v>048314-004796-**-**</v>
      </c>
      <c r="X2174" t="s">
        <v>838</v>
      </c>
      <c r="Y2174">
        <v>1254.5</v>
      </c>
      <c r="Z2174">
        <v>1254.5</v>
      </c>
      <c r="AA2174" t="str">
        <f t="shared" si="597"/>
        <v>06/08/2016</v>
      </c>
    </row>
    <row r="2175" spans="1:27" x14ac:dyDescent="0.3">
      <c r="A2175" t="str">
        <f t="shared" si="594"/>
        <v>048314</v>
      </c>
      <c r="B2175" t="str">
        <f t="shared" si="600"/>
        <v>070417</v>
      </c>
      <c r="C2175" t="s">
        <v>2829</v>
      </c>
      <c r="D2175" t="s">
        <v>3839</v>
      </c>
      <c r="E2175" t="s">
        <v>3840</v>
      </c>
      <c r="F2175" t="s">
        <v>3841</v>
      </c>
      <c r="G2175" t="s">
        <v>3842</v>
      </c>
      <c r="H2175" t="str">
        <f t="shared" si="603"/>
        <v>048314</v>
      </c>
      <c r="I2175" t="s">
        <v>833</v>
      </c>
      <c r="J2175" t="str">
        <f t="shared" si="602"/>
        <v>2015-07-01 00:00:00.0</v>
      </c>
      <c r="K2175" t="s">
        <v>834</v>
      </c>
      <c r="L2175" t="s">
        <v>0</v>
      </c>
      <c r="M2175" t="str">
        <f t="shared" si="599"/>
        <v>048314</v>
      </c>
      <c r="N2175">
        <v>1</v>
      </c>
      <c r="O2175">
        <v>1</v>
      </c>
      <c r="P2175" t="str">
        <f>"06"</f>
        <v>06</v>
      </c>
      <c r="Q2175" t="s">
        <v>835</v>
      </c>
      <c r="S2175" t="s">
        <v>836</v>
      </c>
      <c r="T2175" t="s">
        <v>836</v>
      </c>
      <c r="U2175" t="str">
        <f t="shared" si="601"/>
        <v>2500-12-31 00:00:00.0</v>
      </c>
      <c r="V2175" t="s">
        <v>837</v>
      </c>
      <c r="W2175" t="str">
        <f>"048314-070417-**-**"</f>
        <v>048314-070417-**-**</v>
      </c>
      <c r="X2175" t="s">
        <v>838</v>
      </c>
      <c r="Y2175">
        <v>1125</v>
      </c>
      <c r="Z2175">
        <v>1125</v>
      </c>
      <c r="AA2175" t="str">
        <f t="shared" si="597"/>
        <v>06/08/2016</v>
      </c>
    </row>
    <row r="2176" spans="1:27" x14ac:dyDescent="0.3">
      <c r="A2176" t="str">
        <f t="shared" si="594"/>
        <v>048314</v>
      </c>
      <c r="B2176" t="str">
        <f t="shared" si="600"/>
        <v>070417</v>
      </c>
      <c r="C2176" t="s">
        <v>2616</v>
      </c>
      <c r="D2176" t="s">
        <v>3839</v>
      </c>
      <c r="E2176" t="s">
        <v>3840</v>
      </c>
      <c r="F2176" t="s">
        <v>3841</v>
      </c>
      <c r="G2176" t="s">
        <v>3842</v>
      </c>
      <c r="H2176" t="str">
        <f t="shared" si="603"/>
        <v>048314</v>
      </c>
      <c r="I2176" t="s">
        <v>833</v>
      </c>
      <c r="J2176" t="str">
        <f t="shared" si="602"/>
        <v>2015-07-01 00:00:00.0</v>
      </c>
      <c r="K2176" t="s">
        <v>834</v>
      </c>
      <c r="L2176" t="s">
        <v>0</v>
      </c>
      <c r="M2176" t="str">
        <f t="shared" si="599"/>
        <v>048314</v>
      </c>
      <c r="N2176">
        <v>1</v>
      </c>
      <c r="O2176">
        <v>1</v>
      </c>
      <c r="P2176" t="str">
        <f>"06"</f>
        <v>06</v>
      </c>
      <c r="Q2176" t="s">
        <v>835</v>
      </c>
      <c r="S2176" t="s">
        <v>836</v>
      </c>
      <c r="T2176" t="s">
        <v>836</v>
      </c>
      <c r="U2176" t="str">
        <f t="shared" si="601"/>
        <v>2500-12-31 00:00:00.0</v>
      </c>
      <c r="V2176" t="s">
        <v>837</v>
      </c>
      <c r="W2176" t="str">
        <f>"048314-070417-**-**"</f>
        <v>048314-070417-**-**</v>
      </c>
      <c r="X2176" t="s">
        <v>838</v>
      </c>
      <c r="Y2176">
        <v>1125</v>
      </c>
      <c r="Z2176">
        <v>1125</v>
      </c>
      <c r="AA2176" t="str">
        <f t="shared" si="597"/>
        <v>06/08/2016</v>
      </c>
    </row>
    <row r="2177" spans="1:27" x14ac:dyDescent="0.3">
      <c r="A2177" t="str">
        <f t="shared" si="594"/>
        <v>048314</v>
      </c>
      <c r="B2177" t="str">
        <f t="shared" si="600"/>
        <v>070417</v>
      </c>
      <c r="C2177" t="s">
        <v>1853</v>
      </c>
      <c r="D2177" t="s">
        <v>3839</v>
      </c>
      <c r="E2177" t="s">
        <v>3840</v>
      </c>
      <c r="F2177" t="s">
        <v>3841</v>
      </c>
      <c r="G2177" t="s">
        <v>3842</v>
      </c>
      <c r="H2177" t="str">
        <f t="shared" si="603"/>
        <v>048314</v>
      </c>
      <c r="I2177" t="s">
        <v>833</v>
      </c>
      <c r="J2177" t="str">
        <f t="shared" si="602"/>
        <v>2015-07-01 00:00:00.0</v>
      </c>
      <c r="K2177" t="s">
        <v>834</v>
      </c>
      <c r="L2177" t="s">
        <v>0</v>
      </c>
      <c r="M2177" t="str">
        <f t="shared" si="599"/>
        <v>048314</v>
      </c>
      <c r="N2177">
        <v>1</v>
      </c>
      <c r="O2177">
        <v>1</v>
      </c>
      <c r="P2177" t="str">
        <f>"09"</f>
        <v>09</v>
      </c>
      <c r="Q2177" t="s">
        <v>835</v>
      </c>
      <c r="S2177" t="s">
        <v>836</v>
      </c>
      <c r="T2177" t="s">
        <v>836</v>
      </c>
      <c r="U2177" t="str">
        <f t="shared" si="601"/>
        <v>2500-12-31 00:00:00.0</v>
      </c>
      <c r="V2177" t="s">
        <v>837</v>
      </c>
      <c r="W2177" t="str">
        <f>"048314-004796-**-**"</f>
        <v>048314-004796-**-**</v>
      </c>
      <c r="X2177" t="s">
        <v>838</v>
      </c>
      <c r="Y2177">
        <v>1254.5</v>
      </c>
      <c r="Z2177">
        <v>1254.5</v>
      </c>
      <c r="AA2177" t="str">
        <f t="shared" si="597"/>
        <v>06/08/2016</v>
      </c>
    </row>
    <row r="2178" spans="1:27" x14ac:dyDescent="0.3">
      <c r="A2178" t="str">
        <f t="shared" ref="A2178:A2241" si="604">"048314"</f>
        <v>048314</v>
      </c>
      <c r="B2178" t="str">
        <f t="shared" si="600"/>
        <v>070417</v>
      </c>
      <c r="C2178" t="s">
        <v>2554</v>
      </c>
      <c r="D2178" t="s">
        <v>3839</v>
      </c>
      <c r="E2178" t="s">
        <v>3840</v>
      </c>
      <c r="F2178" t="s">
        <v>3841</v>
      </c>
      <c r="G2178" t="s">
        <v>3842</v>
      </c>
      <c r="H2178" t="str">
        <f t="shared" si="603"/>
        <v>048314</v>
      </c>
      <c r="I2178" t="s">
        <v>833</v>
      </c>
      <c r="J2178" t="str">
        <f t="shared" si="602"/>
        <v>2015-07-01 00:00:00.0</v>
      </c>
      <c r="K2178" t="s">
        <v>834</v>
      </c>
      <c r="L2178" t="s">
        <v>0</v>
      </c>
      <c r="M2178" t="str">
        <f t="shared" si="599"/>
        <v>048314</v>
      </c>
      <c r="N2178">
        <v>1</v>
      </c>
      <c r="O2178">
        <v>1</v>
      </c>
      <c r="P2178" t="str">
        <f>"09"</f>
        <v>09</v>
      </c>
      <c r="Q2178" t="str">
        <f>"10"</f>
        <v>10</v>
      </c>
      <c r="R2178" t="str">
        <f>"2"</f>
        <v>2</v>
      </c>
      <c r="S2178" t="s">
        <v>860</v>
      </c>
      <c r="T2178" t="s">
        <v>836</v>
      </c>
      <c r="U2178" t="str">
        <f t="shared" si="601"/>
        <v>2500-12-31 00:00:00.0</v>
      </c>
      <c r="V2178" t="s">
        <v>837</v>
      </c>
      <c r="W2178" t="str">
        <f>"048314-004796-**-**"</f>
        <v>048314-004796-**-**</v>
      </c>
      <c r="X2178" t="s">
        <v>838</v>
      </c>
      <c r="Y2178">
        <v>1254.5</v>
      </c>
      <c r="Z2178">
        <v>1254.5</v>
      </c>
      <c r="AA2178" t="str">
        <f t="shared" si="597"/>
        <v>06/08/2016</v>
      </c>
    </row>
    <row r="2179" spans="1:27" x14ac:dyDescent="0.3">
      <c r="A2179" t="str">
        <f t="shared" si="604"/>
        <v>048314</v>
      </c>
      <c r="B2179" t="str">
        <f t="shared" si="600"/>
        <v>070417</v>
      </c>
      <c r="C2179" t="s">
        <v>1854</v>
      </c>
      <c r="D2179" t="s">
        <v>3839</v>
      </c>
      <c r="E2179" t="s">
        <v>3840</v>
      </c>
      <c r="F2179" t="s">
        <v>3841</v>
      </c>
      <c r="G2179" t="s">
        <v>3842</v>
      </c>
      <c r="H2179" t="str">
        <f t="shared" si="603"/>
        <v>048314</v>
      </c>
      <c r="I2179" t="s">
        <v>833</v>
      </c>
      <c r="J2179" t="str">
        <f t="shared" si="602"/>
        <v>2015-07-01 00:00:00.0</v>
      </c>
      <c r="K2179" t="s">
        <v>834</v>
      </c>
      <c r="L2179" t="s">
        <v>0</v>
      </c>
      <c r="M2179" t="str">
        <f t="shared" si="599"/>
        <v>048314</v>
      </c>
      <c r="N2179">
        <v>1</v>
      </c>
      <c r="O2179">
        <v>1</v>
      </c>
      <c r="P2179" t="str">
        <f>"09"</f>
        <v>09</v>
      </c>
      <c r="Q2179" t="s">
        <v>835</v>
      </c>
      <c r="S2179" t="s">
        <v>836</v>
      </c>
      <c r="T2179" t="s">
        <v>836</v>
      </c>
      <c r="U2179" t="str">
        <f t="shared" si="601"/>
        <v>2500-12-31 00:00:00.0</v>
      </c>
      <c r="V2179" t="s">
        <v>837</v>
      </c>
      <c r="W2179" t="str">
        <f>"048314-004796-**-**"</f>
        <v>048314-004796-**-**</v>
      </c>
      <c r="X2179" t="s">
        <v>838</v>
      </c>
      <c r="Y2179">
        <v>1254.5</v>
      </c>
      <c r="Z2179">
        <v>1254.5</v>
      </c>
      <c r="AA2179" t="str">
        <f t="shared" si="597"/>
        <v>06/08/2016</v>
      </c>
    </row>
    <row r="2180" spans="1:27" x14ac:dyDescent="0.3">
      <c r="A2180" t="str">
        <f t="shared" si="604"/>
        <v>048314</v>
      </c>
      <c r="B2180" t="str">
        <f t="shared" si="600"/>
        <v>070417</v>
      </c>
      <c r="C2180" t="s">
        <v>2331</v>
      </c>
      <c r="D2180" t="s">
        <v>3839</v>
      </c>
      <c r="E2180" t="s">
        <v>3840</v>
      </c>
      <c r="F2180" t="s">
        <v>3841</v>
      </c>
      <c r="G2180" t="s">
        <v>3842</v>
      </c>
      <c r="H2180" t="str">
        <f t="shared" si="603"/>
        <v>048314</v>
      </c>
      <c r="I2180" t="s">
        <v>833</v>
      </c>
      <c r="J2180" t="str">
        <f>"2015-12-04 00:00:00.0"</f>
        <v>2015-12-04 00:00:00.0</v>
      </c>
      <c r="K2180" t="s">
        <v>834</v>
      </c>
      <c r="L2180" t="s">
        <v>0</v>
      </c>
      <c r="M2180" t="str">
        <f t="shared" si="599"/>
        <v>048314</v>
      </c>
      <c r="N2180">
        <v>0.64444400000000002</v>
      </c>
      <c r="O2180">
        <v>0.64444400000000002</v>
      </c>
      <c r="P2180" t="str">
        <f>"07"</f>
        <v>07</v>
      </c>
      <c r="Q2180" t="s">
        <v>835</v>
      </c>
      <c r="S2180" t="s">
        <v>860</v>
      </c>
      <c r="T2180" t="s">
        <v>836</v>
      </c>
      <c r="U2180" t="str">
        <f t="shared" si="601"/>
        <v>2500-12-31 00:00:00.0</v>
      </c>
      <c r="V2180" t="s">
        <v>837</v>
      </c>
      <c r="W2180" t="str">
        <f>"048314-070417-**-**"</f>
        <v>048314-070417-**-**</v>
      </c>
      <c r="X2180" t="s">
        <v>838</v>
      </c>
      <c r="Y2180">
        <v>725</v>
      </c>
      <c r="Z2180">
        <v>1125</v>
      </c>
      <c r="AA2180" t="str">
        <f t="shared" si="597"/>
        <v>06/08/2016</v>
      </c>
    </row>
    <row r="2181" spans="1:27" x14ac:dyDescent="0.3">
      <c r="A2181" t="str">
        <f t="shared" si="604"/>
        <v>048314</v>
      </c>
      <c r="B2181" t="str">
        <f t="shared" si="600"/>
        <v>070417</v>
      </c>
      <c r="C2181" t="s">
        <v>2331</v>
      </c>
      <c r="D2181" t="s">
        <v>3839</v>
      </c>
      <c r="E2181" t="s">
        <v>3840</v>
      </c>
      <c r="F2181" t="s">
        <v>3841</v>
      </c>
      <c r="G2181" t="s">
        <v>3842</v>
      </c>
      <c r="H2181" t="str">
        <f t="shared" si="603"/>
        <v>048314</v>
      </c>
      <c r="I2181" t="s">
        <v>833</v>
      </c>
      <c r="J2181" t="str">
        <f t="shared" ref="J2181:J2201" si="605">"2015-07-01 00:00:00.0"</f>
        <v>2015-07-01 00:00:00.0</v>
      </c>
      <c r="K2181" t="s">
        <v>834</v>
      </c>
      <c r="L2181" t="s">
        <v>0</v>
      </c>
      <c r="M2181" t="str">
        <f t="shared" si="599"/>
        <v>048314</v>
      </c>
      <c r="N2181">
        <v>0.35555599999999998</v>
      </c>
      <c r="O2181">
        <v>0.35555599999999998</v>
      </c>
      <c r="P2181" t="str">
        <f>"07"</f>
        <v>07</v>
      </c>
      <c r="Q2181" t="s">
        <v>835</v>
      </c>
      <c r="S2181" t="s">
        <v>836</v>
      </c>
      <c r="T2181" t="s">
        <v>836</v>
      </c>
      <c r="U2181" t="str">
        <f>"2015-12-03 00:00:00.0"</f>
        <v>2015-12-03 00:00:00.0</v>
      </c>
      <c r="V2181" t="s">
        <v>837</v>
      </c>
      <c r="W2181" t="str">
        <f>"048314-070417-**-**"</f>
        <v>048314-070417-**-**</v>
      </c>
      <c r="X2181" t="s">
        <v>838</v>
      </c>
      <c r="Y2181">
        <v>400</v>
      </c>
      <c r="Z2181">
        <v>1125</v>
      </c>
      <c r="AA2181" t="str">
        <f t="shared" ref="AA2181:AA2244" si="606">"06/08/2016"</f>
        <v>06/08/2016</v>
      </c>
    </row>
    <row r="2182" spans="1:27" x14ac:dyDescent="0.3">
      <c r="A2182" t="str">
        <f t="shared" si="604"/>
        <v>048314</v>
      </c>
      <c r="B2182" t="str">
        <f t="shared" si="600"/>
        <v>070417</v>
      </c>
      <c r="C2182" t="s">
        <v>2170</v>
      </c>
      <c r="D2182" t="s">
        <v>3839</v>
      </c>
      <c r="E2182" t="s">
        <v>3840</v>
      </c>
      <c r="F2182" t="s">
        <v>3841</v>
      </c>
      <c r="G2182" t="s">
        <v>3842</v>
      </c>
      <c r="H2182" t="str">
        <f t="shared" si="603"/>
        <v>048314</v>
      </c>
      <c r="I2182" t="s">
        <v>833</v>
      </c>
      <c r="J2182" t="str">
        <f t="shared" si="605"/>
        <v>2015-07-01 00:00:00.0</v>
      </c>
      <c r="K2182" t="s">
        <v>834</v>
      </c>
      <c r="L2182" t="s">
        <v>0</v>
      </c>
      <c r="M2182" t="str">
        <f t="shared" si="599"/>
        <v>048314</v>
      </c>
      <c r="N2182">
        <v>1</v>
      </c>
      <c r="O2182">
        <v>1</v>
      </c>
      <c r="P2182" t="str">
        <f>"09"</f>
        <v>09</v>
      </c>
      <c r="Q2182" t="s">
        <v>835</v>
      </c>
      <c r="S2182" t="s">
        <v>836</v>
      </c>
      <c r="T2182" t="s">
        <v>836</v>
      </c>
      <c r="U2182" t="str">
        <f t="shared" ref="U2182:U2202" si="607">"2500-12-31 00:00:00.0"</f>
        <v>2500-12-31 00:00:00.0</v>
      </c>
      <c r="V2182" t="s">
        <v>837</v>
      </c>
      <c r="W2182" t="str">
        <f>"048314-004796-**-**"</f>
        <v>048314-004796-**-**</v>
      </c>
      <c r="X2182" t="s">
        <v>838</v>
      </c>
      <c r="Y2182">
        <v>1254.5</v>
      </c>
      <c r="Z2182">
        <v>1254.5</v>
      </c>
      <c r="AA2182" t="str">
        <f t="shared" si="606"/>
        <v>06/08/2016</v>
      </c>
    </row>
    <row r="2183" spans="1:27" x14ac:dyDescent="0.3">
      <c r="A2183" t="str">
        <f t="shared" si="604"/>
        <v>048314</v>
      </c>
      <c r="B2183" t="str">
        <f t="shared" si="600"/>
        <v>070417</v>
      </c>
      <c r="C2183" t="s">
        <v>1843</v>
      </c>
      <c r="D2183" t="s">
        <v>3839</v>
      </c>
      <c r="E2183" t="s">
        <v>3840</v>
      </c>
      <c r="F2183" t="s">
        <v>3841</v>
      </c>
      <c r="G2183" t="s">
        <v>3842</v>
      </c>
      <c r="H2183" t="str">
        <f t="shared" si="603"/>
        <v>048314</v>
      </c>
      <c r="I2183" t="s">
        <v>833</v>
      </c>
      <c r="J2183" t="str">
        <f t="shared" si="605"/>
        <v>2015-07-01 00:00:00.0</v>
      </c>
      <c r="K2183" t="s">
        <v>834</v>
      </c>
      <c r="L2183" t="s">
        <v>0</v>
      </c>
      <c r="M2183" t="str">
        <f t="shared" si="599"/>
        <v>048314</v>
      </c>
      <c r="N2183">
        <v>1</v>
      </c>
      <c r="O2183">
        <v>1</v>
      </c>
      <c r="P2183" t="str">
        <f>"09"</f>
        <v>09</v>
      </c>
      <c r="Q2183" t="s">
        <v>835</v>
      </c>
      <c r="S2183" t="s">
        <v>836</v>
      </c>
      <c r="T2183" t="s">
        <v>836</v>
      </c>
      <c r="U2183" t="str">
        <f t="shared" si="607"/>
        <v>2500-12-31 00:00:00.0</v>
      </c>
      <c r="V2183" t="s">
        <v>837</v>
      </c>
      <c r="W2183" t="str">
        <f>"048314-004796-**-**"</f>
        <v>048314-004796-**-**</v>
      </c>
      <c r="X2183" t="s">
        <v>838</v>
      </c>
      <c r="Y2183">
        <v>1254.5</v>
      </c>
      <c r="Z2183">
        <v>1254.5</v>
      </c>
      <c r="AA2183" t="str">
        <f t="shared" si="606"/>
        <v>06/08/2016</v>
      </c>
    </row>
    <row r="2184" spans="1:27" x14ac:dyDescent="0.3">
      <c r="A2184" t="str">
        <f t="shared" si="604"/>
        <v>048314</v>
      </c>
      <c r="B2184" t="str">
        <f t="shared" si="600"/>
        <v>070417</v>
      </c>
      <c r="C2184" t="s">
        <v>2617</v>
      </c>
      <c r="D2184" t="s">
        <v>3839</v>
      </c>
      <c r="E2184" t="s">
        <v>3840</v>
      </c>
      <c r="F2184" t="s">
        <v>3841</v>
      </c>
      <c r="G2184" t="s">
        <v>3842</v>
      </c>
      <c r="H2184" t="str">
        <f t="shared" si="603"/>
        <v>048314</v>
      </c>
      <c r="I2184" t="s">
        <v>833</v>
      </c>
      <c r="J2184" t="str">
        <f t="shared" si="605"/>
        <v>2015-07-01 00:00:00.0</v>
      </c>
      <c r="K2184" t="s">
        <v>834</v>
      </c>
      <c r="L2184" t="s">
        <v>0</v>
      </c>
      <c r="M2184" t="str">
        <f t="shared" si="599"/>
        <v>048314</v>
      </c>
      <c r="N2184">
        <v>1</v>
      </c>
      <c r="O2184">
        <v>1</v>
      </c>
      <c r="P2184" t="str">
        <f>"06"</f>
        <v>06</v>
      </c>
      <c r="Q2184" t="s">
        <v>835</v>
      </c>
      <c r="S2184" t="s">
        <v>836</v>
      </c>
      <c r="T2184" t="s">
        <v>836</v>
      </c>
      <c r="U2184" t="str">
        <f t="shared" si="607"/>
        <v>2500-12-31 00:00:00.0</v>
      </c>
      <c r="V2184" t="s">
        <v>837</v>
      </c>
      <c r="W2184" t="str">
        <f>"048314-070417-**-**"</f>
        <v>048314-070417-**-**</v>
      </c>
      <c r="X2184" t="s">
        <v>838</v>
      </c>
      <c r="Y2184">
        <v>1125</v>
      </c>
      <c r="Z2184">
        <v>1125</v>
      </c>
      <c r="AA2184" t="str">
        <f t="shared" si="606"/>
        <v>06/08/2016</v>
      </c>
    </row>
    <row r="2185" spans="1:27" x14ac:dyDescent="0.3">
      <c r="A2185" t="str">
        <f t="shared" si="604"/>
        <v>048314</v>
      </c>
      <c r="B2185" t="str">
        <f t="shared" si="600"/>
        <v>070417</v>
      </c>
      <c r="C2185" t="s">
        <v>2056</v>
      </c>
      <c r="D2185" t="s">
        <v>3839</v>
      </c>
      <c r="E2185" t="s">
        <v>3840</v>
      </c>
      <c r="F2185" t="s">
        <v>3841</v>
      </c>
      <c r="G2185" t="s">
        <v>3842</v>
      </c>
      <c r="H2185" t="str">
        <f t="shared" si="603"/>
        <v>048314</v>
      </c>
      <c r="I2185" t="s">
        <v>833</v>
      </c>
      <c r="J2185" t="str">
        <f t="shared" si="605"/>
        <v>2015-07-01 00:00:00.0</v>
      </c>
      <c r="K2185" t="s">
        <v>834</v>
      </c>
      <c r="L2185" t="s">
        <v>0</v>
      </c>
      <c r="M2185" t="str">
        <f t="shared" si="599"/>
        <v>048314</v>
      </c>
      <c r="N2185">
        <v>1</v>
      </c>
      <c r="O2185">
        <v>1</v>
      </c>
      <c r="P2185" t="str">
        <f>"06"</f>
        <v>06</v>
      </c>
      <c r="Q2185" t="str">
        <f>"10"</f>
        <v>10</v>
      </c>
      <c r="R2185" t="str">
        <f>"2"</f>
        <v>2</v>
      </c>
      <c r="S2185" t="s">
        <v>860</v>
      </c>
      <c r="T2185" t="s">
        <v>836</v>
      </c>
      <c r="U2185" t="str">
        <f t="shared" si="607"/>
        <v>2500-12-31 00:00:00.0</v>
      </c>
      <c r="V2185" t="s">
        <v>837</v>
      </c>
      <c r="W2185" t="str">
        <f>"048314-070417-**-**"</f>
        <v>048314-070417-**-**</v>
      </c>
      <c r="X2185" t="s">
        <v>838</v>
      </c>
      <c r="Y2185">
        <v>1125</v>
      </c>
      <c r="Z2185">
        <v>1125</v>
      </c>
      <c r="AA2185" t="str">
        <f t="shared" si="606"/>
        <v>06/08/2016</v>
      </c>
    </row>
    <row r="2186" spans="1:27" x14ac:dyDescent="0.3">
      <c r="A2186" t="str">
        <f t="shared" si="604"/>
        <v>048314</v>
      </c>
      <c r="B2186" t="str">
        <f t="shared" si="600"/>
        <v>070417</v>
      </c>
      <c r="C2186" t="s">
        <v>2397</v>
      </c>
      <c r="D2186" t="s">
        <v>3839</v>
      </c>
      <c r="E2186" t="s">
        <v>3840</v>
      </c>
      <c r="F2186" t="s">
        <v>3841</v>
      </c>
      <c r="G2186" t="s">
        <v>3842</v>
      </c>
      <c r="H2186" t="str">
        <f t="shared" si="603"/>
        <v>048314</v>
      </c>
      <c r="I2186" t="s">
        <v>833</v>
      </c>
      <c r="J2186" t="str">
        <f t="shared" si="605"/>
        <v>2015-07-01 00:00:00.0</v>
      </c>
      <c r="K2186" t="s">
        <v>834</v>
      </c>
      <c r="L2186" t="s">
        <v>0</v>
      </c>
      <c r="M2186" t="str">
        <f t="shared" si="599"/>
        <v>048314</v>
      </c>
      <c r="N2186">
        <v>1</v>
      </c>
      <c r="O2186">
        <v>1</v>
      </c>
      <c r="P2186" t="str">
        <f>"08"</f>
        <v>08</v>
      </c>
      <c r="Q2186" t="s">
        <v>835</v>
      </c>
      <c r="S2186" t="s">
        <v>836</v>
      </c>
      <c r="T2186" t="s">
        <v>836</v>
      </c>
      <c r="U2186" t="str">
        <f t="shared" si="607"/>
        <v>2500-12-31 00:00:00.0</v>
      </c>
      <c r="V2186" t="s">
        <v>837</v>
      </c>
      <c r="W2186" t="str">
        <f>"048314-070417-**-**"</f>
        <v>048314-070417-**-**</v>
      </c>
      <c r="X2186" t="s">
        <v>838</v>
      </c>
      <c r="Y2186">
        <v>1125</v>
      </c>
      <c r="Z2186">
        <v>1125</v>
      </c>
      <c r="AA2186" t="str">
        <f t="shared" si="606"/>
        <v>06/08/2016</v>
      </c>
    </row>
    <row r="2187" spans="1:27" x14ac:dyDescent="0.3">
      <c r="A2187" t="str">
        <f t="shared" si="604"/>
        <v>048314</v>
      </c>
      <c r="B2187" t="str">
        <f t="shared" si="600"/>
        <v>070417</v>
      </c>
      <c r="C2187" t="s">
        <v>2249</v>
      </c>
      <c r="D2187" t="s">
        <v>3839</v>
      </c>
      <c r="E2187" t="s">
        <v>3840</v>
      </c>
      <c r="F2187" t="s">
        <v>3841</v>
      </c>
      <c r="G2187" t="s">
        <v>3842</v>
      </c>
      <c r="H2187" t="str">
        <f t="shared" si="603"/>
        <v>048314</v>
      </c>
      <c r="I2187" t="s">
        <v>833</v>
      </c>
      <c r="J2187" t="str">
        <f t="shared" si="605"/>
        <v>2015-07-01 00:00:00.0</v>
      </c>
      <c r="K2187" t="s">
        <v>834</v>
      </c>
      <c r="L2187" t="s">
        <v>0</v>
      </c>
      <c r="M2187" t="str">
        <f t="shared" si="599"/>
        <v>048314</v>
      </c>
      <c r="N2187">
        <v>1</v>
      </c>
      <c r="O2187">
        <v>1</v>
      </c>
      <c r="P2187" t="str">
        <f>"09"</f>
        <v>09</v>
      </c>
      <c r="Q2187" t="s">
        <v>835</v>
      </c>
      <c r="S2187" t="s">
        <v>836</v>
      </c>
      <c r="T2187" t="s">
        <v>836</v>
      </c>
      <c r="U2187" t="str">
        <f t="shared" si="607"/>
        <v>2500-12-31 00:00:00.0</v>
      </c>
      <c r="V2187" t="s">
        <v>837</v>
      </c>
      <c r="W2187" t="str">
        <f>"048314-004796-**-**"</f>
        <v>048314-004796-**-**</v>
      </c>
      <c r="X2187" t="s">
        <v>838</v>
      </c>
      <c r="Y2187">
        <v>1254.5</v>
      </c>
      <c r="Z2187">
        <v>1254.5</v>
      </c>
      <c r="AA2187" t="str">
        <f t="shared" si="606"/>
        <v>06/08/2016</v>
      </c>
    </row>
    <row r="2188" spans="1:27" x14ac:dyDescent="0.3">
      <c r="A2188" t="str">
        <f t="shared" si="604"/>
        <v>048314</v>
      </c>
      <c r="B2188" t="str">
        <f t="shared" si="600"/>
        <v>070417</v>
      </c>
      <c r="C2188" t="s">
        <v>2779</v>
      </c>
      <c r="D2188" t="s">
        <v>3839</v>
      </c>
      <c r="E2188" t="s">
        <v>3840</v>
      </c>
      <c r="F2188" t="s">
        <v>3841</v>
      </c>
      <c r="G2188" t="s">
        <v>3842</v>
      </c>
      <c r="H2188" t="str">
        <f t="shared" si="603"/>
        <v>048314</v>
      </c>
      <c r="I2188" t="s">
        <v>833</v>
      </c>
      <c r="J2188" t="str">
        <f t="shared" si="605"/>
        <v>2015-07-01 00:00:00.0</v>
      </c>
      <c r="K2188" t="s">
        <v>834</v>
      </c>
      <c r="L2188" t="s">
        <v>0</v>
      </c>
      <c r="M2188" t="str">
        <f t="shared" si="599"/>
        <v>048314</v>
      </c>
      <c r="N2188">
        <v>1</v>
      </c>
      <c r="O2188">
        <v>1</v>
      </c>
      <c r="P2188" t="str">
        <f>"06"</f>
        <v>06</v>
      </c>
      <c r="Q2188" t="s">
        <v>835</v>
      </c>
      <c r="S2188" t="s">
        <v>860</v>
      </c>
      <c r="T2188" t="s">
        <v>836</v>
      </c>
      <c r="U2188" t="str">
        <f t="shared" si="607"/>
        <v>2500-12-31 00:00:00.0</v>
      </c>
      <c r="V2188" t="s">
        <v>837</v>
      </c>
      <c r="W2188" t="str">
        <f t="shared" ref="W2188:W2195" si="608">"048314-070417-**-**"</f>
        <v>048314-070417-**-**</v>
      </c>
      <c r="X2188" t="s">
        <v>838</v>
      </c>
      <c r="Y2188">
        <v>1125</v>
      </c>
      <c r="Z2188">
        <v>1125</v>
      </c>
      <c r="AA2188" t="str">
        <f t="shared" si="606"/>
        <v>06/08/2016</v>
      </c>
    </row>
    <row r="2189" spans="1:27" x14ac:dyDescent="0.3">
      <c r="A2189" t="str">
        <f t="shared" si="604"/>
        <v>048314</v>
      </c>
      <c r="B2189" t="str">
        <f t="shared" si="600"/>
        <v>070417</v>
      </c>
      <c r="C2189" t="s">
        <v>3747</v>
      </c>
      <c r="D2189" t="s">
        <v>3839</v>
      </c>
      <c r="E2189" t="s">
        <v>3840</v>
      </c>
      <c r="F2189" t="s">
        <v>3841</v>
      </c>
      <c r="G2189" t="s">
        <v>3842</v>
      </c>
      <c r="H2189" t="str">
        <f t="shared" si="603"/>
        <v>048314</v>
      </c>
      <c r="I2189" t="s">
        <v>833</v>
      </c>
      <c r="J2189" t="str">
        <f t="shared" si="605"/>
        <v>2015-07-01 00:00:00.0</v>
      </c>
      <c r="K2189" t="s">
        <v>834</v>
      </c>
      <c r="L2189" t="s">
        <v>0</v>
      </c>
      <c r="M2189" t="str">
        <f t="shared" si="599"/>
        <v>048314</v>
      </c>
      <c r="N2189">
        <v>1</v>
      </c>
      <c r="O2189">
        <v>1</v>
      </c>
      <c r="P2189" t="str">
        <f>"07"</f>
        <v>07</v>
      </c>
      <c r="Q2189" t="s">
        <v>835</v>
      </c>
      <c r="S2189" t="s">
        <v>836</v>
      </c>
      <c r="T2189" t="s">
        <v>836</v>
      </c>
      <c r="U2189" t="str">
        <f t="shared" si="607"/>
        <v>2500-12-31 00:00:00.0</v>
      </c>
      <c r="V2189" t="s">
        <v>837</v>
      </c>
      <c r="W2189" t="str">
        <f t="shared" si="608"/>
        <v>048314-070417-**-**</v>
      </c>
      <c r="X2189" t="s">
        <v>838</v>
      </c>
      <c r="Y2189">
        <v>1125</v>
      </c>
      <c r="Z2189">
        <v>1125</v>
      </c>
      <c r="AA2189" t="str">
        <f t="shared" si="606"/>
        <v>06/08/2016</v>
      </c>
    </row>
    <row r="2190" spans="1:27" x14ac:dyDescent="0.3">
      <c r="A2190" t="str">
        <f t="shared" si="604"/>
        <v>048314</v>
      </c>
      <c r="B2190" t="str">
        <f t="shared" si="600"/>
        <v>070417</v>
      </c>
      <c r="C2190" t="s">
        <v>2398</v>
      </c>
      <c r="D2190" t="s">
        <v>3839</v>
      </c>
      <c r="E2190" t="s">
        <v>3840</v>
      </c>
      <c r="F2190" t="s">
        <v>3841</v>
      </c>
      <c r="G2190" t="s">
        <v>3842</v>
      </c>
      <c r="H2190" t="str">
        <f t="shared" si="603"/>
        <v>048314</v>
      </c>
      <c r="I2190" t="s">
        <v>833</v>
      </c>
      <c r="J2190" t="str">
        <f t="shared" si="605"/>
        <v>2015-07-01 00:00:00.0</v>
      </c>
      <c r="K2190" t="s">
        <v>834</v>
      </c>
      <c r="L2190" t="s">
        <v>0</v>
      </c>
      <c r="M2190" t="str">
        <f t="shared" si="599"/>
        <v>048314</v>
      </c>
      <c r="N2190">
        <v>1</v>
      </c>
      <c r="O2190">
        <v>1</v>
      </c>
      <c r="P2190" t="str">
        <f>"08"</f>
        <v>08</v>
      </c>
      <c r="Q2190" t="s">
        <v>835</v>
      </c>
      <c r="S2190" t="s">
        <v>836</v>
      </c>
      <c r="T2190" t="s">
        <v>836</v>
      </c>
      <c r="U2190" t="str">
        <f t="shared" si="607"/>
        <v>2500-12-31 00:00:00.0</v>
      </c>
      <c r="V2190" t="s">
        <v>837</v>
      </c>
      <c r="W2190" t="str">
        <f t="shared" si="608"/>
        <v>048314-070417-**-**</v>
      </c>
      <c r="X2190" t="s">
        <v>838</v>
      </c>
      <c r="Y2190">
        <v>1125</v>
      </c>
      <c r="Z2190">
        <v>1125</v>
      </c>
      <c r="AA2190" t="str">
        <f t="shared" si="606"/>
        <v>06/08/2016</v>
      </c>
    </row>
    <row r="2191" spans="1:27" x14ac:dyDescent="0.3">
      <c r="A2191" t="str">
        <f t="shared" si="604"/>
        <v>048314</v>
      </c>
      <c r="B2191" t="str">
        <f t="shared" si="600"/>
        <v>070417</v>
      </c>
      <c r="C2191" t="s">
        <v>2507</v>
      </c>
      <c r="D2191" t="s">
        <v>3839</v>
      </c>
      <c r="E2191" t="s">
        <v>3840</v>
      </c>
      <c r="F2191" t="s">
        <v>3841</v>
      </c>
      <c r="G2191" t="s">
        <v>3842</v>
      </c>
      <c r="H2191" t="str">
        <f t="shared" si="603"/>
        <v>048314</v>
      </c>
      <c r="I2191" t="s">
        <v>833</v>
      </c>
      <c r="J2191" t="str">
        <f t="shared" si="605"/>
        <v>2015-07-01 00:00:00.0</v>
      </c>
      <c r="K2191" t="s">
        <v>834</v>
      </c>
      <c r="L2191" t="s">
        <v>0</v>
      </c>
      <c r="M2191" t="str">
        <f t="shared" si="599"/>
        <v>048314</v>
      </c>
      <c r="N2191">
        <v>1</v>
      </c>
      <c r="O2191">
        <v>1</v>
      </c>
      <c r="P2191" t="str">
        <f>"08"</f>
        <v>08</v>
      </c>
      <c r="Q2191" t="s">
        <v>835</v>
      </c>
      <c r="S2191" t="s">
        <v>836</v>
      </c>
      <c r="T2191" t="s">
        <v>836</v>
      </c>
      <c r="U2191" t="str">
        <f t="shared" si="607"/>
        <v>2500-12-31 00:00:00.0</v>
      </c>
      <c r="V2191" t="s">
        <v>837</v>
      </c>
      <c r="W2191" t="str">
        <f t="shared" si="608"/>
        <v>048314-070417-**-**</v>
      </c>
      <c r="X2191" t="s">
        <v>838</v>
      </c>
      <c r="Y2191">
        <v>1125</v>
      </c>
      <c r="Z2191">
        <v>1125</v>
      </c>
      <c r="AA2191" t="str">
        <f t="shared" si="606"/>
        <v>06/08/2016</v>
      </c>
    </row>
    <row r="2192" spans="1:27" x14ac:dyDescent="0.3">
      <c r="A2192" t="str">
        <f t="shared" si="604"/>
        <v>048314</v>
      </c>
      <c r="B2192" t="str">
        <f t="shared" si="600"/>
        <v>070417</v>
      </c>
      <c r="C2192" t="s">
        <v>2399</v>
      </c>
      <c r="D2192" t="s">
        <v>3839</v>
      </c>
      <c r="E2192" t="s">
        <v>3840</v>
      </c>
      <c r="F2192" t="s">
        <v>3841</v>
      </c>
      <c r="G2192" t="s">
        <v>3842</v>
      </c>
      <c r="H2192" t="str">
        <f t="shared" si="603"/>
        <v>048314</v>
      </c>
      <c r="I2192" t="s">
        <v>833</v>
      </c>
      <c r="J2192" t="str">
        <f t="shared" si="605"/>
        <v>2015-07-01 00:00:00.0</v>
      </c>
      <c r="K2192" t="s">
        <v>834</v>
      </c>
      <c r="L2192" t="s">
        <v>0</v>
      </c>
      <c r="M2192" t="str">
        <f t="shared" si="599"/>
        <v>048314</v>
      </c>
      <c r="N2192">
        <v>1</v>
      </c>
      <c r="O2192">
        <v>1</v>
      </c>
      <c r="P2192" t="str">
        <f>"07"</f>
        <v>07</v>
      </c>
      <c r="Q2192" t="s">
        <v>835</v>
      </c>
      <c r="S2192" t="s">
        <v>836</v>
      </c>
      <c r="T2192" t="s">
        <v>836</v>
      </c>
      <c r="U2192" t="str">
        <f t="shared" si="607"/>
        <v>2500-12-31 00:00:00.0</v>
      </c>
      <c r="V2192" t="s">
        <v>837</v>
      </c>
      <c r="W2192" t="str">
        <f t="shared" si="608"/>
        <v>048314-070417-**-**</v>
      </c>
      <c r="X2192" t="s">
        <v>838</v>
      </c>
      <c r="Y2192">
        <v>1125</v>
      </c>
      <c r="Z2192">
        <v>1125</v>
      </c>
      <c r="AA2192" t="str">
        <f t="shared" si="606"/>
        <v>06/08/2016</v>
      </c>
    </row>
    <row r="2193" spans="1:27" x14ac:dyDescent="0.3">
      <c r="A2193" t="str">
        <f t="shared" si="604"/>
        <v>048314</v>
      </c>
      <c r="B2193" t="str">
        <f t="shared" si="600"/>
        <v>070417</v>
      </c>
      <c r="C2193" t="s">
        <v>2618</v>
      </c>
      <c r="D2193" t="s">
        <v>3839</v>
      </c>
      <c r="E2193" t="s">
        <v>3840</v>
      </c>
      <c r="F2193" t="s">
        <v>3841</v>
      </c>
      <c r="G2193" t="s">
        <v>3842</v>
      </c>
      <c r="H2193" t="str">
        <f t="shared" si="603"/>
        <v>048314</v>
      </c>
      <c r="I2193" t="s">
        <v>833</v>
      </c>
      <c r="J2193" t="str">
        <f t="shared" si="605"/>
        <v>2015-07-01 00:00:00.0</v>
      </c>
      <c r="K2193" t="s">
        <v>834</v>
      </c>
      <c r="L2193" t="s">
        <v>0</v>
      </c>
      <c r="M2193" t="str">
        <f t="shared" si="599"/>
        <v>048314</v>
      </c>
      <c r="N2193">
        <v>1</v>
      </c>
      <c r="O2193">
        <v>1</v>
      </c>
      <c r="P2193" t="str">
        <f>"07"</f>
        <v>07</v>
      </c>
      <c r="Q2193" t="s">
        <v>835</v>
      </c>
      <c r="S2193" t="s">
        <v>836</v>
      </c>
      <c r="T2193" t="s">
        <v>836</v>
      </c>
      <c r="U2193" t="str">
        <f t="shared" si="607"/>
        <v>2500-12-31 00:00:00.0</v>
      </c>
      <c r="V2193" t="s">
        <v>837</v>
      </c>
      <c r="W2193" t="str">
        <f t="shared" si="608"/>
        <v>048314-070417-**-**</v>
      </c>
      <c r="X2193" t="s">
        <v>838</v>
      </c>
      <c r="Y2193">
        <v>1125</v>
      </c>
      <c r="Z2193">
        <v>1125</v>
      </c>
      <c r="AA2193" t="str">
        <f t="shared" si="606"/>
        <v>06/08/2016</v>
      </c>
    </row>
    <row r="2194" spans="1:27" x14ac:dyDescent="0.3">
      <c r="A2194" t="str">
        <f t="shared" si="604"/>
        <v>048314</v>
      </c>
      <c r="B2194" t="str">
        <f t="shared" si="600"/>
        <v>070417</v>
      </c>
      <c r="C2194" t="s">
        <v>3483</v>
      </c>
      <c r="D2194" t="s">
        <v>3839</v>
      </c>
      <c r="E2194" t="s">
        <v>3840</v>
      </c>
      <c r="F2194" t="s">
        <v>3841</v>
      </c>
      <c r="G2194" t="s">
        <v>3842</v>
      </c>
      <c r="H2194" t="str">
        <f t="shared" si="603"/>
        <v>048314</v>
      </c>
      <c r="I2194" t="s">
        <v>833</v>
      </c>
      <c r="J2194" t="str">
        <f t="shared" si="605"/>
        <v>2015-07-01 00:00:00.0</v>
      </c>
      <c r="K2194" t="s">
        <v>834</v>
      </c>
      <c r="L2194" t="s">
        <v>0</v>
      </c>
      <c r="M2194" t="str">
        <f t="shared" si="599"/>
        <v>048314</v>
      </c>
      <c r="N2194">
        <v>1</v>
      </c>
      <c r="O2194">
        <v>1</v>
      </c>
      <c r="P2194" t="str">
        <f>"07"</f>
        <v>07</v>
      </c>
      <c r="Q2194" t="s">
        <v>835</v>
      </c>
      <c r="S2194" t="s">
        <v>836</v>
      </c>
      <c r="T2194" t="s">
        <v>836</v>
      </c>
      <c r="U2194" t="str">
        <f t="shared" si="607"/>
        <v>2500-12-31 00:00:00.0</v>
      </c>
      <c r="V2194" t="s">
        <v>837</v>
      </c>
      <c r="W2194" t="str">
        <f t="shared" si="608"/>
        <v>048314-070417-**-**</v>
      </c>
      <c r="X2194" t="s">
        <v>838</v>
      </c>
      <c r="Y2194">
        <v>1125</v>
      </c>
      <c r="Z2194">
        <v>1125</v>
      </c>
      <c r="AA2194" t="str">
        <f t="shared" si="606"/>
        <v>06/08/2016</v>
      </c>
    </row>
    <row r="2195" spans="1:27" x14ac:dyDescent="0.3">
      <c r="A2195" t="str">
        <f t="shared" si="604"/>
        <v>048314</v>
      </c>
      <c r="B2195" t="str">
        <f t="shared" si="600"/>
        <v>070417</v>
      </c>
      <c r="C2195" t="s">
        <v>2831</v>
      </c>
      <c r="D2195" t="s">
        <v>3839</v>
      </c>
      <c r="E2195" t="s">
        <v>3840</v>
      </c>
      <c r="F2195" t="s">
        <v>3841</v>
      </c>
      <c r="G2195" t="s">
        <v>3842</v>
      </c>
      <c r="H2195" t="str">
        <f t="shared" si="603"/>
        <v>048314</v>
      </c>
      <c r="I2195" t="s">
        <v>833</v>
      </c>
      <c r="J2195" t="str">
        <f t="shared" si="605"/>
        <v>2015-07-01 00:00:00.0</v>
      </c>
      <c r="K2195" t="s">
        <v>834</v>
      </c>
      <c r="L2195" t="s">
        <v>0</v>
      </c>
      <c r="M2195" t="str">
        <f t="shared" si="599"/>
        <v>048314</v>
      </c>
      <c r="N2195">
        <v>1</v>
      </c>
      <c r="O2195">
        <v>1</v>
      </c>
      <c r="P2195" t="str">
        <f>"06"</f>
        <v>06</v>
      </c>
      <c r="Q2195" t="s">
        <v>835</v>
      </c>
      <c r="S2195" t="s">
        <v>836</v>
      </c>
      <c r="T2195" t="s">
        <v>836</v>
      </c>
      <c r="U2195" t="str">
        <f t="shared" si="607"/>
        <v>2500-12-31 00:00:00.0</v>
      </c>
      <c r="V2195" t="s">
        <v>837</v>
      </c>
      <c r="W2195" t="str">
        <f t="shared" si="608"/>
        <v>048314-070417-**-**</v>
      </c>
      <c r="X2195" t="s">
        <v>838</v>
      </c>
      <c r="Y2195">
        <v>1125</v>
      </c>
      <c r="Z2195">
        <v>1125</v>
      </c>
      <c r="AA2195" t="str">
        <f t="shared" si="606"/>
        <v>06/08/2016</v>
      </c>
    </row>
    <row r="2196" spans="1:27" x14ac:dyDescent="0.3">
      <c r="A2196" t="str">
        <f t="shared" si="604"/>
        <v>048314</v>
      </c>
      <c r="B2196" t="str">
        <f t="shared" si="600"/>
        <v>070417</v>
      </c>
      <c r="C2196" t="s">
        <v>1824</v>
      </c>
      <c r="D2196" t="s">
        <v>3839</v>
      </c>
      <c r="E2196" t="s">
        <v>3840</v>
      </c>
      <c r="F2196" t="s">
        <v>3841</v>
      </c>
      <c r="G2196" t="s">
        <v>3842</v>
      </c>
      <c r="H2196" t="str">
        <f t="shared" si="603"/>
        <v>048314</v>
      </c>
      <c r="I2196" t="s">
        <v>833</v>
      </c>
      <c r="J2196" t="str">
        <f t="shared" si="605"/>
        <v>2015-07-01 00:00:00.0</v>
      </c>
      <c r="K2196" t="s">
        <v>834</v>
      </c>
      <c r="L2196" t="s">
        <v>0</v>
      </c>
      <c r="M2196" t="str">
        <f t="shared" si="599"/>
        <v>048314</v>
      </c>
      <c r="N2196">
        <v>1</v>
      </c>
      <c r="O2196">
        <v>1</v>
      </c>
      <c r="P2196" t="str">
        <f>"09"</f>
        <v>09</v>
      </c>
      <c r="Q2196" t="s">
        <v>835</v>
      </c>
      <c r="S2196" t="s">
        <v>836</v>
      </c>
      <c r="T2196" t="s">
        <v>836</v>
      </c>
      <c r="U2196" t="str">
        <f t="shared" si="607"/>
        <v>2500-12-31 00:00:00.0</v>
      </c>
      <c r="V2196" t="s">
        <v>837</v>
      </c>
      <c r="W2196" t="str">
        <f>"048314-004796-**-**"</f>
        <v>048314-004796-**-**</v>
      </c>
      <c r="X2196" t="s">
        <v>838</v>
      </c>
      <c r="Y2196">
        <v>1254.5</v>
      </c>
      <c r="Z2196">
        <v>1254.5</v>
      </c>
      <c r="AA2196" t="str">
        <f t="shared" si="606"/>
        <v>06/08/2016</v>
      </c>
    </row>
    <row r="2197" spans="1:27" x14ac:dyDescent="0.3">
      <c r="A2197" t="str">
        <f t="shared" si="604"/>
        <v>048314</v>
      </c>
      <c r="B2197" t="str">
        <f t="shared" si="600"/>
        <v>070417</v>
      </c>
      <c r="C2197" t="s">
        <v>2400</v>
      </c>
      <c r="D2197" t="s">
        <v>3839</v>
      </c>
      <c r="E2197" t="s">
        <v>3840</v>
      </c>
      <c r="F2197" t="s">
        <v>3841</v>
      </c>
      <c r="G2197" t="s">
        <v>3842</v>
      </c>
      <c r="H2197" t="str">
        <f t="shared" si="603"/>
        <v>048314</v>
      </c>
      <c r="I2197" t="s">
        <v>833</v>
      </c>
      <c r="J2197" t="str">
        <f t="shared" si="605"/>
        <v>2015-07-01 00:00:00.0</v>
      </c>
      <c r="K2197" t="s">
        <v>834</v>
      </c>
      <c r="L2197" t="s">
        <v>0</v>
      </c>
      <c r="M2197" t="str">
        <f t="shared" si="599"/>
        <v>048314</v>
      </c>
      <c r="N2197">
        <v>1</v>
      </c>
      <c r="O2197">
        <v>1</v>
      </c>
      <c r="P2197" t="str">
        <f>"07"</f>
        <v>07</v>
      </c>
      <c r="Q2197" t="s">
        <v>835</v>
      </c>
      <c r="S2197" t="s">
        <v>836</v>
      </c>
      <c r="T2197" t="s">
        <v>836</v>
      </c>
      <c r="U2197" t="str">
        <f t="shared" si="607"/>
        <v>2500-12-31 00:00:00.0</v>
      </c>
      <c r="V2197" t="s">
        <v>837</v>
      </c>
      <c r="W2197" t="str">
        <f>"048314-070417-**-**"</f>
        <v>048314-070417-**-**</v>
      </c>
      <c r="X2197" t="s">
        <v>838</v>
      </c>
      <c r="Y2197">
        <v>1125</v>
      </c>
      <c r="Z2197">
        <v>1125</v>
      </c>
      <c r="AA2197" t="str">
        <f t="shared" si="606"/>
        <v>06/08/2016</v>
      </c>
    </row>
    <row r="2198" spans="1:27" x14ac:dyDescent="0.3">
      <c r="A2198" t="str">
        <f t="shared" si="604"/>
        <v>048314</v>
      </c>
      <c r="B2198" t="str">
        <f t="shared" si="600"/>
        <v>070417</v>
      </c>
      <c r="C2198" t="s">
        <v>2332</v>
      </c>
      <c r="D2198" t="s">
        <v>3839</v>
      </c>
      <c r="E2198" t="s">
        <v>3840</v>
      </c>
      <c r="F2198" t="s">
        <v>3841</v>
      </c>
      <c r="G2198" t="s">
        <v>3842</v>
      </c>
      <c r="H2198" t="str">
        <f t="shared" si="603"/>
        <v>048314</v>
      </c>
      <c r="I2198" t="s">
        <v>833</v>
      </c>
      <c r="J2198" t="str">
        <f t="shared" si="605"/>
        <v>2015-07-01 00:00:00.0</v>
      </c>
      <c r="K2198" t="s">
        <v>834</v>
      </c>
      <c r="L2198" t="s">
        <v>0</v>
      </c>
      <c r="M2198" t="str">
        <f t="shared" si="599"/>
        <v>048314</v>
      </c>
      <c r="N2198">
        <v>1</v>
      </c>
      <c r="O2198">
        <v>1</v>
      </c>
      <c r="P2198" t="str">
        <f>"07"</f>
        <v>07</v>
      </c>
      <c r="Q2198" t="s">
        <v>835</v>
      </c>
      <c r="S2198" t="s">
        <v>836</v>
      </c>
      <c r="T2198" t="s">
        <v>836</v>
      </c>
      <c r="U2198" t="str">
        <f t="shared" si="607"/>
        <v>2500-12-31 00:00:00.0</v>
      </c>
      <c r="V2198" t="s">
        <v>837</v>
      </c>
      <c r="W2198" t="str">
        <f>"048314-070417-**-**"</f>
        <v>048314-070417-**-**</v>
      </c>
      <c r="X2198" t="s">
        <v>838</v>
      </c>
      <c r="Y2198">
        <v>1125</v>
      </c>
      <c r="Z2198">
        <v>1125</v>
      </c>
      <c r="AA2198" t="str">
        <f t="shared" si="606"/>
        <v>06/08/2016</v>
      </c>
    </row>
    <row r="2199" spans="1:27" x14ac:dyDescent="0.3">
      <c r="A2199" t="str">
        <f t="shared" si="604"/>
        <v>048314</v>
      </c>
      <c r="B2199" t="str">
        <f t="shared" si="600"/>
        <v>070417</v>
      </c>
      <c r="C2199" t="s">
        <v>1855</v>
      </c>
      <c r="D2199" t="s">
        <v>3839</v>
      </c>
      <c r="E2199" t="s">
        <v>3840</v>
      </c>
      <c r="F2199" t="s">
        <v>3841</v>
      </c>
      <c r="G2199" t="s">
        <v>3842</v>
      </c>
      <c r="H2199" t="str">
        <f t="shared" si="603"/>
        <v>048314</v>
      </c>
      <c r="I2199" t="s">
        <v>833</v>
      </c>
      <c r="J2199" t="str">
        <f t="shared" si="605"/>
        <v>2015-07-01 00:00:00.0</v>
      </c>
      <c r="K2199" t="s">
        <v>834</v>
      </c>
      <c r="L2199" t="s">
        <v>0</v>
      </c>
      <c r="M2199" t="str">
        <f t="shared" si="599"/>
        <v>048314</v>
      </c>
      <c r="N2199">
        <v>1</v>
      </c>
      <c r="O2199">
        <v>1</v>
      </c>
      <c r="P2199" t="str">
        <f>"09"</f>
        <v>09</v>
      </c>
      <c r="Q2199" t="s">
        <v>835</v>
      </c>
      <c r="S2199" t="s">
        <v>836</v>
      </c>
      <c r="T2199" t="s">
        <v>836</v>
      </c>
      <c r="U2199" t="str">
        <f t="shared" si="607"/>
        <v>2500-12-31 00:00:00.0</v>
      </c>
      <c r="V2199" t="s">
        <v>837</v>
      </c>
      <c r="W2199" t="str">
        <f>"048314-004796-**-**"</f>
        <v>048314-004796-**-**</v>
      </c>
      <c r="X2199" t="s">
        <v>838</v>
      </c>
      <c r="Y2199">
        <v>1254.5</v>
      </c>
      <c r="Z2199">
        <v>1254.5</v>
      </c>
      <c r="AA2199" t="str">
        <f t="shared" si="606"/>
        <v>06/08/2016</v>
      </c>
    </row>
    <row r="2200" spans="1:27" x14ac:dyDescent="0.3">
      <c r="A2200" t="str">
        <f t="shared" si="604"/>
        <v>048314</v>
      </c>
      <c r="B2200" t="str">
        <f t="shared" si="600"/>
        <v>070417</v>
      </c>
      <c r="C2200" t="s">
        <v>2083</v>
      </c>
      <c r="D2200" t="s">
        <v>3839</v>
      </c>
      <c r="E2200" t="s">
        <v>3840</v>
      </c>
      <c r="F2200" t="s">
        <v>3841</v>
      </c>
      <c r="G2200" t="s">
        <v>3842</v>
      </c>
      <c r="H2200" t="str">
        <f t="shared" si="603"/>
        <v>048314</v>
      </c>
      <c r="I2200" t="s">
        <v>833</v>
      </c>
      <c r="J2200" t="str">
        <f t="shared" si="605"/>
        <v>2015-07-01 00:00:00.0</v>
      </c>
      <c r="K2200" t="s">
        <v>834</v>
      </c>
      <c r="L2200" t="s">
        <v>0</v>
      </c>
      <c r="M2200" t="str">
        <f t="shared" si="599"/>
        <v>048314</v>
      </c>
      <c r="N2200">
        <v>1</v>
      </c>
      <c r="O2200">
        <v>1</v>
      </c>
      <c r="P2200" t="str">
        <f>"08"</f>
        <v>08</v>
      </c>
      <c r="Q2200" t="s">
        <v>835</v>
      </c>
      <c r="S2200" t="s">
        <v>836</v>
      </c>
      <c r="T2200" t="s">
        <v>836</v>
      </c>
      <c r="U2200" t="str">
        <f t="shared" si="607"/>
        <v>2500-12-31 00:00:00.0</v>
      </c>
      <c r="V2200" t="s">
        <v>837</v>
      </c>
      <c r="W2200" t="str">
        <f>"048314-070417-**-**"</f>
        <v>048314-070417-**-**</v>
      </c>
      <c r="X2200" t="s">
        <v>838</v>
      </c>
      <c r="Y2200">
        <v>1125</v>
      </c>
      <c r="Z2200">
        <v>1125</v>
      </c>
      <c r="AA2200" t="str">
        <f t="shared" si="606"/>
        <v>06/08/2016</v>
      </c>
    </row>
    <row r="2201" spans="1:27" x14ac:dyDescent="0.3">
      <c r="A2201" t="str">
        <f t="shared" si="604"/>
        <v>048314</v>
      </c>
      <c r="B2201" t="str">
        <f t="shared" si="600"/>
        <v>070417</v>
      </c>
      <c r="C2201" t="s">
        <v>3391</v>
      </c>
      <c r="D2201" t="s">
        <v>3839</v>
      </c>
      <c r="E2201" t="s">
        <v>3840</v>
      </c>
      <c r="F2201" t="s">
        <v>3841</v>
      </c>
      <c r="G2201" t="s">
        <v>3842</v>
      </c>
      <c r="H2201" t="str">
        <f t="shared" si="603"/>
        <v>048314</v>
      </c>
      <c r="I2201" t="s">
        <v>833</v>
      </c>
      <c r="J2201" t="str">
        <f t="shared" si="605"/>
        <v>2015-07-01 00:00:00.0</v>
      </c>
      <c r="K2201" t="s">
        <v>834</v>
      </c>
      <c r="L2201" t="s">
        <v>0</v>
      </c>
      <c r="M2201" t="str">
        <f t="shared" ref="M2201:M2264" si="609">"048314"</f>
        <v>048314</v>
      </c>
      <c r="N2201">
        <v>1</v>
      </c>
      <c r="O2201">
        <v>1</v>
      </c>
      <c r="P2201" t="str">
        <f>"08"</f>
        <v>08</v>
      </c>
      <c r="Q2201" t="s">
        <v>835</v>
      </c>
      <c r="S2201" t="s">
        <v>836</v>
      </c>
      <c r="T2201" t="s">
        <v>836</v>
      </c>
      <c r="U2201" t="str">
        <f t="shared" si="607"/>
        <v>2500-12-31 00:00:00.0</v>
      </c>
      <c r="V2201" t="s">
        <v>837</v>
      </c>
      <c r="W2201" t="str">
        <f>"048314-070417-**-**"</f>
        <v>048314-070417-**-**</v>
      </c>
      <c r="X2201" t="s">
        <v>838</v>
      </c>
      <c r="Y2201">
        <v>1125</v>
      </c>
      <c r="Z2201">
        <v>1125</v>
      </c>
      <c r="AA2201" t="str">
        <f t="shared" si="606"/>
        <v>06/08/2016</v>
      </c>
    </row>
    <row r="2202" spans="1:27" x14ac:dyDescent="0.3">
      <c r="A2202" t="str">
        <f t="shared" si="604"/>
        <v>048314</v>
      </c>
      <c r="B2202" t="str">
        <f t="shared" si="600"/>
        <v>070417</v>
      </c>
      <c r="C2202" t="s">
        <v>3441</v>
      </c>
      <c r="D2202" t="s">
        <v>3839</v>
      </c>
      <c r="E2202" t="s">
        <v>3840</v>
      </c>
      <c r="F2202" t="s">
        <v>3841</v>
      </c>
      <c r="G2202" t="s">
        <v>3842</v>
      </c>
      <c r="H2202" t="str">
        <f t="shared" si="603"/>
        <v>048314</v>
      </c>
      <c r="I2202" t="s">
        <v>833</v>
      </c>
      <c r="J2202" t="str">
        <f>"2015-08-01 00:00:00.0"</f>
        <v>2015-08-01 00:00:00.0</v>
      </c>
      <c r="K2202" t="s">
        <v>834</v>
      </c>
      <c r="L2202" t="s">
        <v>0</v>
      </c>
      <c r="M2202" t="str">
        <f t="shared" si="609"/>
        <v>048314</v>
      </c>
      <c r="N2202">
        <v>1</v>
      </c>
      <c r="O2202">
        <v>1</v>
      </c>
      <c r="P2202" t="str">
        <f>"06"</f>
        <v>06</v>
      </c>
      <c r="Q2202" t="s">
        <v>835</v>
      </c>
      <c r="S2202" t="s">
        <v>836</v>
      </c>
      <c r="T2202" t="s">
        <v>836</v>
      </c>
      <c r="U2202" t="str">
        <f t="shared" si="607"/>
        <v>2500-12-31 00:00:00.0</v>
      </c>
      <c r="V2202" t="s">
        <v>837</v>
      </c>
      <c r="W2202" t="str">
        <f>"048314-070417-**-**"</f>
        <v>048314-070417-**-**</v>
      </c>
      <c r="X2202" t="s">
        <v>838</v>
      </c>
      <c r="Y2202">
        <v>1125</v>
      </c>
      <c r="Z2202">
        <v>1125</v>
      </c>
      <c r="AA2202" t="str">
        <f t="shared" si="606"/>
        <v>06/08/2016</v>
      </c>
    </row>
    <row r="2203" spans="1:27" x14ac:dyDescent="0.3">
      <c r="A2203" t="str">
        <f t="shared" si="604"/>
        <v>048314</v>
      </c>
      <c r="B2203" t="str">
        <f t="shared" si="600"/>
        <v>070417</v>
      </c>
      <c r="C2203" t="s">
        <v>1856</v>
      </c>
      <c r="D2203" t="s">
        <v>3839</v>
      </c>
      <c r="E2203" t="s">
        <v>3840</v>
      </c>
      <c r="F2203" t="s">
        <v>3841</v>
      </c>
      <c r="G2203" t="s">
        <v>3842</v>
      </c>
      <c r="H2203" t="str">
        <f t="shared" si="603"/>
        <v>048314</v>
      </c>
      <c r="I2203" t="s">
        <v>833</v>
      </c>
      <c r="J2203" t="str">
        <f>"2015-08-31 00:00:00.0"</f>
        <v>2015-08-31 00:00:00.0</v>
      </c>
      <c r="K2203" t="s">
        <v>834</v>
      </c>
      <c r="L2203" t="s">
        <v>0</v>
      </c>
      <c r="M2203" t="str">
        <f t="shared" si="609"/>
        <v>048314</v>
      </c>
      <c r="N2203">
        <v>0.46632099999999999</v>
      </c>
      <c r="O2203">
        <v>0.46632099999999999</v>
      </c>
      <c r="P2203" t="str">
        <f>"09"</f>
        <v>09</v>
      </c>
      <c r="Q2203" t="str">
        <f>"10"</f>
        <v>10</v>
      </c>
      <c r="R2203" t="str">
        <f>"2"</f>
        <v>2</v>
      </c>
      <c r="S2203" t="s">
        <v>836</v>
      </c>
      <c r="T2203" t="s">
        <v>836</v>
      </c>
      <c r="U2203" t="str">
        <f>"2016-01-08 00:00:00.0"</f>
        <v>2016-01-08 00:00:00.0</v>
      </c>
      <c r="V2203" t="s">
        <v>837</v>
      </c>
      <c r="W2203" t="str">
        <f>"048314-004796-**-**"</f>
        <v>048314-004796-**-**</v>
      </c>
      <c r="X2203" t="s">
        <v>838</v>
      </c>
      <c r="Y2203">
        <v>585</v>
      </c>
      <c r="Z2203">
        <v>1254.5</v>
      </c>
      <c r="AA2203" t="str">
        <f t="shared" si="606"/>
        <v>06/08/2016</v>
      </c>
    </row>
    <row r="2204" spans="1:27" x14ac:dyDescent="0.3">
      <c r="A2204" t="str">
        <f t="shared" si="604"/>
        <v>048314</v>
      </c>
      <c r="B2204" t="str">
        <f t="shared" si="600"/>
        <v>070417</v>
      </c>
      <c r="C2204" t="s">
        <v>2401</v>
      </c>
      <c r="D2204" t="s">
        <v>3839</v>
      </c>
      <c r="E2204" t="s">
        <v>3840</v>
      </c>
      <c r="F2204" t="s">
        <v>3841</v>
      </c>
      <c r="G2204" t="s">
        <v>3842</v>
      </c>
      <c r="H2204" t="str">
        <f t="shared" si="603"/>
        <v>048314</v>
      </c>
      <c r="I2204" t="s">
        <v>833</v>
      </c>
      <c r="J2204" t="str">
        <f t="shared" ref="J2204:J2225" si="610">"2015-07-01 00:00:00.0"</f>
        <v>2015-07-01 00:00:00.0</v>
      </c>
      <c r="K2204" t="s">
        <v>834</v>
      </c>
      <c r="L2204" t="s">
        <v>0</v>
      </c>
      <c r="M2204" t="str">
        <f t="shared" si="609"/>
        <v>048314</v>
      </c>
      <c r="N2204">
        <v>1</v>
      </c>
      <c r="O2204">
        <v>1</v>
      </c>
      <c r="P2204" t="str">
        <f>"08"</f>
        <v>08</v>
      </c>
      <c r="Q2204" t="s">
        <v>835</v>
      </c>
      <c r="S2204" t="s">
        <v>836</v>
      </c>
      <c r="T2204" t="s">
        <v>836</v>
      </c>
      <c r="U2204" t="str">
        <f t="shared" ref="U2204:U2236" si="611">"2500-12-31 00:00:00.0"</f>
        <v>2500-12-31 00:00:00.0</v>
      </c>
      <c r="V2204" t="s">
        <v>837</v>
      </c>
      <c r="W2204" t="str">
        <f>"048314-070417-**-**"</f>
        <v>048314-070417-**-**</v>
      </c>
      <c r="X2204" t="s">
        <v>838</v>
      </c>
      <c r="Y2204">
        <v>1125</v>
      </c>
      <c r="Z2204">
        <v>1125</v>
      </c>
      <c r="AA2204" t="str">
        <f t="shared" si="606"/>
        <v>06/08/2016</v>
      </c>
    </row>
    <row r="2205" spans="1:27" x14ac:dyDescent="0.3">
      <c r="A2205" t="str">
        <f t="shared" si="604"/>
        <v>048314</v>
      </c>
      <c r="B2205" t="str">
        <f t="shared" si="600"/>
        <v>070417</v>
      </c>
      <c r="C2205" t="s">
        <v>2051</v>
      </c>
      <c r="D2205" t="s">
        <v>3839</v>
      </c>
      <c r="E2205" t="s">
        <v>3840</v>
      </c>
      <c r="F2205" t="s">
        <v>3841</v>
      </c>
      <c r="G2205" t="s">
        <v>3842</v>
      </c>
      <c r="H2205" t="str">
        <f t="shared" si="603"/>
        <v>048314</v>
      </c>
      <c r="I2205" t="s">
        <v>833</v>
      </c>
      <c r="J2205" t="str">
        <f t="shared" si="610"/>
        <v>2015-07-01 00:00:00.0</v>
      </c>
      <c r="K2205" t="s">
        <v>834</v>
      </c>
      <c r="L2205" t="s">
        <v>0</v>
      </c>
      <c r="M2205" t="str">
        <f t="shared" si="609"/>
        <v>048314</v>
      </c>
      <c r="N2205">
        <v>1</v>
      </c>
      <c r="O2205">
        <v>1</v>
      </c>
      <c r="P2205" t="str">
        <f>"07"</f>
        <v>07</v>
      </c>
      <c r="Q2205" t="s">
        <v>835</v>
      </c>
      <c r="S2205" t="s">
        <v>836</v>
      </c>
      <c r="T2205" t="s">
        <v>836</v>
      </c>
      <c r="U2205" t="str">
        <f t="shared" si="611"/>
        <v>2500-12-31 00:00:00.0</v>
      </c>
      <c r="V2205" t="s">
        <v>837</v>
      </c>
      <c r="W2205" t="str">
        <f>"048314-070417-**-**"</f>
        <v>048314-070417-**-**</v>
      </c>
      <c r="X2205" t="s">
        <v>838</v>
      </c>
      <c r="Y2205">
        <v>1125</v>
      </c>
      <c r="Z2205">
        <v>1125</v>
      </c>
      <c r="AA2205" t="str">
        <f t="shared" si="606"/>
        <v>06/08/2016</v>
      </c>
    </row>
    <row r="2206" spans="1:27" x14ac:dyDescent="0.3">
      <c r="A2206" t="str">
        <f t="shared" si="604"/>
        <v>048314</v>
      </c>
      <c r="B2206" t="str">
        <f t="shared" si="600"/>
        <v>070417</v>
      </c>
      <c r="C2206" t="s">
        <v>2402</v>
      </c>
      <c r="D2206" t="s">
        <v>3839</v>
      </c>
      <c r="E2206" t="s">
        <v>3840</v>
      </c>
      <c r="F2206" t="s">
        <v>3841</v>
      </c>
      <c r="G2206" t="s">
        <v>3842</v>
      </c>
      <c r="H2206" t="str">
        <f t="shared" si="603"/>
        <v>048314</v>
      </c>
      <c r="I2206" t="s">
        <v>833</v>
      </c>
      <c r="J2206" t="str">
        <f t="shared" si="610"/>
        <v>2015-07-01 00:00:00.0</v>
      </c>
      <c r="K2206" t="s">
        <v>834</v>
      </c>
      <c r="L2206" t="s">
        <v>0</v>
      </c>
      <c r="M2206" t="str">
        <f t="shared" si="609"/>
        <v>048314</v>
      </c>
      <c r="N2206">
        <v>1</v>
      </c>
      <c r="O2206">
        <v>1</v>
      </c>
      <c r="P2206" t="str">
        <f>"07"</f>
        <v>07</v>
      </c>
      <c r="Q2206" t="s">
        <v>835</v>
      </c>
      <c r="S2206" t="s">
        <v>836</v>
      </c>
      <c r="T2206" t="s">
        <v>836</v>
      </c>
      <c r="U2206" t="str">
        <f t="shared" si="611"/>
        <v>2500-12-31 00:00:00.0</v>
      </c>
      <c r="V2206" t="s">
        <v>837</v>
      </c>
      <c r="W2206" t="str">
        <f>"048314-070417-**-**"</f>
        <v>048314-070417-**-**</v>
      </c>
      <c r="X2206" t="s">
        <v>838</v>
      </c>
      <c r="Y2206">
        <v>1125</v>
      </c>
      <c r="Z2206">
        <v>1125</v>
      </c>
      <c r="AA2206" t="str">
        <f t="shared" si="606"/>
        <v>06/08/2016</v>
      </c>
    </row>
    <row r="2207" spans="1:27" x14ac:dyDescent="0.3">
      <c r="A2207" t="str">
        <f t="shared" si="604"/>
        <v>048314</v>
      </c>
      <c r="B2207" t="str">
        <f t="shared" si="600"/>
        <v>070417</v>
      </c>
      <c r="C2207" t="s">
        <v>1924</v>
      </c>
      <c r="D2207" t="s">
        <v>3839</v>
      </c>
      <c r="E2207" t="s">
        <v>3840</v>
      </c>
      <c r="F2207" t="s">
        <v>3841</v>
      </c>
      <c r="G2207" t="s">
        <v>3842</v>
      </c>
      <c r="H2207" t="str">
        <f t="shared" si="603"/>
        <v>048314</v>
      </c>
      <c r="I2207" t="s">
        <v>833</v>
      </c>
      <c r="J2207" t="str">
        <f t="shared" si="610"/>
        <v>2015-07-01 00:00:00.0</v>
      </c>
      <c r="K2207" t="s">
        <v>834</v>
      </c>
      <c r="L2207" t="s">
        <v>0</v>
      </c>
      <c r="M2207" t="str">
        <f t="shared" si="609"/>
        <v>048314</v>
      </c>
      <c r="N2207">
        <v>1</v>
      </c>
      <c r="O2207">
        <v>1</v>
      </c>
      <c r="P2207" t="str">
        <f>"09"</f>
        <v>09</v>
      </c>
      <c r="Q2207" t="s">
        <v>835</v>
      </c>
      <c r="S2207" t="s">
        <v>836</v>
      </c>
      <c r="T2207" t="s">
        <v>836</v>
      </c>
      <c r="U2207" t="str">
        <f t="shared" si="611"/>
        <v>2500-12-31 00:00:00.0</v>
      </c>
      <c r="V2207" t="s">
        <v>837</v>
      </c>
      <c r="W2207" t="str">
        <f>"048314-004796-**-**"</f>
        <v>048314-004796-**-**</v>
      </c>
      <c r="X2207" t="s">
        <v>838</v>
      </c>
      <c r="Y2207">
        <v>1254.5</v>
      </c>
      <c r="Z2207">
        <v>1254.5</v>
      </c>
      <c r="AA2207" t="str">
        <f t="shared" si="606"/>
        <v>06/08/2016</v>
      </c>
    </row>
    <row r="2208" spans="1:27" x14ac:dyDescent="0.3">
      <c r="A2208" t="str">
        <f t="shared" si="604"/>
        <v>048314</v>
      </c>
      <c r="B2208" t="str">
        <f t="shared" si="600"/>
        <v>070417</v>
      </c>
      <c r="C2208" t="s">
        <v>2333</v>
      </c>
      <c r="D2208" t="s">
        <v>3839</v>
      </c>
      <c r="E2208" t="s">
        <v>3840</v>
      </c>
      <c r="F2208" t="s">
        <v>3841</v>
      </c>
      <c r="G2208" t="s">
        <v>3842</v>
      </c>
      <c r="H2208" t="str">
        <f t="shared" si="603"/>
        <v>048314</v>
      </c>
      <c r="I2208" t="s">
        <v>833</v>
      </c>
      <c r="J2208" t="str">
        <f t="shared" si="610"/>
        <v>2015-07-01 00:00:00.0</v>
      </c>
      <c r="K2208" t="s">
        <v>834</v>
      </c>
      <c r="L2208" t="s">
        <v>0</v>
      </c>
      <c r="M2208" t="str">
        <f t="shared" si="609"/>
        <v>048314</v>
      </c>
      <c r="N2208">
        <v>1</v>
      </c>
      <c r="O2208">
        <v>1</v>
      </c>
      <c r="P2208" t="str">
        <f>"07"</f>
        <v>07</v>
      </c>
      <c r="Q2208" t="s">
        <v>835</v>
      </c>
      <c r="S2208" t="s">
        <v>836</v>
      </c>
      <c r="T2208" t="s">
        <v>836</v>
      </c>
      <c r="U2208" t="str">
        <f t="shared" si="611"/>
        <v>2500-12-31 00:00:00.0</v>
      </c>
      <c r="V2208" t="s">
        <v>837</v>
      </c>
      <c r="W2208" t="str">
        <f t="shared" ref="W2208:W2215" si="612">"048314-070417-**-**"</f>
        <v>048314-070417-**-**</v>
      </c>
      <c r="X2208" t="s">
        <v>838</v>
      </c>
      <c r="Y2208">
        <v>1125</v>
      </c>
      <c r="Z2208">
        <v>1125</v>
      </c>
      <c r="AA2208" t="str">
        <f t="shared" si="606"/>
        <v>06/08/2016</v>
      </c>
    </row>
    <row r="2209" spans="1:27" x14ac:dyDescent="0.3">
      <c r="A2209" t="str">
        <f t="shared" si="604"/>
        <v>048314</v>
      </c>
      <c r="B2209" t="str">
        <f t="shared" si="600"/>
        <v>070417</v>
      </c>
      <c r="C2209" t="s">
        <v>2619</v>
      </c>
      <c r="D2209" t="s">
        <v>3839</v>
      </c>
      <c r="E2209" t="s">
        <v>3840</v>
      </c>
      <c r="F2209" t="s">
        <v>3841</v>
      </c>
      <c r="G2209" t="s">
        <v>3842</v>
      </c>
      <c r="H2209" t="str">
        <f t="shared" si="603"/>
        <v>048314</v>
      </c>
      <c r="I2209" t="s">
        <v>833</v>
      </c>
      <c r="J2209" t="str">
        <f t="shared" si="610"/>
        <v>2015-07-01 00:00:00.0</v>
      </c>
      <c r="K2209" t="s">
        <v>834</v>
      </c>
      <c r="L2209" t="s">
        <v>0</v>
      </c>
      <c r="M2209" t="str">
        <f t="shared" si="609"/>
        <v>048314</v>
      </c>
      <c r="N2209">
        <v>1</v>
      </c>
      <c r="O2209">
        <v>1</v>
      </c>
      <c r="P2209" t="str">
        <f>"06"</f>
        <v>06</v>
      </c>
      <c r="Q2209" t="s">
        <v>835</v>
      </c>
      <c r="S2209" t="s">
        <v>836</v>
      </c>
      <c r="T2209" t="s">
        <v>836</v>
      </c>
      <c r="U2209" t="str">
        <f t="shared" si="611"/>
        <v>2500-12-31 00:00:00.0</v>
      </c>
      <c r="V2209" t="s">
        <v>837</v>
      </c>
      <c r="W2209" t="str">
        <f t="shared" si="612"/>
        <v>048314-070417-**-**</v>
      </c>
      <c r="X2209" t="s">
        <v>838</v>
      </c>
      <c r="Y2209">
        <v>1125</v>
      </c>
      <c r="Z2209">
        <v>1125</v>
      </c>
      <c r="AA2209" t="str">
        <f t="shared" si="606"/>
        <v>06/08/2016</v>
      </c>
    </row>
    <row r="2210" spans="1:27" x14ac:dyDescent="0.3">
      <c r="A2210" t="str">
        <f t="shared" si="604"/>
        <v>048314</v>
      </c>
      <c r="B2210" t="str">
        <f t="shared" si="600"/>
        <v>070417</v>
      </c>
      <c r="C2210" t="s">
        <v>2620</v>
      </c>
      <c r="D2210" t="s">
        <v>3839</v>
      </c>
      <c r="E2210" t="s">
        <v>3840</v>
      </c>
      <c r="F2210" t="s">
        <v>3841</v>
      </c>
      <c r="G2210" t="s">
        <v>3842</v>
      </c>
      <c r="H2210" t="str">
        <f t="shared" si="603"/>
        <v>048314</v>
      </c>
      <c r="I2210" t="s">
        <v>833</v>
      </c>
      <c r="J2210" t="str">
        <f t="shared" si="610"/>
        <v>2015-07-01 00:00:00.0</v>
      </c>
      <c r="K2210" t="s">
        <v>834</v>
      </c>
      <c r="L2210" t="s">
        <v>0</v>
      </c>
      <c r="M2210" t="str">
        <f t="shared" si="609"/>
        <v>048314</v>
      </c>
      <c r="N2210">
        <v>1</v>
      </c>
      <c r="O2210">
        <v>1</v>
      </c>
      <c r="P2210" t="str">
        <f>"07"</f>
        <v>07</v>
      </c>
      <c r="Q2210" t="s">
        <v>835</v>
      </c>
      <c r="S2210" t="s">
        <v>836</v>
      </c>
      <c r="T2210" t="s">
        <v>836</v>
      </c>
      <c r="U2210" t="str">
        <f t="shared" si="611"/>
        <v>2500-12-31 00:00:00.0</v>
      </c>
      <c r="V2210" t="s">
        <v>837</v>
      </c>
      <c r="W2210" t="str">
        <f t="shared" si="612"/>
        <v>048314-070417-**-**</v>
      </c>
      <c r="X2210" t="s">
        <v>838</v>
      </c>
      <c r="Y2210">
        <v>1125</v>
      </c>
      <c r="Z2210">
        <v>1125</v>
      </c>
      <c r="AA2210" t="str">
        <f t="shared" si="606"/>
        <v>06/08/2016</v>
      </c>
    </row>
    <row r="2211" spans="1:27" x14ac:dyDescent="0.3">
      <c r="A2211" t="str">
        <f t="shared" si="604"/>
        <v>048314</v>
      </c>
      <c r="B2211" t="str">
        <f t="shared" si="600"/>
        <v>070417</v>
      </c>
      <c r="C2211" t="s">
        <v>2621</v>
      </c>
      <c r="D2211" t="s">
        <v>3839</v>
      </c>
      <c r="E2211" t="s">
        <v>3840</v>
      </c>
      <c r="F2211" t="s">
        <v>3841</v>
      </c>
      <c r="G2211" t="s">
        <v>3842</v>
      </c>
      <c r="H2211" t="str">
        <f t="shared" si="603"/>
        <v>048314</v>
      </c>
      <c r="I2211" t="s">
        <v>833</v>
      </c>
      <c r="J2211" t="str">
        <f t="shared" si="610"/>
        <v>2015-07-01 00:00:00.0</v>
      </c>
      <c r="K2211" t="s">
        <v>834</v>
      </c>
      <c r="L2211" t="s">
        <v>0</v>
      </c>
      <c r="M2211" t="str">
        <f t="shared" si="609"/>
        <v>048314</v>
      </c>
      <c r="N2211">
        <v>1</v>
      </c>
      <c r="O2211">
        <v>1</v>
      </c>
      <c r="P2211" t="str">
        <f>"07"</f>
        <v>07</v>
      </c>
      <c r="Q2211" t="s">
        <v>835</v>
      </c>
      <c r="S2211" t="s">
        <v>836</v>
      </c>
      <c r="T2211" t="s">
        <v>836</v>
      </c>
      <c r="U2211" t="str">
        <f t="shared" si="611"/>
        <v>2500-12-31 00:00:00.0</v>
      </c>
      <c r="V2211" t="s">
        <v>837</v>
      </c>
      <c r="W2211" t="str">
        <f t="shared" si="612"/>
        <v>048314-070417-**-**</v>
      </c>
      <c r="X2211" t="s">
        <v>838</v>
      </c>
      <c r="Y2211">
        <v>1125</v>
      </c>
      <c r="Z2211">
        <v>1125</v>
      </c>
      <c r="AA2211" t="str">
        <f t="shared" si="606"/>
        <v>06/08/2016</v>
      </c>
    </row>
    <row r="2212" spans="1:27" x14ac:dyDescent="0.3">
      <c r="A2212" t="str">
        <f t="shared" si="604"/>
        <v>048314</v>
      </c>
      <c r="B2212" t="str">
        <f t="shared" ref="B2212:B2275" si="613">"070417"</f>
        <v>070417</v>
      </c>
      <c r="C2212" t="s">
        <v>2196</v>
      </c>
      <c r="D2212" t="s">
        <v>3839</v>
      </c>
      <c r="E2212" t="s">
        <v>3840</v>
      </c>
      <c r="F2212" t="s">
        <v>3841</v>
      </c>
      <c r="G2212" t="s">
        <v>3842</v>
      </c>
      <c r="H2212" t="str">
        <f t="shared" si="603"/>
        <v>048314</v>
      </c>
      <c r="I2212" t="s">
        <v>833</v>
      </c>
      <c r="J2212" t="str">
        <f t="shared" si="610"/>
        <v>2015-07-01 00:00:00.0</v>
      </c>
      <c r="K2212" t="s">
        <v>834</v>
      </c>
      <c r="L2212" t="s">
        <v>0</v>
      </c>
      <c r="M2212" t="str">
        <f t="shared" si="609"/>
        <v>048314</v>
      </c>
      <c r="N2212">
        <v>1</v>
      </c>
      <c r="O2212">
        <v>1</v>
      </c>
      <c r="P2212" t="str">
        <f>"08"</f>
        <v>08</v>
      </c>
      <c r="Q2212" t="s">
        <v>835</v>
      </c>
      <c r="S2212" t="s">
        <v>836</v>
      </c>
      <c r="T2212" t="s">
        <v>836</v>
      </c>
      <c r="U2212" t="str">
        <f t="shared" si="611"/>
        <v>2500-12-31 00:00:00.0</v>
      </c>
      <c r="V2212" t="s">
        <v>837</v>
      </c>
      <c r="W2212" t="str">
        <f t="shared" si="612"/>
        <v>048314-070417-**-**</v>
      </c>
      <c r="X2212" t="s">
        <v>838</v>
      </c>
      <c r="Y2212">
        <v>1125</v>
      </c>
      <c r="Z2212">
        <v>1125</v>
      </c>
      <c r="AA2212" t="str">
        <f t="shared" si="606"/>
        <v>06/08/2016</v>
      </c>
    </row>
    <row r="2213" spans="1:27" x14ac:dyDescent="0.3">
      <c r="A2213" t="str">
        <f t="shared" si="604"/>
        <v>048314</v>
      </c>
      <c r="B2213" t="str">
        <f t="shared" si="613"/>
        <v>070417</v>
      </c>
      <c r="C2213" t="s">
        <v>2794</v>
      </c>
      <c r="D2213" t="s">
        <v>3839</v>
      </c>
      <c r="E2213" t="s">
        <v>3840</v>
      </c>
      <c r="F2213" t="s">
        <v>3841</v>
      </c>
      <c r="G2213" t="s">
        <v>3842</v>
      </c>
      <c r="H2213" t="str">
        <f t="shared" si="603"/>
        <v>048314</v>
      </c>
      <c r="I2213" t="s">
        <v>833</v>
      </c>
      <c r="J2213" t="str">
        <f t="shared" si="610"/>
        <v>2015-07-01 00:00:00.0</v>
      </c>
      <c r="K2213" t="s">
        <v>834</v>
      </c>
      <c r="L2213" t="s">
        <v>0</v>
      </c>
      <c r="M2213" t="str">
        <f t="shared" si="609"/>
        <v>048314</v>
      </c>
      <c r="N2213">
        <v>1</v>
      </c>
      <c r="O2213">
        <v>1</v>
      </c>
      <c r="P2213" t="str">
        <f>"07"</f>
        <v>07</v>
      </c>
      <c r="Q2213" t="s">
        <v>835</v>
      </c>
      <c r="S2213" t="s">
        <v>860</v>
      </c>
      <c r="T2213" t="s">
        <v>836</v>
      </c>
      <c r="U2213" t="str">
        <f t="shared" si="611"/>
        <v>2500-12-31 00:00:00.0</v>
      </c>
      <c r="V2213" t="s">
        <v>837</v>
      </c>
      <c r="W2213" t="str">
        <f t="shared" si="612"/>
        <v>048314-070417-**-**</v>
      </c>
      <c r="X2213" t="s">
        <v>838</v>
      </c>
      <c r="Y2213">
        <v>1125</v>
      </c>
      <c r="Z2213">
        <v>1125</v>
      </c>
      <c r="AA2213" t="str">
        <f t="shared" si="606"/>
        <v>06/08/2016</v>
      </c>
    </row>
    <row r="2214" spans="1:27" x14ac:dyDescent="0.3">
      <c r="A2214" t="str">
        <f t="shared" si="604"/>
        <v>048314</v>
      </c>
      <c r="B2214" t="str">
        <f t="shared" si="613"/>
        <v>070417</v>
      </c>
      <c r="C2214" t="s">
        <v>2795</v>
      </c>
      <c r="D2214" t="s">
        <v>3839</v>
      </c>
      <c r="E2214" t="s">
        <v>3840</v>
      </c>
      <c r="F2214" t="s">
        <v>3841</v>
      </c>
      <c r="G2214" t="s">
        <v>3842</v>
      </c>
      <c r="H2214" t="str">
        <f t="shared" si="603"/>
        <v>048314</v>
      </c>
      <c r="I2214" t="s">
        <v>833</v>
      </c>
      <c r="J2214" t="str">
        <f t="shared" si="610"/>
        <v>2015-07-01 00:00:00.0</v>
      </c>
      <c r="K2214" t="s">
        <v>834</v>
      </c>
      <c r="L2214" t="s">
        <v>0</v>
      </c>
      <c r="M2214" t="str">
        <f t="shared" si="609"/>
        <v>048314</v>
      </c>
      <c r="N2214">
        <v>1</v>
      </c>
      <c r="O2214">
        <v>1</v>
      </c>
      <c r="P2214" t="str">
        <f>"08"</f>
        <v>08</v>
      </c>
      <c r="Q2214" t="s">
        <v>835</v>
      </c>
      <c r="S2214" t="s">
        <v>836</v>
      </c>
      <c r="T2214" t="s">
        <v>836</v>
      </c>
      <c r="U2214" t="str">
        <f t="shared" si="611"/>
        <v>2500-12-31 00:00:00.0</v>
      </c>
      <c r="V2214" t="s">
        <v>837</v>
      </c>
      <c r="W2214" t="str">
        <f t="shared" si="612"/>
        <v>048314-070417-**-**</v>
      </c>
      <c r="X2214" t="s">
        <v>838</v>
      </c>
      <c r="Y2214">
        <v>1125</v>
      </c>
      <c r="Z2214">
        <v>1125</v>
      </c>
      <c r="AA2214" t="str">
        <f t="shared" si="606"/>
        <v>06/08/2016</v>
      </c>
    </row>
    <row r="2215" spans="1:27" x14ac:dyDescent="0.3">
      <c r="A2215" t="str">
        <f t="shared" si="604"/>
        <v>048314</v>
      </c>
      <c r="B2215" t="str">
        <f t="shared" si="613"/>
        <v>070417</v>
      </c>
      <c r="C2215" t="s">
        <v>1483</v>
      </c>
      <c r="D2215" t="s">
        <v>3839</v>
      </c>
      <c r="E2215" t="s">
        <v>3840</v>
      </c>
      <c r="F2215" t="s">
        <v>3841</v>
      </c>
      <c r="G2215" t="s">
        <v>3842</v>
      </c>
      <c r="H2215" t="str">
        <f t="shared" si="603"/>
        <v>048314</v>
      </c>
      <c r="I2215" t="s">
        <v>833</v>
      </c>
      <c r="J2215" t="str">
        <f t="shared" si="610"/>
        <v>2015-07-01 00:00:00.0</v>
      </c>
      <c r="K2215" t="s">
        <v>834</v>
      </c>
      <c r="L2215" t="s">
        <v>0</v>
      </c>
      <c r="M2215" t="str">
        <f t="shared" si="609"/>
        <v>048314</v>
      </c>
      <c r="N2215">
        <v>1</v>
      </c>
      <c r="O2215">
        <v>1</v>
      </c>
      <c r="P2215" t="str">
        <f>"07"</f>
        <v>07</v>
      </c>
      <c r="Q2215" t="s">
        <v>835</v>
      </c>
      <c r="S2215" t="s">
        <v>836</v>
      </c>
      <c r="T2215" t="s">
        <v>836</v>
      </c>
      <c r="U2215" t="str">
        <f t="shared" si="611"/>
        <v>2500-12-31 00:00:00.0</v>
      </c>
      <c r="V2215" t="s">
        <v>837</v>
      </c>
      <c r="W2215" t="str">
        <f t="shared" si="612"/>
        <v>048314-070417-**-**</v>
      </c>
      <c r="X2215" t="s">
        <v>838</v>
      </c>
      <c r="Y2215">
        <v>1125</v>
      </c>
      <c r="Z2215">
        <v>1125</v>
      </c>
      <c r="AA2215" t="str">
        <f t="shared" si="606"/>
        <v>06/08/2016</v>
      </c>
    </row>
    <row r="2216" spans="1:27" x14ac:dyDescent="0.3">
      <c r="A2216" t="str">
        <f t="shared" si="604"/>
        <v>048314</v>
      </c>
      <c r="B2216" t="str">
        <f t="shared" si="613"/>
        <v>070417</v>
      </c>
      <c r="C2216" t="s">
        <v>879</v>
      </c>
      <c r="D2216" t="s">
        <v>3839</v>
      </c>
      <c r="E2216" t="s">
        <v>3840</v>
      </c>
      <c r="F2216" t="s">
        <v>3841</v>
      </c>
      <c r="G2216" t="s">
        <v>3842</v>
      </c>
      <c r="H2216" t="str">
        <f t="shared" si="603"/>
        <v>048314</v>
      </c>
      <c r="I2216" t="s">
        <v>833</v>
      </c>
      <c r="J2216" t="str">
        <f t="shared" si="610"/>
        <v>2015-07-01 00:00:00.0</v>
      </c>
      <c r="K2216" t="s">
        <v>834</v>
      </c>
      <c r="L2216" t="s">
        <v>0</v>
      </c>
      <c r="M2216" t="str">
        <f t="shared" si="609"/>
        <v>048314</v>
      </c>
      <c r="N2216">
        <v>1</v>
      </c>
      <c r="O2216">
        <v>1</v>
      </c>
      <c r="P2216" t="str">
        <f>"09"</f>
        <v>09</v>
      </c>
      <c r="Q2216" t="s">
        <v>835</v>
      </c>
      <c r="S2216" t="s">
        <v>836</v>
      </c>
      <c r="T2216" t="s">
        <v>836</v>
      </c>
      <c r="U2216" t="str">
        <f t="shared" si="611"/>
        <v>2500-12-31 00:00:00.0</v>
      </c>
      <c r="V2216" t="s">
        <v>837</v>
      </c>
      <c r="W2216" t="str">
        <f>"048314-004796-**-**"</f>
        <v>048314-004796-**-**</v>
      </c>
      <c r="X2216" t="s">
        <v>838</v>
      </c>
      <c r="Y2216">
        <v>1254.5</v>
      </c>
      <c r="Z2216">
        <v>1254.5</v>
      </c>
      <c r="AA2216" t="str">
        <f t="shared" si="606"/>
        <v>06/08/2016</v>
      </c>
    </row>
    <row r="2217" spans="1:27" x14ac:dyDescent="0.3">
      <c r="A2217" t="str">
        <f t="shared" si="604"/>
        <v>048314</v>
      </c>
      <c r="B2217" t="str">
        <f t="shared" si="613"/>
        <v>070417</v>
      </c>
      <c r="C2217" t="s">
        <v>2832</v>
      </c>
      <c r="D2217" t="s">
        <v>3839</v>
      </c>
      <c r="E2217" t="s">
        <v>3840</v>
      </c>
      <c r="F2217" t="s">
        <v>3841</v>
      </c>
      <c r="G2217" t="s">
        <v>3842</v>
      </c>
      <c r="H2217" t="str">
        <f t="shared" si="603"/>
        <v>048314</v>
      </c>
      <c r="I2217" t="s">
        <v>833</v>
      </c>
      <c r="J2217" t="str">
        <f t="shared" si="610"/>
        <v>2015-07-01 00:00:00.0</v>
      </c>
      <c r="K2217" t="s">
        <v>834</v>
      </c>
      <c r="L2217" t="s">
        <v>0</v>
      </c>
      <c r="M2217" t="str">
        <f t="shared" si="609"/>
        <v>048314</v>
      </c>
      <c r="N2217">
        <v>1</v>
      </c>
      <c r="O2217">
        <v>1</v>
      </c>
      <c r="P2217" t="str">
        <f>"06"</f>
        <v>06</v>
      </c>
      <c r="Q2217" t="str">
        <f>"15"</f>
        <v>15</v>
      </c>
      <c r="R2217" t="str">
        <f>"2"</f>
        <v>2</v>
      </c>
      <c r="S2217" t="s">
        <v>836</v>
      </c>
      <c r="T2217" t="s">
        <v>836</v>
      </c>
      <c r="U2217" t="str">
        <f t="shared" si="611"/>
        <v>2500-12-31 00:00:00.0</v>
      </c>
      <c r="V2217" t="s">
        <v>837</v>
      </c>
      <c r="W2217" t="str">
        <f>"048314-070417-**-**"</f>
        <v>048314-070417-**-**</v>
      </c>
      <c r="X2217" t="s">
        <v>838</v>
      </c>
      <c r="Y2217">
        <v>1125</v>
      </c>
      <c r="Z2217">
        <v>1125</v>
      </c>
      <c r="AA2217" t="str">
        <f t="shared" si="606"/>
        <v>06/08/2016</v>
      </c>
    </row>
    <row r="2218" spans="1:27" x14ac:dyDescent="0.3">
      <c r="A2218" t="str">
        <f t="shared" si="604"/>
        <v>048314</v>
      </c>
      <c r="B2218" t="str">
        <f t="shared" si="613"/>
        <v>070417</v>
      </c>
      <c r="C2218" t="s">
        <v>1822</v>
      </c>
      <c r="D2218" t="s">
        <v>3839</v>
      </c>
      <c r="E2218" t="s">
        <v>3840</v>
      </c>
      <c r="F2218" t="s">
        <v>3841</v>
      </c>
      <c r="G2218" t="s">
        <v>3842</v>
      </c>
      <c r="H2218" t="str">
        <f t="shared" si="603"/>
        <v>048314</v>
      </c>
      <c r="I2218" t="s">
        <v>833</v>
      </c>
      <c r="J2218" t="str">
        <f t="shared" si="610"/>
        <v>2015-07-01 00:00:00.0</v>
      </c>
      <c r="K2218" t="s">
        <v>834</v>
      </c>
      <c r="L2218" t="s">
        <v>0</v>
      </c>
      <c r="M2218" t="str">
        <f t="shared" si="609"/>
        <v>048314</v>
      </c>
      <c r="N2218">
        <v>1</v>
      </c>
      <c r="O2218">
        <v>1</v>
      </c>
      <c r="P2218" t="str">
        <f>"07"</f>
        <v>07</v>
      </c>
      <c r="Q2218" t="str">
        <f>"15"</f>
        <v>15</v>
      </c>
      <c r="R2218" t="str">
        <f>"2"</f>
        <v>2</v>
      </c>
      <c r="S2218" t="s">
        <v>836</v>
      </c>
      <c r="T2218" t="s">
        <v>836</v>
      </c>
      <c r="U2218" t="str">
        <f t="shared" si="611"/>
        <v>2500-12-31 00:00:00.0</v>
      </c>
      <c r="V2218" t="s">
        <v>837</v>
      </c>
      <c r="W2218" t="str">
        <f>"048314-070417-**-**"</f>
        <v>048314-070417-**-**</v>
      </c>
      <c r="X2218" t="s">
        <v>838</v>
      </c>
      <c r="Y2218">
        <v>1125</v>
      </c>
      <c r="Z2218">
        <v>1125</v>
      </c>
      <c r="AA2218" t="str">
        <f t="shared" si="606"/>
        <v>06/08/2016</v>
      </c>
    </row>
    <row r="2219" spans="1:27" x14ac:dyDescent="0.3">
      <c r="A2219" t="str">
        <f t="shared" si="604"/>
        <v>048314</v>
      </c>
      <c r="B2219" t="str">
        <f t="shared" si="613"/>
        <v>070417</v>
      </c>
      <c r="C2219" t="s">
        <v>1820</v>
      </c>
      <c r="D2219" t="s">
        <v>3839</v>
      </c>
      <c r="E2219" t="s">
        <v>3840</v>
      </c>
      <c r="F2219" t="s">
        <v>3841</v>
      </c>
      <c r="G2219" t="s">
        <v>3842</v>
      </c>
      <c r="H2219" t="str">
        <f t="shared" si="603"/>
        <v>048314</v>
      </c>
      <c r="I2219" t="s">
        <v>833</v>
      </c>
      <c r="J2219" t="str">
        <f t="shared" si="610"/>
        <v>2015-07-01 00:00:00.0</v>
      </c>
      <c r="K2219" t="s">
        <v>834</v>
      </c>
      <c r="L2219" t="s">
        <v>0</v>
      </c>
      <c r="M2219" t="str">
        <f t="shared" si="609"/>
        <v>048314</v>
      </c>
      <c r="N2219">
        <v>1</v>
      </c>
      <c r="O2219">
        <v>1</v>
      </c>
      <c r="P2219" t="str">
        <f>"07"</f>
        <v>07</v>
      </c>
      <c r="Q2219" t="str">
        <f>"15"</f>
        <v>15</v>
      </c>
      <c r="R2219" t="str">
        <f>"2"</f>
        <v>2</v>
      </c>
      <c r="S2219" t="s">
        <v>836</v>
      </c>
      <c r="T2219" t="s">
        <v>836</v>
      </c>
      <c r="U2219" t="str">
        <f t="shared" si="611"/>
        <v>2500-12-31 00:00:00.0</v>
      </c>
      <c r="V2219" t="s">
        <v>837</v>
      </c>
      <c r="W2219" t="str">
        <f>"048314-070417-**-**"</f>
        <v>048314-070417-**-**</v>
      </c>
      <c r="X2219" t="s">
        <v>838</v>
      </c>
      <c r="Y2219">
        <v>1125</v>
      </c>
      <c r="Z2219">
        <v>1125</v>
      </c>
      <c r="AA2219" t="str">
        <f t="shared" si="606"/>
        <v>06/08/2016</v>
      </c>
    </row>
    <row r="2220" spans="1:27" x14ac:dyDescent="0.3">
      <c r="A2220" t="str">
        <f t="shared" si="604"/>
        <v>048314</v>
      </c>
      <c r="B2220" t="str">
        <f t="shared" si="613"/>
        <v>070417</v>
      </c>
      <c r="C2220" t="s">
        <v>1821</v>
      </c>
      <c r="D2220" t="s">
        <v>3839</v>
      </c>
      <c r="E2220" t="s">
        <v>3840</v>
      </c>
      <c r="F2220" t="s">
        <v>3841</v>
      </c>
      <c r="G2220" t="s">
        <v>3842</v>
      </c>
      <c r="H2220" t="str">
        <f t="shared" si="603"/>
        <v>048314</v>
      </c>
      <c r="I2220" t="s">
        <v>833</v>
      </c>
      <c r="J2220" t="str">
        <f t="shared" si="610"/>
        <v>2015-07-01 00:00:00.0</v>
      </c>
      <c r="K2220" t="s">
        <v>834</v>
      </c>
      <c r="L2220" t="s">
        <v>0</v>
      </c>
      <c r="M2220" t="str">
        <f t="shared" si="609"/>
        <v>048314</v>
      </c>
      <c r="N2220">
        <v>1</v>
      </c>
      <c r="O2220">
        <v>1</v>
      </c>
      <c r="P2220" t="str">
        <f>"07"</f>
        <v>07</v>
      </c>
      <c r="Q2220" t="s">
        <v>835</v>
      </c>
      <c r="S2220" t="s">
        <v>836</v>
      </c>
      <c r="T2220" t="s">
        <v>836</v>
      </c>
      <c r="U2220" t="str">
        <f t="shared" si="611"/>
        <v>2500-12-31 00:00:00.0</v>
      </c>
      <c r="V2220" t="s">
        <v>837</v>
      </c>
      <c r="W2220" t="str">
        <f>"048314-070417-**-**"</f>
        <v>048314-070417-**-**</v>
      </c>
      <c r="X2220" t="s">
        <v>838</v>
      </c>
      <c r="Y2220">
        <v>1125</v>
      </c>
      <c r="Z2220">
        <v>1125</v>
      </c>
      <c r="AA2220" t="str">
        <f t="shared" si="606"/>
        <v>06/08/2016</v>
      </c>
    </row>
    <row r="2221" spans="1:27" x14ac:dyDescent="0.3">
      <c r="A2221" t="str">
        <f t="shared" si="604"/>
        <v>048314</v>
      </c>
      <c r="B2221" t="str">
        <f t="shared" si="613"/>
        <v>070417</v>
      </c>
      <c r="C2221" t="s">
        <v>2197</v>
      </c>
      <c r="D2221" t="s">
        <v>3839</v>
      </c>
      <c r="E2221" t="s">
        <v>3840</v>
      </c>
      <c r="F2221" t="s">
        <v>3841</v>
      </c>
      <c r="G2221" t="s">
        <v>3842</v>
      </c>
      <c r="H2221" t="str">
        <f t="shared" si="603"/>
        <v>048314</v>
      </c>
      <c r="I2221" t="s">
        <v>833</v>
      </c>
      <c r="J2221" t="str">
        <f t="shared" si="610"/>
        <v>2015-07-01 00:00:00.0</v>
      </c>
      <c r="K2221" t="s">
        <v>834</v>
      </c>
      <c r="L2221" t="s">
        <v>0</v>
      </c>
      <c r="M2221" t="str">
        <f t="shared" si="609"/>
        <v>048314</v>
      </c>
      <c r="N2221">
        <v>1</v>
      </c>
      <c r="O2221">
        <v>1</v>
      </c>
      <c r="P2221" t="str">
        <f>"09"</f>
        <v>09</v>
      </c>
      <c r="Q2221" t="s">
        <v>835</v>
      </c>
      <c r="S2221" t="s">
        <v>836</v>
      </c>
      <c r="T2221" t="s">
        <v>836</v>
      </c>
      <c r="U2221" t="str">
        <f t="shared" si="611"/>
        <v>2500-12-31 00:00:00.0</v>
      </c>
      <c r="V2221" t="s">
        <v>837</v>
      </c>
      <c r="W2221" t="str">
        <f>"048314-004796-**-**"</f>
        <v>048314-004796-**-**</v>
      </c>
      <c r="X2221" t="s">
        <v>838</v>
      </c>
      <c r="Y2221">
        <v>1254.5</v>
      </c>
      <c r="Z2221">
        <v>1254.5</v>
      </c>
      <c r="AA2221" t="str">
        <f t="shared" si="606"/>
        <v>06/08/2016</v>
      </c>
    </row>
    <row r="2222" spans="1:27" x14ac:dyDescent="0.3">
      <c r="A2222" t="str">
        <f t="shared" si="604"/>
        <v>048314</v>
      </c>
      <c r="B2222" t="str">
        <f t="shared" si="613"/>
        <v>070417</v>
      </c>
      <c r="C2222" t="s">
        <v>2403</v>
      </c>
      <c r="D2222" t="s">
        <v>3839</v>
      </c>
      <c r="E2222" t="s">
        <v>3840</v>
      </c>
      <c r="F2222" t="s">
        <v>3841</v>
      </c>
      <c r="G2222" t="s">
        <v>3842</v>
      </c>
      <c r="H2222" t="str">
        <f t="shared" si="603"/>
        <v>048314</v>
      </c>
      <c r="I2222" t="s">
        <v>833</v>
      </c>
      <c r="J2222" t="str">
        <f t="shared" si="610"/>
        <v>2015-07-01 00:00:00.0</v>
      </c>
      <c r="K2222" t="s">
        <v>834</v>
      </c>
      <c r="L2222" t="s">
        <v>0</v>
      </c>
      <c r="M2222" t="str">
        <f t="shared" si="609"/>
        <v>048314</v>
      </c>
      <c r="N2222">
        <v>1</v>
      </c>
      <c r="O2222">
        <v>1</v>
      </c>
      <c r="P2222" t="str">
        <f>"08"</f>
        <v>08</v>
      </c>
      <c r="Q2222" t="s">
        <v>835</v>
      </c>
      <c r="S2222" t="s">
        <v>836</v>
      </c>
      <c r="T2222" t="s">
        <v>836</v>
      </c>
      <c r="U2222" t="str">
        <f t="shared" si="611"/>
        <v>2500-12-31 00:00:00.0</v>
      </c>
      <c r="V2222" t="s">
        <v>837</v>
      </c>
      <c r="W2222" t="str">
        <f>"048314-070417-**-**"</f>
        <v>048314-070417-**-**</v>
      </c>
      <c r="X2222" t="s">
        <v>838</v>
      </c>
      <c r="Y2222">
        <v>1125</v>
      </c>
      <c r="Z2222">
        <v>1125</v>
      </c>
      <c r="AA2222" t="str">
        <f t="shared" si="606"/>
        <v>06/08/2016</v>
      </c>
    </row>
    <row r="2223" spans="1:27" x14ac:dyDescent="0.3">
      <c r="A2223" t="str">
        <f t="shared" si="604"/>
        <v>048314</v>
      </c>
      <c r="B2223" t="str">
        <f t="shared" si="613"/>
        <v>070417</v>
      </c>
      <c r="C2223" t="s">
        <v>2198</v>
      </c>
      <c r="D2223" t="s">
        <v>3839</v>
      </c>
      <c r="E2223" t="s">
        <v>3840</v>
      </c>
      <c r="F2223" t="s">
        <v>3841</v>
      </c>
      <c r="G2223" t="s">
        <v>3842</v>
      </c>
      <c r="H2223" t="str">
        <f t="shared" si="603"/>
        <v>048314</v>
      </c>
      <c r="I2223" t="s">
        <v>833</v>
      </c>
      <c r="J2223" t="str">
        <f t="shared" si="610"/>
        <v>2015-07-01 00:00:00.0</v>
      </c>
      <c r="K2223" t="s">
        <v>834</v>
      </c>
      <c r="L2223" t="s">
        <v>0</v>
      </c>
      <c r="M2223" t="str">
        <f t="shared" si="609"/>
        <v>048314</v>
      </c>
      <c r="N2223">
        <v>1</v>
      </c>
      <c r="O2223">
        <v>1</v>
      </c>
      <c r="P2223" t="str">
        <f>"09"</f>
        <v>09</v>
      </c>
      <c r="Q2223" t="s">
        <v>835</v>
      </c>
      <c r="S2223" t="s">
        <v>836</v>
      </c>
      <c r="T2223" t="s">
        <v>836</v>
      </c>
      <c r="U2223" t="str">
        <f t="shared" si="611"/>
        <v>2500-12-31 00:00:00.0</v>
      </c>
      <c r="V2223" t="s">
        <v>837</v>
      </c>
      <c r="W2223" t="str">
        <f>"048314-004796-**-**"</f>
        <v>048314-004796-**-**</v>
      </c>
      <c r="X2223" t="s">
        <v>838</v>
      </c>
      <c r="Y2223">
        <v>1254.5</v>
      </c>
      <c r="Z2223">
        <v>1254.5</v>
      </c>
      <c r="AA2223" t="str">
        <f t="shared" si="606"/>
        <v>06/08/2016</v>
      </c>
    </row>
    <row r="2224" spans="1:27" x14ac:dyDescent="0.3">
      <c r="A2224" t="str">
        <f t="shared" si="604"/>
        <v>048314</v>
      </c>
      <c r="B2224" t="str">
        <f t="shared" si="613"/>
        <v>070417</v>
      </c>
      <c r="C2224" t="s">
        <v>2404</v>
      </c>
      <c r="D2224" t="s">
        <v>3839</v>
      </c>
      <c r="E2224" t="s">
        <v>3840</v>
      </c>
      <c r="F2224" t="s">
        <v>3841</v>
      </c>
      <c r="G2224" t="s">
        <v>3842</v>
      </c>
      <c r="H2224" t="str">
        <f t="shared" ref="H2224:H2275" si="614">"048314"</f>
        <v>048314</v>
      </c>
      <c r="I2224" t="s">
        <v>833</v>
      </c>
      <c r="J2224" t="str">
        <f t="shared" si="610"/>
        <v>2015-07-01 00:00:00.0</v>
      </c>
      <c r="K2224" t="s">
        <v>834</v>
      </c>
      <c r="L2224" t="s">
        <v>0</v>
      </c>
      <c r="M2224" t="str">
        <f t="shared" si="609"/>
        <v>048314</v>
      </c>
      <c r="N2224">
        <v>1</v>
      </c>
      <c r="O2224">
        <v>1</v>
      </c>
      <c r="P2224" t="str">
        <f>"07"</f>
        <v>07</v>
      </c>
      <c r="Q2224" t="s">
        <v>835</v>
      </c>
      <c r="S2224" t="s">
        <v>836</v>
      </c>
      <c r="T2224" t="s">
        <v>836</v>
      </c>
      <c r="U2224" t="str">
        <f t="shared" si="611"/>
        <v>2500-12-31 00:00:00.0</v>
      </c>
      <c r="V2224" t="s">
        <v>837</v>
      </c>
      <c r="W2224" t="str">
        <f t="shared" ref="W2224:W2231" si="615">"048314-070417-**-**"</f>
        <v>048314-070417-**-**</v>
      </c>
      <c r="X2224" t="s">
        <v>838</v>
      </c>
      <c r="Y2224">
        <v>1125</v>
      </c>
      <c r="Z2224">
        <v>1125</v>
      </c>
      <c r="AA2224" t="str">
        <f t="shared" si="606"/>
        <v>06/08/2016</v>
      </c>
    </row>
    <row r="2225" spans="1:27" x14ac:dyDescent="0.3">
      <c r="A2225" t="str">
        <f t="shared" si="604"/>
        <v>048314</v>
      </c>
      <c r="B2225" t="str">
        <f t="shared" si="613"/>
        <v>070417</v>
      </c>
      <c r="C2225" t="s">
        <v>2296</v>
      </c>
      <c r="D2225" t="s">
        <v>3839</v>
      </c>
      <c r="E2225" t="s">
        <v>3840</v>
      </c>
      <c r="F2225" t="s">
        <v>3841</v>
      </c>
      <c r="G2225" t="s">
        <v>3842</v>
      </c>
      <c r="H2225" t="str">
        <f t="shared" si="614"/>
        <v>048314</v>
      </c>
      <c r="I2225" t="s">
        <v>833</v>
      </c>
      <c r="J2225" t="str">
        <f t="shared" si="610"/>
        <v>2015-07-01 00:00:00.0</v>
      </c>
      <c r="K2225" t="s">
        <v>834</v>
      </c>
      <c r="L2225" t="s">
        <v>0</v>
      </c>
      <c r="M2225" t="str">
        <f t="shared" si="609"/>
        <v>048314</v>
      </c>
      <c r="N2225">
        <v>1</v>
      </c>
      <c r="O2225">
        <v>1</v>
      </c>
      <c r="P2225" t="str">
        <f>"08"</f>
        <v>08</v>
      </c>
      <c r="Q2225" t="str">
        <f>"15"</f>
        <v>15</v>
      </c>
      <c r="R2225" t="str">
        <f>"2"</f>
        <v>2</v>
      </c>
      <c r="S2225" t="s">
        <v>836</v>
      </c>
      <c r="T2225" t="s">
        <v>836</v>
      </c>
      <c r="U2225" t="str">
        <f t="shared" si="611"/>
        <v>2500-12-31 00:00:00.0</v>
      </c>
      <c r="V2225" t="s">
        <v>837</v>
      </c>
      <c r="W2225" t="str">
        <f t="shared" si="615"/>
        <v>048314-070417-**-**</v>
      </c>
      <c r="X2225" t="s">
        <v>838</v>
      </c>
      <c r="Y2225">
        <v>1125</v>
      </c>
      <c r="Z2225">
        <v>1125</v>
      </c>
      <c r="AA2225" t="str">
        <f t="shared" si="606"/>
        <v>06/08/2016</v>
      </c>
    </row>
    <row r="2226" spans="1:27" x14ac:dyDescent="0.3">
      <c r="A2226" t="str">
        <f t="shared" si="604"/>
        <v>048314</v>
      </c>
      <c r="B2226" t="str">
        <f t="shared" si="613"/>
        <v>070417</v>
      </c>
      <c r="C2226" t="s">
        <v>2515</v>
      </c>
      <c r="D2226" t="s">
        <v>3839</v>
      </c>
      <c r="E2226" t="s">
        <v>3840</v>
      </c>
      <c r="F2226" t="s">
        <v>3841</v>
      </c>
      <c r="G2226" t="s">
        <v>3842</v>
      </c>
      <c r="H2226" t="str">
        <f t="shared" si="614"/>
        <v>048314</v>
      </c>
      <c r="I2226" t="s">
        <v>833</v>
      </c>
      <c r="J2226" t="str">
        <f>"2015-08-01 00:00:00.0"</f>
        <v>2015-08-01 00:00:00.0</v>
      </c>
      <c r="K2226" t="s">
        <v>834</v>
      </c>
      <c r="L2226" t="s">
        <v>0</v>
      </c>
      <c r="M2226" t="str">
        <f t="shared" si="609"/>
        <v>048314</v>
      </c>
      <c r="N2226">
        <v>1</v>
      </c>
      <c r="O2226">
        <v>1</v>
      </c>
      <c r="P2226" t="str">
        <f>"07"</f>
        <v>07</v>
      </c>
      <c r="Q2226" t="s">
        <v>835</v>
      </c>
      <c r="S2226" t="s">
        <v>836</v>
      </c>
      <c r="T2226" t="s">
        <v>836</v>
      </c>
      <c r="U2226" t="str">
        <f t="shared" si="611"/>
        <v>2500-12-31 00:00:00.0</v>
      </c>
      <c r="V2226" t="s">
        <v>837</v>
      </c>
      <c r="W2226" t="str">
        <f t="shared" si="615"/>
        <v>048314-070417-**-**</v>
      </c>
      <c r="X2226" t="s">
        <v>838</v>
      </c>
      <c r="Y2226">
        <v>1125</v>
      </c>
      <c r="Z2226">
        <v>1125</v>
      </c>
      <c r="AA2226" t="str">
        <f t="shared" si="606"/>
        <v>06/08/2016</v>
      </c>
    </row>
    <row r="2227" spans="1:27" x14ac:dyDescent="0.3">
      <c r="A2227" t="str">
        <f t="shared" si="604"/>
        <v>048314</v>
      </c>
      <c r="B2227" t="str">
        <f t="shared" si="613"/>
        <v>070417</v>
      </c>
      <c r="C2227" t="s">
        <v>2405</v>
      </c>
      <c r="D2227" t="s">
        <v>3839</v>
      </c>
      <c r="E2227" t="s">
        <v>3840</v>
      </c>
      <c r="F2227" t="s">
        <v>3841</v>
      </c>
      <c r="G2227" t="s">
        <v>3842</v>
      </c>
      <c r="H2227" t="str">
        <f t="shared" si="614"/>
        <v>048314</v>
      </c>
      <c r="I2227" t="s">
        <v>833</v>
      </c>
      <c r="J2227" t="str">
        <f t="shared" ref="J2227:J2237" si="616">"2015-07-01 00:00:00.0"</f>
        <v>2015-07-01 00:00:00.0</v>
      </c>
      <c r="K2227" t="s">
        <v>834</v>
      </c>
      <c r="L2227" t="s">
        <v>0</v>
      </c>
      <c r="M2227" t="str">
        <f t="shared" si="609"/>
        <v>048314</v>
      </c>
      <c r="N2227">
        <v>1</v>
      </c>
      <c r="O2227">
        <v>1</v>
      </c>
      <c r="P2227" t="str">
        <f>"07"</f>
        <v>07</v>
      </c>
      <c r="Q2227" t="s">
        <v>835</v>
      </c>
      <c r="S2227" t="s">
        <v>836</v>
      </c>
      <c r="T2227" t="s">
        <v>836</v>
      </c>
      <c r="U2227" t="str">
        <f t="shared" si="611"/>
        <v>2500-12-31 00:00:00.0</v>
      </c>
      <c r="V2227" t="s">
        <v>837</v>
      </c>
      <c r="W2227" t="str">
        <f t="shared" si="615"/>
        <v>048314-070417-**-**</v>
      </c>
      <c r="X2227" t="s">
        <v>838</v>
      </c>
      <c r="Y2227">
        <v>1125</v>
      </c>
      <c r="Z2227">
        <v>1125</v>
      </c>
      <c r="AA2227" t="str">
        <f t="shared" si="606"/>
        <v>06/08/2016</v>
      </c>
    </row>
    <row r="2228" spans="1:27" x14ac:dyDescent="0.3">
      <c r="A2228" t="str">
        <f t="shared" si="604"/>
        <v>048314</v>
      </c>
      <c r="B2228" t="str">
        <f t="shared" si="613"/>
        <v>070417</v>
      </c>
      <c r="C2228" t="s">
        <v>2084</v>
      </c>
      <c r="D2228" t="s">
        <v>3839</v>
      </c>
      <c r="E2228" t="s">
        <v>3840</v>
      </c>
      <c r="F2228" t="s">
        <v>3841</v>
      </c>
      <c r="G2228" t="s">
        <v>3842</v>
      </c>
      <c r="H2228" t="str">
        <f t="shared" si="614"/>
        <v>048314</v>
      </c>
      <c r="I2228" t="s">
        <v>833</v>
      </c>
      <c r="J2228" t="str">
        <f t="shared" si="616"/>
        <v>2015-07-01 00:00:00.0</v>
      </c>
      <c r="K2228" t="s">
        <v>834</v>
      </c>
      <c r="L2228" t="s">
        <v>0</v>
      </c>
      <c r="M2228" t="str">
        <f t="shared" si="609"/>
        <v>048314</v>
      </c>
      <c r="N2228">
        <v>1</v>
      </c>
      <c r="O2228">
        <v>1</v>
      </c>
      <c r="P2228" t="str">
        <f>"08"</f>
        <v>08</v>
      </c>
      <c r="Q2228" t="str">
        <f>"10"</f>
        <v>10</v>
      </c>
      <c r="R2228" t="str">
        <f>"2"</f>
        <v>2</v>
      </c>
      <c r="S2228" t="s">
        <v>860</v>
      </c>
      <c r="T2228" t="s">
        <v>836</v>
      </c>
      <c r="U2228" t="str">
        <f t="shared" si="611"/>
        <v>2500-12-31 00:00:00.0</v>
      </c>
      <c r="V2228" t="s">
        <v>837</v>
      </c>
      <c r="W2228" t="str">
        <f t="shared" si="615"/>
        <v>048314-070417-**-**</v>
      </c>
      <c r="X2228" t="s">
        <v>838</v>
      </c>
      <c r="Y2228">
        <v>1125</v>
      </c>
      <c r="Z2228">
        <v>1125</v>
      </c>
      <c r="AA2228" t="str">
        <f t="shared" si="606"/>
        <v>06/08/2016</v>
      </c>
    </row>
    <row r="2229" spans="1:27" x14ac:dyDescent="0.3">
      <c r="A2229" t="str">
        <f t="shared" si="604"/>
        <v>048314</v>
      </c>
      <c r="B2229" t="str">
        <f t="shared" si="613"/>
        <v>070417</v>
      </c>
      <c r="C2229" t="s">
        <v>2085</v>
      </c>
      <c r="D2229" t="s">
        <v>3839</v>
      </c>
      <c r="E2229" t="s">
        <v>3840</v>
      </c>
      <c r="F2229" t="s">
        <v>3841</v>
      </c>
      <c r="G2229" t="s">
        <v>3842</v>
      </c>
      <c r="H2229" t="str">
        <f t="shared" si="614"/>
        <v>048314</v>
      </c>
      <c r="I2229" t="s">
        <v>833</v>
      </c>
      <c r="J2229" t="str">
        <f t="shared" si="616"/>
        <v>2015-07-01 00:00:00.0</v>
      </c>
      <c r="K2229" t="s">
        <v>834</v>
      </c>
      <c r="L2229" t="s">
        <v>0</v>
      </c>
      <c r="M2229" t="str">
        <f t="shared" si="609"/>
        <v>048314</v>
      </c>
      <c r="N2229">
        <v>1</v>
      </c>
      <c r="O2229">
        <v>1</v>
      </c>
      <c r="P2229" t="str">
        <f>"08"</f>
        <v>08</v>
      </c>
      <c r="Q2229" t="s">
        <v>835</v>
      </c>
      <c r="S2229" t="s">
        <v>836</v>
      </c>
      <c r="T2229" t="s">
        <v>836</v>
      </c>
      <c r="U2229" t="str">
        <f t="shared" si="611"/>
        <v>2500-12-31 00:00:00.0</v>
      </c>
      <c r="V2229" t="s">
        <v>837</v>
      </c>
      <c r="W2229" t="str">
        <f t="shared" si="615"/>
        <v>048314-070417-**-**</v>
      </c>
      <c r="X2229" t="s">
        <v>838</v>
      </c>
      <c r="Y2229">
        <v>1125</v>
      </c>
      <c r="Z2229">
        <v>1125</v>
      </c>
      <c r="AA2229" t="str">
        <f t="shared" si="606"/>
        <v>06/08/2016</v>
      </c>
    </row>
    <row r="2230" spans="1:27" x14ac:dyDescent="0.3">
      <c r="A2230" t="str">
        <f t="shared" si="604"/>
        <v>048314</v>
      </c>
      <c r="B2230" t="str">
        <f t="shared" si="613"/>
        <v>070417</v>
      </c>
      <c r="C2230" t="s">
        <v>2334</v>
      </c>
      <c r="D2230" t="s">
        <v>3839</v>
      </c>
      <c r="E2230" t="s">
        <v>3840</v>
      </c>
      <c r="F2230" t="s">
        <v>3841</v>
      </c>
      <c r="G2230" t="s">
        <v>3842</v>
      </c>
      <c r="H2230" t="str">
        <f t="shared" si="614"/>
        <v>048314</v>
      </c>
      <c r="I2230" t="s">
        <v>833</v>
      </c>
      <c r="J2230" t="str">
        <f t="shared" si="616"/>
        <v>2015-07-01 00:00:00.0</v>
      </c>
      <c r="K2230" t="s">
        <v>834</v>
      </c>
      <c r="L2230" t="s">
        <v>0</v>
      </c>
      <c r="M2230" t="str">
        <f t="shared" si="609"/>
        <v>048314</v>
      </c>
      <c r="N2230">
        <v>1</v>
      </c>
      <c r="O2230">
        <v>1</v>
      </c>
      <c r="P2230" t="str">
        <f>"07"</f>
        <v>07</v>
      </c>
      <c r="Q2230" t="s">
        <v>835</v>
      </c>
      <c r="S2230" t="s">
        <v>836</v>
      </c>
      <c r="T2230" t="s">
        <v>836</v>
      </c>
      <c r="U2230" t="str">
        <f t="shared" si="611"/>
        <v>2500-12-31 00:00:00.0</v>
      </c>
      <c r="V2230" t="s">
        <v>837</v>
      </c>
      <c r="W2230" t="str">
        <f t="shared" si="615"/>
        <v>048314-070417-**-**</v>
      </c>
      <c r="X2230" t="s">
        <v>838</v>
      </c>
      <c r="Y2230">
        <v>1125</v>
      </c>
      <c r="Z2230">
        <v>1125</v>
      </c>
      <c r="AA2230" t="str">
        <f t="shared" si="606"/>
        <v>06/08/2016</v>
      </c>
    </row>
    <row r="2231" spans="1:27" x14ac:dyDescent="0.3">
      <c r="A2231" t="str">
        <f t="shared" si="604"/>
        <v>048314</v>
      </c>
      <c r="B2231" t="str">
        <f t="shared" si="613"/>
        <v>070417</v>
      </c>
      <c r="C2231" t="s">
        <v>2335</v>
      </c>
      <c r="D2231" t="s">
        <v>3839</v>
      </c>
      <c r="E2231" t="s">
        <v>3840</v>
      </c>
      <c r="F2231" t="s">
        <v>3841</v>
      </c>
      <c r="G2231" t="s">
        <v>3842</v>
      </c>
      <c r="H2231" t="str">
        <f t="shared" si="614"/>
        <v>048314</v>
      </c>
      <c r="I2231" t="s">
        <v>833</v>
      </c>
      <c r="J2231" t="str">
        <f t="shared" si="616"/>
        <v>2015-07-01 00:00:00.0</v>
      </c>
      <c r="K2231" t="s">
        <v>834</v>
      </c>
      <c r="L2231" t="s">
        <v>0</v>
      </c>
      <c r="M2231" t="str">
        <f t="shared" si="609"/>
        <v>048314</v>
      </c>
      <c r="N2231">
        <v>1</v>
      </c>
      <c r="O2231">
        <v>1</v>
      </c>
      <c r="P2231" t="str">
        <f>"07"</f>
        <v>07</v>
      </c>
      <c r="Q2231" t="s">
        <v>835</v>
      </c>
      <c r="S2231" t="s">
        <v>836</v>
      </c>
      <c r="T2231" t="s">
        <v>836</v>
      </c>
      <c r="U2231" t="str">
        <f t="shared" si="611"/>
        <v>2500-12-31 00:00:00.0</v>
      </c>
      <c r="V2231" t="s">
        <v>837</v>
      </c>
      <c r="W2231" t="str">
        <f t="shared" si="615"/>
        <v>048314-070417-**-**</v>
      </c>
      <c r="X2231" t="s">
        <v>838</v>
      </c>
      <c r="Y2231">
        <v>1125</v>
      </c>
      <c r="Z2231">
        <v>1125</v>
      </c>
      <c r="AA2231" t="str">
        <f t="shared" si="606"/>
        <v>06/08/2016</v>
      </c>
    </row>
    <row r="2232" spans="1:27" x14ac:dyDescent="0.3">
      <c r="A2232" t="str">
        <f t="shared" si="604"/>
        <v>048314</v>
      </c>
      <c r="B2232" t="str">
        <f t="shared" si="613"/>
        <v>070417</v>
      </c>
      <c r="C2232" t="s">
        <v>1857</v>
      </c>
      <c r="D2232" t="s">
        <v>3839</v>
      </c>
      <c r="E2232" t="s">
        <v>3840</v>
      </c>
      <c r="F2232" t="s">
        <v>3841</v>
      </c>
      <c r="G2232" t="s">
        <v>3842</v>
      </c>
      <c r="H2232" t="str">
        <f t="shared" si="614"/>
        <v>048314</v>
      </c>
      <c r="I2232" t="s">
        <v>833</v>
      </c>
      <c r="J2232" t="str">
        <f t="shared" si="616"/>
        <v>2015-07-01 00:00:00.0</v>
      </c>
      <c r="K2232" t="s">
        <v>834</v>
      </c>
      <c r="L2232" t="s">
        <v>0</v>
      </c>
      <c r="M2232" t="str">
        <f t="shared" si="609"/>
        <v>048314</v>
      </c>
      <c r="N2232">
        <v>1</v>
      </c>
      <c r="O2232">
        <v>1</v>
      </c>
      <c r="P2232" t="str">
        <f>"09"</f>
        <v>09</v>
      </c>
      <c r="Q2232" t="s">
        <v>835</v>
      </c>
      <c r="S2232" t="s">
        <v>836</v>
      </c>
      <c r="T2232" t="s">
        <v>836</v>
      </c>
      <c r="U2232" t="str">
        <f t="shared" si="611"/>
        <v>2500-12-31 00:00:00.0</v>
      </c>
      <c r="V2232" t="s">
        <v>837</v>
      </c>
      <c r="W2232" t="str">
        <f>"048314-004796-**-**"</f>
        <v>048314-004796-**-**</v>
      </c>
      <c r="X2232" t="s">
        <v>838</v>
      </c>
      <c r="Y2232">
        <v>1254.5</v>
      </c>
      <c r="Z2232">
        <v>1254.5</v>
      </c>
      <c r="AA2232" t="str">
        <f t="shared" si="606"/>
        <v>06/08/2016</v>
      </c>
    </row>
    <row r="2233" spans="1:27" x14ac:dyDescent="0.3">
      <c r="A2233" t="str">
        <f t="shared" si="604"/>
        <v>048314</v>
      </c>
      <c r="B2233" t="str">
        <f t="shared" si="613"/>
        <v>070417</v>
      </c>
      <c r="C2233" t="s">
        <v>2346</v>
      </c>
      <c r="D2233" t="s">
        <v>3839</v>
      </c>
      <c r="E2233" t="s">
        <v>3840</v>
      </c>
      <c r="F2233" t="s">
        <v>3841</v>
      </c>
      <c r="G2233" t="s">
        <v>3842</v>
      </c>
      <c r="H2233" t="str">
        <f t="shared" si="614"/>
        <v>048314</v>
      </c>
      <c r="I2233" t="s">
        <v>833</v>
      </c>
      <c r="J2233" t="str">
        <f t="shared" si="616"/>
        <v>2015-07-01 00:00:00.0</v>
      </c>
      <c r="K2233" t="s">
        <v>834</v>
      </c>
      <c r="L2233" t="s">
        <v>0</v>
      </c>
      <c r="M2233" t="str">
        <f t="shared" si="609"/>
        <v>048314</v>
      </c>
      <c r="N2233">
        <v>1</v>
      </c>
      <c r="O2233">
        <v>1</v>
      </c>
      <c r="P2233" t="str">
        <f>"08"</f>
        <v>08</v>
      </c>
      <c r="Q2233" t="s">
        <v>835</v>
      </c>
      <c r="S2233" t="s">
        <v>836</v>
      </c>
      <c r="T2233" t="s">
        <v>836</v>
      </c>
      <c r="U2233" t="str">
        <f t="shared" si="611"/>
        <v>2500-12-31 00:00:00.0</v>
      </c>
      <c r="V2233" t="s">
        <v>837</v>
      </c>
      <c r="W2233" t="str">
        <f t="shared" ref="W2233:W2238" si="617">"048314-070417-**-**"</f>
        <v>048314-070417-**-**</v>
      </c>
      <c r="X2233" t="s">
        <v>838</v>
      </c>
      <c r="Y2233">
        <v>1125</v>
      </c>
      <c r="Z2233">
        <v>1125</v>
      </c>
      <c r="AA2233" t="str">
        <f t="shared" si="606"/>
        <v>06/08/2016</v>
      </c>
    </row>
    <row r="2234" spans="1:27" x14ac:dyDescent="0.3">
      <c r="A2234" t="str">
        <f t="shared" si="604"/>
        <v>048314</v>
      </c>
      <c r="B2234" t="str">
        <f t="shared" si="613"/>
        <v>070417</v>
      </c>
      <c r="C2234" t="s">
        <v>1938</v>
      </c>
      <c r="D2234" t="s">
        <v>3839</v>
      </c>
      <c r="E2234" t="s">
        <v>3840</v>
      </c>
      <c r="F2234" t="s">
        <v>3841</v>
      </c>
      <c r="G2234" t="s">
        <v>3842</v>
      </c>
      <c r="H2234" t="str">
        <f t="shared" si="614"/>
        <v>048314</v>
      </c>
      <c r="I2234" t="s">
        <v>833</v>
      </c>
      <c r="J2234" t="str">
        <f t="shared" si="616"/>
        <v>2015-07-01 00:00:00.0</v>
      </c>
      <c r="K2234" t="s">
        <v>834</v>
      </c>
      <c r="L2234" t="s">
        <v>0</v>
      </c>
      <c r="M2234" t="str">
        <f t="shared" si="609"/>
        <v>048314</v>
      </c>
      <c r="N2234">
        <v>1</v>
      </c>
      <c r="O2234">
        <v>1</v>
      </c>
      <c r="P2234" t="str">
        <f>"06"</f>
        <v>06</v>
      </c>
      <c r="Q2234" t="str">
        <f>"15"</f>
        <v>15</v>
      </c>
      <c r="R2234" t="str">
        <f>"2"</f>
        <v>2</v>
      </c>
      <c r="S2234" t="s">
        <v>860</v>
      </c>
      <c r="T2234" t="s">
        <v>836</v>
      </c>
      <c r="U2234" t="str">
        <f t="shared" si="611"/>
        <v>2500-12-31 00:00:00.0</v>
      </c>
      <c r="V2234" t="s">
        <v>837</v>
      </c>
      <c r="W2234" t="str">
        <f t="shared" si="617"/>
        <v>048314-070417-**-**</v>
      </c>
      <c r="X2234" t="s">
        <v>838</v>
      </c>
      <c r="Y2234">
        <v>1125</v>
      </c>
      <c r="Z2234">
        <v>1125</v>
      </c>
      <c r="AA2234" t="str">
        <f t="shared" si="606"/>
        <v>06/08/2016</v>
      </c>
    </row>
    <row r="2235" spans="1:27" x14ac:dyDescent="0.3">
      <c r="A2235" t="str">
        <f t="shared" si="604"/>
        <v>048314</v>
      </c>
      <c r="B2235" t="str">
        <f t="shared" si="613"/>
        <v>070417</v>
      </c>
      <c r="C2235" t="s">
        <v>2091</v>
      </c>
      <c r="D2235" t="s">
        <v>3839</v>
      </c>
      <c r="E2235" t="s">
        <v>3840</v>
      </c>
      <c r="F2235" t="s">
        <v>3841</v>
      </c>
      <c r="G2235" t="s">
        <v>3842</v>
      </c>
      <c r="H2235" t="str">
        <f t="shared" si="614"/>
        <v>048314</v>
      </c>
      <c r="I2235" t="s">
        <v>833</v>
      </c>
      <c r="J2235" t="str">
        <f t="shared" si="616"/>
        <v>2015-07-01 00:00:00.0</v>
      </c>
      <c r="K2235" t="s">
        <v>834</v>
      </c>
      <c r="L2235" t="s">
        <v>0</v>
      </c>
      <c r="M2235" t="str">
        <f t="shared" si="609"/>
        <v>048314</v>
      </c>
      <c r="N2235">
        <v>1</v>
      </c>
      <c r="O2235">
        <v>1</v>
      </c>
      <c r="P2235" t="str">
        <f>"08"</f>
        <v>08</v>
      </c>
      <c r="Q2235" t="s">
        <v>835</v>
      </c>
      <c r="S2235" t="s">
        <v>836</v>
      </c>
      <c r="T2235" t="s">
        <v>836</v>
      </c>
      <c r="U2235" t="str">
        <f t="shared" si="611"/>
        <v>2500-12-31 00:00:00.0</v>
      </c>
      <c r="V2235" t="s">
        <v>837</v>
      </c>
      <c r="W2235" t="str">
        <f t="shared" si="617"/>
        <v>048314-070417-**-**</v>
      </c>
      <c r="X2235" t="s">
        <v>838</v>
      </c>
      <c r="Y2235">
        <v>1125</v>
      </c>
      <c r="Z2235">
        <v>1125</v>
      </c>
      <c r="AA2235" t="str">
        <f t="shared" si="606"/>
        <v>06/08/2016</v>
      </c>
    </row>
    <row r="2236" spans="1:27" x14ac:dyDescent="0.3">
      <c r="A2236" t="str">
        <f t="shared" si="604"/>
        <v>048314</v>
      </c>
      <c r="B2236" t="str">
        <f t="shared" si="613"/>
        <v>070417</v>
      </c>
      <c r="C2236" t="s">
        <v>2406</v>
      </c>
      <c r="D2236" t="s">
        <v>3839</v>
      </c>
      <c r="E2236" t="s">
        <v>3840</v>
      </c>
      <c r="F2236" t="s">
        <v>3841</v>
      </c>
      <c r="G2236" t="s">
        <v>3842</v>
      </c>
      <c r="H2236" t="str">
        <f t="shared" si="614"/>
        <v>048314</v>
      </c>
      <c r="I2236" t="s">
        <v>833</v>
      </c>
      <c r="J2236" t="str">
        <f t="shared" si="616"/>
        <v>2015-07-01 00:00:00.0</v>
      </c>
      <c r="K2236" t="s">
        <v>834</v>
      </c>
      <c r="L2236" t="s">
        <v>0</v>
      </c>
      <c r="M2236" t="str">
        <f t="shared" si="609"/>
        <v>048314</v>
      </c>
      <c r="N2236">
        <v>1</v>
      </c>
      <c r="O2236">
        <v>1</v>
      </c>
      <c r="P2236" t="str">
        <f>"08"</f>
        <v>08</v>
      </c>
      <c r="Q2236" t="str">
        <f>"12"</f>
        <v>12</v>
      </c>
      <c r="R2236" t="str">
        <f>"6"</f>
        <v>6</v>
      </c>
      <c r="S2236" t="s">
        <v>836</v>
      </c>
      <c r="T2236" t="s">
        <v>836</v>
      </c>
      <c r="U2236" t="str">
        <f t="shared" si="611"/>
        <v>2500-12-31 00:00:00.0</v>
      </c>
      <c r="V2236" t="s">
        <v>837</v>
      </c>
      <c r="W2236" t="str">
        <f t="shared" si="617"/>
        <v>048314-070417-**-**</v>
      </c>
      <c r="X2236" t="s">
        <v>838</v>
      </c>
      <c r="Y2236">
        <v>1125</v>
      </c>
      <c r="Z2236">
        <v>1125</v>
      </c>
      <c r="AA2236" t="str">
        <f t="shared" si="606"/>
        <v>06/08/2016</v>
      </c>
    </row>
    <row r="2237" spans="1:27" x14ac:dyDescent="0.3">
      <c r="A2237" t="str">
        <f t="shared" si="604"/>
        <v>048314</v>
      </c>
      <c r="B2237" t="str">
        <f t="shared" si="613"/>
        <v>070417</v>
      </c>
      <c r="C2237" t="s">
        <v>2336</v>
      </c>
      <c r="D2237" t="s">
        <v>3839</v>
      </c>
      <c r="E2237" t="s">
        <v>3840</v>
      </c>
      <c r="F2237" t="s">
        <v>3841</v>
      </c>
      <c r="G2237" t="s">
        <v>3842</v>
      </c>
      <c r="H2237" t="str">
        <f t="shared" si="614"/>
        <v>048314</v>
      </c>
      <c r="I2237" t="s">
        <v>833</v>
      </c>
      <c r="J2237" t="str">
        <f t="shared" si="616"/>
        <v>2015-07-01 00:00:00.0</v>
      </c>
      <c r="K2237" t="s">
        <v>834</v>
      </c>
      <c r="L2237" t="s">
        <v>0</v>
      </c>
      <c r="M2237" t="str">
        <f t="shared" si="609"/>
        <v>048314</v>
      </c>
      <c r="N2237">
        <v>0.55555600000000005</v>
      </c>
      <c r="O2237">
        <v>0.55555600000000005</v>
      </c>
      <c r="P2237" t="str">
        <f>"07"</f>
        <v>07</v>
      </c>
      <c r="Q2237" t="str">
        <f>"10"</f>
        <v>10</v>
      </c>
      <c r="R2237" t="str">
        <f>"2"</f>
        <v>2</v>
      </c>
      <c r="S2237" t="s">
        <v>836</v>
      </c>
      <c r="T2237" t="s">
        <v>836</v>
      </c>
      <c r="U2237" t="str">
        <f>"2016-02-04 00:00:00.0"</f>
        <v>2016-02-04 00:00:00.0</v>
      </c>
      <c r="V2237" t="s">
        <v>837</v>
      </c>
      <c r="W2237" t="str">
        <f t="shared" si="617"/>
        <v>048314-070417-**-**</v>
      </c>
      <c r="X2237" t="s">
        <v>838</v>
      </c>
      <c r="Y2237">
        <v>625</v>
      </c>
      <c r="Z2237">
        <v>1125</v>
      </c>
      <c r="AA2237" t="str">
        <f t="shared" si="606"/>
        <v>06/08/2016</v>
      </c>
    </row>
    <row r="2238" spans="1:27" x14ac:dyDescent="0.3">
      <c r="A2238" t="str">
        <f t="shared" si="604"/>
        <v>048314</v>
      </c>
      <c r="B2238" t="str">
        <f t="shared" si="613"/>
        <v>070417</v>
      </c>
      <c r="C2238" t="s">
        <v>2336</v>
      </c>
      <c r="D2238" t="s">
        <v>3839</v>
      </c>
      <c r="E2238" t="s">
        <v>3840</v>
      </c>
      <c r="F2238" t="s">
        <v>3841</v>
      </c>
      <c r="G2238" t="s">
        <v>3842</v>
      </c>
      <c r="H2238" t="str">
        <f t="shared" si="614"/>
        <v>048314</v>
      </c>
      <c r="I2238" t="s">
        <v>833</v>
      </c>
      <c r="J2238" t="str">
        <f>"2016-02-05 00:00:00.0"</f>
        <v>2016-02-05 00:00:00.0</v>
      </c>
      <c r="K2238" t="s">
        <v>834</v>
      </c>
      <c r="L2238" t="s">
        <v>0</v>
      </c>
      <c r="M2238" t="str">
        <f t="shared" si="609"/>
        <v>048314</v>
      </c>
      <c r="N2238">
        <v>0.44444400000000001</v>
      </c>
      <c r="O2238">
        <v>0.44444400000000001</v>
      </c>
      <c r="P2238" t="str">
        <f>"07"</f>
        <v>07</v>
      </c>
      <c r="Q2238" t="str">
        <f>"10"</f>
        <v>10</v>
      </c>
      <c r="R2238" t="str">
        <f>"2"</f>
        <v>2</v>
      </c>
      <c r="S2238" t="s">
        <v>860</v>
      </c>
      <c r="T2238" t="s">
        <v>836</v>
      </c>
      <c r="U2238" t="str">
        <f t="shared" ref="U2238:U2275" si="618">"2500-12-31 00:00:00.0"</f>
        <v>2500-12-31 00:00:00.0</v>
      </c>
      <c r="V2238" t="s">
        <v>837</v>
      </c>
      <c r="W2238" t="str">
        <f t="shared" si="617"/>
        <v>048314-070417-**-**</v>
      </c>
      <c r="X2238" t="s">
        <v>838</v>
      </c>
      <c r="Y2238">
        <v>500</v>
      </c>
      <c r="Z2238">
        <v>1125</v>
      </c>
      <c r="AA2238" t="str">
        <f t="shared" si="606"/>
        <v>06/08/2016</v>
      </c>
    </row>
    <row r="2239" spans="1:27" x14ac:dyDescent="0.3">
      <c r="A2239" t="str">
        <f t="shared" si="604"/>
        <v>048314</v>
      </c>
      <c r="B2239" t="str">
        <f t="shared" si="613"/>
        <v>070417</v>
      </c>
      <c r="C2239" t="s">
        <v>1925</v>
      </c>
      <c r="D2239" t="s">
        <v>3839</v>
      </c>
      <c r="E2239" t="s">
        <v>3840</v>
      </c>
      <c r="F2239" t="s">
        <v>3841</v>
      </c>
      <c r="G2239" t="s">
        <v>3842</v>
      </c>
      <c r="H2239" t="str">
        <f t="shared" si="614"/>
        <v>048314</v>
      </c>
      <c r="I2239" t="s">
        <v>833</v>
      </c>
      <c r="J2239" t="str">
        <f t="shared" ref="J2239:J2256" si="619">"2015-07-01 00:00:00.0"</f>
        <v>2015-07-01 00:00:00.0</v>
      </c>
      <c r="K2239" t="s">
        <v>834</v>
      </c>
      <c r="L2239" t="s">
        <v>0</v>
      </c>
      <c r="M2239" t="str">
        <f t="shared" si="609"/>
        <v>048314</v>
      </c>
      <c r="N2239">
        <v>1</v>
      </c>
      <c r="O2239">
        <v>1</v>
      </c>
      <c r="P2239" t="str">
        <f>"09"</f>
        <v>09</v>
      </c>
      <c r="Q2239" t="s">
        <v>835</v>
      </c>
      <c r="S2239" t="s">
        <v>836</v>
      </c>
      <c r="T2239" t="s">
        <v>836</v>
      </c>
      <c r="U2239" t="str">
        <f t="shared" si="618"/>
        <v>2500-12-31 00:00:00.0</v>
      </c>
      <c r="V2239" t="s">
        <v>837</v>
      </c>
      <c r="W2239" t="str">
        <f>"048314-004796-**-**"</f>
        <v>048314-004796-**-**</v>
      </c>
      <c r="X2239" t="s">
        <v>838</v>
      </c>
      <c r="Y2239">
        <v>1254.5</v>
      </c>
      <c r="Z2239">
        <v>1254.5</v>
      </c>
      <c r="AA2239" t="str">
        <f t="shared" si="606"/>
        <v>06/08/2016</v>
      </c>
    </row>
    <row r="2240" spans="1:27" x14ac:dyDescent="0.3">
      <c r="A2240" t="str">
        <f t="shared" si="604"/>
        <v>048314</v>
      </c>
      <c r="B2240" t="str">
        <f t="shared" si="613"/>
        <v>070417</v>
      </c>
      <c r="C2240" t="s">
        <v>1980</v>
      </c>
      <c r="D2240" t="s">
        <v>3839</v>
      </c>
      <c r="E2240" t="s">
        <v>3840</v>
      </c>
      <c r="F2240" t="s">
        <v>3841</v>
      </c>
      <c r="G2240" t="s">
        <v>3842</v>
      </c>
      <c r="H2240" t="str">
        <f t="shared" si="614"/>
        <v>048314</v>
      </c>
      <c r="I2240" t="s">
        <v>833</v>
      </c>
      <c r="J2240" t="str">
        <f t="shared" si="619"/>
        <v>2015-07-01 00:00:00.0</v>
      </c>
      <c r="K2240" t="s">
        <v>834</v>
      </c>
      <c r="L2240" t="s">
        <v>0</v>
      </c>
      <c r="M2240" t="str">
        <f t="shared" si="609"/>
        <v>048314</v>
      </c>
      <c r="N2240">
        <v>1</v>
      </c>
      <c r="O2240">
        <v>1</v>
      </c>
      <c r="P2240" t="str">
        <f>"09"</f>
        <v>09</v>
      </c>
      <c r="Q2240" t="s">
        <v>835</v>
      </c>
      <c r="S2240" t="s">
        <v>836</v>
      </c>
      <c r="T2240" t="s">
        <v>836</v>
      </c>
      <c r="U2240" t="str">
        <f t="shared" si="618"/>
        <v>2500-12-31 00:00:00.0</v>
      </c>
      <c r="V2240" t="s">
        <v>837</v>
      </c>
      <c r="W2240" t="str">
        <f>"048314-004796-**-**"</f>
        <v>048314-004796-**-**</v>
      </c>
      <c r="X2240" t="s">
        <v>838</v>
      </c>
      <c r="Y2240">
        <v>1254.5</v>
      </c>
      <c r="Z2240">
        <v>1254.5</v>
      </c>
      <c r="AA2240" t="str">
        <f t="shared" si="606"/>
        <v>06/08/2016</v>
      </c>
    </row>
    <row r="2241" spans="1:27" x14ac:dyDescent="0.3">
      <c r="A2241" t="str">
        <f t="shared" si="604"/>
        <v>048314</v>
      </c>
      <c r="B2241" t="str">
        <f t="shared" si="613"/>
        <v>070417</v>
      </c>
      <c r="C2241" t="s">
        <v>3097</v>
      </c>
      <c r="D2241" t="s">
        <v>3839</v>
      </c>
      <c r="E2241" t="s">
        <v>3840</v>
      </c>
      <c r="F2241" t="s">
        <v>3841</v>
      </c>
      <c r="G2241" t="s">
        <v>3842</v>
      </c>
      <c r="H2241" t="str">
        <f t="shared" si="614"/>
        <v>048314</v>
      </c>
      <c r="I2241" t="s">
        <v>833</v>
      </c>
      <c r="J2241" t="str">
        <f t="shared" si="619"/>
        <v>2015-07-01 00:00:00.0</v>
      </c>
      <c r="K2241" t="s">
        <v>834</v>
      </c>
      <c r="L2241" t="s">
        <v>0</v>
      </c>
      <c r="M2241" t="str">
        <f t="shared" si="609"/>
        <v>048314</v>
      </c>
      <c r="N2241">
        <v>1</v>
      </c>
      <c r="O2241">
        <v>1</v>
      </c>
      <c r="P2241" t="str">
        <f>"07"</f>
        <v>07</v>
      </c>
      <c r="Q2241" t="s">
        <v>835</v>
      </c>
      <c r="S2241" t="s">
        <v>836</v>
      </c>
      <c r="T2241" t="s">
        <v>836</v>
      </c>
      <c r="U2241" t="str">
        <f t="shared" si="618"/>
        <v>2500-12-31 00:00:00.0</v>
      </c>
      <c r="V2241" t="s">
        <v>837</v>
      </c>
      <c r="W2241" t="str">
        <f>"048314-070417-**-**"</f>
        <v>048314-070417-**-**</v>
      </c>
      <c r="X2241" t="s">
        <v>838</v>
      </c>
      <c r="Y2241">
        <v>1125</v>
      </c>
      <c r="Z2241">
        <v>1125</v>
      </c>
      <c r="AA2241" t="str">
        <f t="shared" si="606"/>
        <v>06/08/2016</v>
      </c>
    </row>
    <row r="2242" spans="1:27" x14ac:dyDescent="0.3">
      <c r="A2242" t="str">
        <f t="shared" ref="A2242:A2305" si="620">"048314"</f>
        <v>048314</v>
      </c>
      <c r="B2242" t="str">
        <f t="shared" si="613"/>
        <v>070417</v>
      </c>
      <c r="C2242" t="s">
        <v>2624</v>
      </c>
      <c r="D2242" t="s">
        <v>3839</v>
      </c>
      <c r="E2242" t="s">
        <v>3840</v>
      </c>
      <c r="F2242" t="s">
        <v>3841</v>
      </c>
      <c r="G2242" t="s">
        <v>3842</v>
      </c>
      <c r="H2242" t="str">
        <f t="shared" si="614"/>
        <v>048314</v>
      </c>
      <c r="I2242" t="s">
        <v>833</v>
      </c>
      <c r="J2242" t="str">
        <f t="shared" si="619"/>
        <v>2015-07-01 00:00:00.0</v>
      </c>
      <c r="K2242" t="s">
        <v>834</v>
      </c>
      <c r="L2242" t="s">
        <v>0</v>
      </c>
      <c r="M2242" t="str">
        <f t="shared" si="609"/>
        <v>048314</v>
      </c>
      <c r="N2242">
        <v>1</v>
      </c>
      <c r="O2242">
        <v>1</v>
      </c>
      <c r="P2242" t="str">
        <f>"06"</f>
        <v>06</v>
      </c>
      <c r="Q2242" t="s">
        <v>835</v>
      </c>
      <c r="S2242" t="s">
        <v>860</v>
      </c>
      <c r="T2242" t="s">
        <v>836</v>
      </c>
      <c r="U2242" t="str">
        <f t="shared" si="618"/>
        <v>2500-12-31 00:00:00.0</v>
      </c>
      <c r="V2242" t="s">
        <v>837</v>
      </c>
      <c r="W2242" t="str">
        <f>"048314-070417-**-**"</f>
        <v>048314-070417-**-**</v>
      </c>
      <c r="X2242" t="s">
        <v>838</v>
      </c>
      <c r="Y2242">
        <v>1125</v>
      </c>
      <c r="Z2242">
        <v>1125</v>
      </c>
      <c r="AA2242" t="str">
        <f t="shared" si="606"/>
        <v>06/08/2016</v>
      </c>
    </row>
    <row r="2243" spans="1:27" x14ac:dyDescent="0.3">
      <c r="A2243" t="str">
        <f t="shared" si="620"/>
        <v>048314</v>
      </c>
      <c r="B2243" t="str">
        <f t="shared" si="613"/>
        <v>070417</v>
      </c>
      <c r="C2243" t="s">
        <v>1858</v>
      </c>
      <c r="D2243" t="s">
        <v>3839</v>
      </c>
      <c r="E2243" t="s">
        <v>3840</v>
      </c>
      <c r="F2243" t="s">
        <v>3841</v>
      </c>
      <c r="G2243" t="s">
        <v>3842</v>
      </c>
      <c r="H2243" t="str">
        <f t="shared" si="614"/>
        <v>048314</v>
      </c>
      <c r="I2243" t="s">
        <v>833</v>
      </c>
      <c r="J2243" t="str">
        <f t="shared" si="619"/>
        <v>2015-07-01 00:00:00.0</v>
      </c>
      <c r="K2243" t="s">
        <v>834</v>
      </c>
      <c r="L2243" t="s">
        <v>0</v>
      </c>
      <c r="M2243" t="str">
        <f t="shared" si="609"/>
        <v>048314</v>
      </c>
      <c r="N2243">
        <v>1</v>
      </c>
      <c r="O2243">
        <v>1</v>
      </c>
      <c r="P2243" t="str">
        <f>"09"</f>
        <v>09</v>
      </c>
      <c r="Q2243" t="s">
        <v>835</v>
      </c>
      <c r="S2243" t="s">
        <v>836</v>
      </c>
      <c r="T2243" t="s">
        <v>836</v>
      </c>
      <c r="U2243" t="str">
        <f t="shared" si="618"/>
        <v>2500-12-31 00:00:00.0</v>
      </c>
      <c r="V2243" t="s">
        <v>837</v>
      </c>
      <c r="W2243" t="str">
        <f>"048314-004796-**-**"</f>
        <v>048314-004796-**-**</v>
      </c>
      <c r="X2243" t="s">
        <v>838</v>
      </c>
      <c r="Y2243">
        <v>1254.5</v>
      </c>
      <c r="Z2243">
        <v>1254.5</v>
      </c>
      <c r="AA2243" t="str">
        <f t="shared" si="606"/>
        <v>06/08/2016</v>
      </c>
    </row>
    <row r="2244" spans="1:27" x14ac:dyDescent="0.3">
      <c r="A2244" t="str">
        <f t="shared" si="620"/>
        <v>048314</v>
      </c>
      <c r="B2244" t="str">
        <f t="shared" si="613"/>
        <v>070417</v>
      </c>
      <c r="C2244" t="s">
        <v>1806</v>
      </c>
      <c r="D2244" t="s">
        <v>3839</v>
      </c>
      <c r="E2244" t="s">
        <v>3840</v>
      </c>
      <c r="F2244" t="s">
        <v>3841</v>
      </c>
      <c r="G2244" t="s">
        <v>3842</v>
      </c>
      <c r="H2244" t="str">
        <f t="shared" si="614"/>
        <v>048314</v>
      </c>
      <c r="I2244" t="s">
        <v>833</v>
      </c>
      <c r="J2244" t="str">
        <f t="shared" si="619"/>
        <v>2015-07-01 00:00:00.0</v>
      </c>
      <c r="K2244" t="s">
        <v>834</v>
      </c>
      <c r="L2244" t="s">
        <v>0</v>
      </c>
      <c r="M2244" t="str">
        <f t="shared" si="609"/>
        <v>048314</v>
      </c>
      <c r="N2244">
        <v>1</v>
      </c>
      <c r="O2244">
        <v>1</v>
      </c>
      <c r="P2244" t="str">
        <f>"07"</f>
        <v>07</v>
      </c>
      <c r="Q2244" t="s">
        <v>835</v>
      </c>
      <c r="S2244" t="s">
        <v>836</v>
      </c>
      <c r="T2244" t="s">
        <v>836</v>
      </c>
      <c r="U2244" t="str">
        <f t="shared" si="618"/>
        <v>2500-12-31 00:00:00.0</v>
      </c>
      <c r="V2244" t="s">
        <v>837</v>
      </c>
      <c r="W2244" t="str">
        <f t="shared" ref="W2244:W2249" si="621">"048314-070417-**-**"</f>
        <v>048314-070417-**-**</v>
      </c>
      <c r="X2244" t="s">
        <v>838</v>
      </c>
      <c r="Y2244">
        <v>1125</v>
      </c>
      <c r="Z2244">
        <v>1125</v>
      </c>
      <c r="AA2244" t="str">
        <f t="shared" si="606"/>
        <v>06/08/2016</v>
      </c>
    </row>
    <row r="2245" spans="1:27" x14ac:dyDescent="0.3">
      <c r="A2245" t="str">
        <f t="shared" si="620"/>
        <v>048314</v>
      </c>
      <c r="B2245" t="str">
        <f t="shared" si="613"/>
        <v>070417</v>
      </c>
      <c r="C2245" t="s">
        <v>1781</v>
      </c>
      <c r="D2245" t="s">
        <v>3839</v>
      </c>
      <c r="E2245" t="s">
        <v>3840</v>
      </c>
      <c r="F2245" t="s">
        <v>3841</v>
      </c>
      <c r="G2245" t="s">
        <v>3842</v>
      </c>
      <c r="H2245" t="str">
        <f t="shared" si="614"/>
        <v>048314</v>
      </c>
      <c r="I2245" t="s">
        <v>833</v>
      </c>
      <c r="J2245" t="str">
        <f t="shared" si="619"/>
        <v>2015-07-01 00:00:00.0</v>
      </c>
      <c r="K2245" t="s">
        <v>834</v>
      </c>
      <c r="L2245" t="s">
        <v>0</v>
      </c>
      <c r="M2245" t="str">
        <f t="shared" si="609"/>
        <v>048314</v>
      </c>
      <c r="N2245">
        <v>1</v>
      </c>
      <c r="O2245">
        <v>1</v>
      </c>
      <c r="P2245" t="str">
        <f>"08"</f>
        <v>08</v>
      </c>
      <c r="Q2245" t="str">
        <f>"12"</f>
        <v>12</v>
      </c>
      <c r="R2245" t="str">
        <f>"6"</f>
        <v>6</v>
      </c>
      <c r="S2245" t="s">
        <v>836</v>
      </c>
      <c r="T2245" t="s">
        <v>836</v>
      </c>
      <c r="U2245" t="str">
        <f t="shared" si="618"/>
        <v>2500-12-31 00:00:00.0</v>
      </c>
      <c r="V2245" t="s">
        <v>837</v>
      </c>
      <c r="W2245" t="str">
        <f t="shared" si="621"/>
        <v>048314-070417-**-**</v>
      </c>
      <c r="X2245" t="s">
        <v>838</v>
      </c>
      <c r="Y2245">
        <v>1125</v>
      </c>
      <c r="Z2245">
        <v>1125</v>
      </c>
      <c r="AA2245" t="str">
        <f t="shared" ref="AA2245:AA2275" si="622">"06/08/2016"</f>
        <v>06/08/2016</v>
      </c>
    </row>
    <row r="2246" spans="1:27" x14ac:dyDescent="0.3">
      <c r="A2246" t="str">
        <f t="shared" si="620"/>
        <v>048314</v>
      </c>
      <c r="B2246" t="str">
        <f t="shared" si="613"/>
        <v>070417</v>
      </c>
      <c r="C2246" t="s">
        <v>2625</v>
      </c>
      <c r="D2246" t="s">
        <v>3839</v>
      </c>
      <c r="E2246" t="s">
        <v>3840</v>
      </c>
      <c r="F2246" t="s">
        <v>3841</v>
      </c>
      <c r="G2246" t="s">
        <v>3842</v>
      </c>
      <c r="H2246" t="str">
        <f t="shared" si="614"/>
        <v>048314</v>
      </c>
      <c r="I2246" t="s">
        <v>833</v>
      </c>
      <c r="J2246" t="str">
        <f t="shared" si="619"/>
        <v>2015-07-01 00:00:00.0</v>
      </c>
      <c r="K2246" t="s">
        <v>834</v>
      </c>
      <c r="L2246" t="s">
        <v>0</v>
      </c>
      <c r="M2246" t="str">
        <f t="shared" si="609"/>
        <v>048314</v>
      </c>
      <c r="N2246">
        <v>1</v>
      </c>
      <c r="O2246">
        <v>1</v>
      </c>
      <c r="P2246" t="str">
        <f>"06"</f>
        <v>06</v>
      </c>
      <c r="Q2246" t="s">
        <v>835</v>
      </c>
      <c r="S2246" t="s">
        <v>860</v>
      </c>
      <c r="T2246" t="s">
        <v>836</v>
      </c>
      <c r="U2246" t="str">
        <f t="shared" si="618"/>
        <v>2500-12-31 00:00:00.0</v>
      </c>
      <c r="V2246" t="s">
        <v>837</v>
      </c>
      <c r="W2246" t="str">
        <f t="shared" si="621"/>
        <v>048314-070417-**-**</v>
      </c>
      <c r="X2246" t="s">
        <v>838</v>
      </c>
      <c r="Y2246">
        <v>1125</v>
      </c>
      <c r="Z2246">
        <v>1125</v>
      </c>
      <c r="AA2246" t="str">
        <f t="shared" si="622"/>
        <v>06/08/2016</v>
      </c>
    </row>
    <row r="2247" spans="1:27" x14ac:dyDescent="0.3">
      <c r="A2247" t="str">
        <f t="shared" si="620"/>
        <v>048314</v>
      </c>
      <c r="B2247" t="str">
        <f t="shared" si="613"/>
        <v>070417</v>
      </c>
      <c r="C2247" t="s">
        <v>2626</v>
      </c>
      <c r="D2247" t="s">
        <v>3839</v>
      </c>
      <c r="E2247" t="s">
        <v>3840</v>
      </c>
      <c r="F2247" t="s">
        <v>3841</v>
      </c>
      <c r="G2247" t="s">
        <v>3842</v>
      </c>
      <c r="H2247" t="str">
        <f t="shared" si="614"/>
        <v>048314</v>
      </c>
      <c r="I2247" t="s">
        <v>833</v>
      </c>
      <c r="J2247" t="str">
        <f t="shared" si="619"/>
        <v>2015-07-01 00:00:00.0</v>
      </c>
      <c r="K2247" t="s">
        <v>834</v>
      </c>
      <c r="L2247" t="s">
        <v>0</v>
      </c>
      <c r="M2247" t="str">
        <f t="shared" si="609"/>
        <v>048314</v>
      </c>
      <c r="N2247">
        <v>1</v>
      </c>
      <c r="O2247">
        <v>1</v>
      </c>
      <c r="P2247" t="str">
        <f>"06"</f>
        <v>06</v>
      </c>
      <c r="Q2247" t="s">
        <v>835</v>
      </c>
      <c r="S2247" t="s">
        <v>836</v>
      </c>
      <c r="T2247" t="s">
        <v>836</v>
      </c>
      <c r="U2247" t="str">
        <f t="shared" si="618"/>
        <v>2500-12-31 00:00:00.0</v>
      </c>
      <c r="V2247" t="s">
        <v>837</v>
      </c>
      <c r="W2247" t="str">
        <f t="shared" si="621"/>
        <v>048314-070417-**-**</v>
      </c>
      <c r="X2247" t="s">
        <v>838</v>
      </c>
      <c r="Y2247">
        <v>1125</v>
      </c>
      <c r="Z2247">
        <v>1125</v>
      </c>
      <c r="AA2247" t="str">
        <f t="shared" si="622"/>
        <v>06/08/2016</v>
      </c>
    </row>
    <row r="2248" spans="1:27" x14ac:dyDescent="0.3">
      <c r="A2248" t="str">
        <f t="shared" si="620"/>
        <v>048314</v>
      </c>
      <c r="B2248" t="str">
        <f t="shared" si="613"/>
        <v>070417</v>
      </c>
      <c r="C2248" t="s">
        <v>2086</v>
      </c>
      <c r="D2248" t="s">
        <v>3839</v>
      </c>
      <c r="E2248" t="s">
        <v>3840</v>
      </c>
      <c r="F2248" t="s">
        <v>3841</v>
      </c>
      <c r="G2248" t="s">
        <v>3842</v>
      </c>
      <c r="H2248" t="str">
        <f t="shared" si="614"/>
        <v>048314</v>
      </c>
      <c r="I2248" t="s">
        <v>833</v>
      </c>
      <c r="J2248" t="str">
        <f t="shared" si="619"/>
        <v>2015-07-01 00:00:00.0</v>
      </c>
      <c r="K2248" t="s">
        <v>834</v>
      </c>
      <c r="L2248" t="s">
        <v>0</v>
      </c>
      <c r="M2248" t="str">
        <f t="shared" si="609"/>
        <v>048314</v>
      </c>
      <c r="N2248">
        <v>1</v>
      </c>
      <c r="O2248">
        <v>1</v>
      </c>
      <c r="P2248" t="str">
        <f>"08"</f>
        <v>08</v>
      </c>
      <c r="Q2248" t="s">
        <v>835</v>
      </c>
      <c r="S2248" t="s">
        <v>836</v>
      </c>
      <c r="T2248" t="s">
        <v>836</v>
      </c>
      <c r="U2248" t="str">
        <f t="shared" si="618"/>
        <v>2500-12-31 00:00:00.0</v>
      </c>
      <c r="V2248" t="s">
        <v>837</v>
      </c>
      <c r="W2248" t="str">
        <f t="shared" si="621"/>
        <v>048314-070417-**-**</v>
      </c>
      <c r="X2248" t="s">
        <v>838</v>
      </c>
      <c r="Y2248">
        <v>1125</v>
      </c>
      <c r="Z2248">
        <v>1125</v>
      </c>
      <c r="AA2248" t="str">
        <f t="shared" si="622"/>
        <v>06/08/2016</v>
      </c>
    </row>
    <row r="2249" spans="1:27" x14ac:dyDescent="0.3">
      <c r="A2249" t="str">
        <f t="shared" si="620"/>
        <v>048314</v>
      </c>
      <c r="B2249" t="str">
        <f t="shared" si="613"/>
        <v>070417</v>
      </c>
      <c r="C2249" t="s">
        <v>2837</v>
      </c>
      <c r="D2249" t="s">
        <v>3839</v>
      </c>
      <c r="E2249" t="s">
        <v>3840</v>
      </c>
      <c r="F2249" t="s">
        <v>3841</v>
      </c>
      <c r="G2249" t="s">
        <v>3842</v>
      </c>
      <c r="H2249" t="str">
        <f t="shared" si="614"/>
        <v>048314</v>
      </c>
      <c r="I2249" t="s">
        <v>833</v>
      </c>
      <c r="J2249" t="str">
        <f t="shared" si="619"/>
        <v>2015-07-01 00:00:00.0</v>
      </c>
      <c r="K2249" t="s">
        <v>834</v>
      </c>
      <c r="L2249" t="s">
        <v>0</v>
      </c>
      <c r="M2249" t="str">
        <f t="shared" si="609"/>
        <v>048314</v>
      </c>
      <c r="N2249">
        <v>1</v>
      </c>
      <c r="O2249">
        <v>1</v>
      </c>
      <c r="P2249" t="str">
        <f>"06"</f>
        <v>06</v>
      </c>
      <c r="Q2249" t="s">
        <v>835</v>
      </c>
      <c r="S2249" t="s">
        <v>836</v>
      </c>
      <c r="T2249" t="s">
        <v>836</v>
      </c>
      <c r="U2249" t="str">
        <f t="shared" si="618"/>
        <v>2500-12-31 00:00:00.0</v>
      </c>
      <c r="V2249" t="s">
        <v>837</v>
      </c>
      <c r="W2249" t="str">
        <f t="shared" si="621"/>
        <v>048314-070417-**-**</v>
      </c>
      <c r="X2249" t="s">
        <v>838</v>
      </c>
      <c r="Y2249">
        <v>1125</v>
      </c>
      <c r="Z2249">
        <v>1125</v>
      </c>
      <c r="AA2249" t="str">
        <f t="shared" si="622"/>
        <v>06/08/2016</v>
      </c>
    </row>
    <row r="2250" spans="1:27" x14ac:dyDescent="0.3">
      <c r="A2250" t="str">
        <f t="shared" si="620"/>
        <v>048314</v>
      </c>
      <c r="B2250" t="str">
        <f t="shared" si="613"/>
        <v>070417</v>
      </c>
      <c r="C2250" t="s">
        <v>2481</v>
      </c>
      <c r="D2250" t="s">
        <v>3839</v>
      </c>
      <c r="E2250" t="s">
        <v>3840</v>
      </c>
      <c r="F2250" t="s">
        <v>3841</v>
      </c>
      <c r="G2250" t="s">
        <v>3842</v>
      </c>
      <c r="H2250" t="str">
        <f t="shared" si="614"/>
        <v>048314</v>
      </c>
      <c r="I2250" t="s">
        <v>833</v>
      </c>
      <c r="J2250" t="str">
        <f t="shared" si="619"/>
        <v>2015-07-01 00:00:00.0</v>
      </c>
      <c r="K2250" t="s">
        <v>834</v>
      </c>
      <c r="L2250" t="s">
        <v>0</v>
      </c>
      <c r="M2250" t="str">
        <f t="shared" si="609"/>
        <v>048314</v>
      </c>
      <c r="N2250">
        <v>1</v>
      </c>
      <c r="O2250">
        <v>1</v>
      </c>
      <c r="P2250" t="str">
        <f>"09"</f>
        <v>09</v>
      </c>
      <c r="Q2250" t="s">
        <v>835</v>
      </c>
      <c r="S2250" t="s">
        <v>836</v>
      </c>
      <c r="T2250" t="s">
        <v>836</v>
      </c>
      <c r="U2250" t="str">
        <f t="shared" si="618"/>
        <v>2500-12-31 00:00:00.0</v>
      </c>
      <c r="V2250" t="s">
        <v>837</v>
      </c>
      <c r="W2250" t="str">
        <f>"048314-004796-**-**"</f>
        <v>048314-004796-**-**</v>
      </c>
      <c r="X2250" t="s">
        <v>838</v>
      </c>
      <c r="Y2250">
        <v>1254.5</v>
      </c>
      <c r="Z2250">
        <v>1254.5</v>
      </c>
      <c r="AA2250" t="str">
        <f t="shared" si="622"/>
        <v>06/08/2016</v>
      </c>
    </row>
    <row r="2251" spans="1:27" x14ac:dyDescent="0.3">
      <c r="A2251" t="str">
        <f t="shared" si="620"/>
        <v>048314</v>
      </c>
      <c r="B2251" t="str">
        <f t="shared" si="613"/>
        <v>070417</v>
      </c>
      <c r="C2251" t="s">
        <v>2250</v>
      </c>
      <c r="D2251" t="s">
        <v>3839</v>
      </c>
      <c r="E2251" t="s">
        <v>3840</v>
      </c>
      <c r="F2251" t="s">
        <v>3841</v>
      </c>
      <c r="G2251" t="s">
        <v>3842</v>
      </c>
      <c r="H2251" t="str">
        <f t="shared" si="614"/>
        <v>048314</v>
      </c>
      <c r="I2251" t="s">
        <v>833</v>
      </c>
      <c r="J2251" t="str">
        <f t="shared" si="619"/>
        <v>2015-07-01 00:00:00.0</v>
      </c>
      <c r="K2251" t="s">
        <v>834</v>
      </c>
      <c r="L2251" t="s">
        <v>0</v>
      </c>
      <c r="M2251" t="str">
        <f t="shared" si="609"/>
        <v>048314</v>
      </c>
      <c r="N2251">
        <v>1</v>
      </c>
      <c r="O2251">
        <v>1</v>
      </c>
      <c r="P2251" t="str">
        <f>"09"</f>
        <v>09</v>
      </c>
      <c r="Q2251" t="s">
        <v>835</v>
      </c>
      <c r="S2251" t="s">
        <v>836</v>
      </c>
      <c r="T2251" t="s">
        <v>836</v>
      </c>
      <c r="U2251" t="str">
        <f t="shared" si="618"/>
        <v>2500-12-31 00:00:00.0</v>
      </c>
      <c r="V2251" t="s">
        <v>837</v>
      </c>
      <c r="W2251" t="str">
        <f>"048314-004796-**-**"</f>
        <v>048314-004796-**-**</v>
      </c>
      <c r="X2251" t="s">
        <v>838</v>
      </c>
      <c r="Y2251">
        <v>1254.5</v>
      </c>
      <c r="Z2251">
        <v>1254.5</v>
      </c>
      <c r="AA2251" t="str">
        <f t="shared" si="622"/>
        <v>06/08/2016</v>
      </c>
    </row>
    <row r="2252" spans="1:27" x14ac:dyDescent="0.3">
      <c r="A2252" t="str">
        <f t="shared" si="620"/>
        <v>048314</v>
      </c>
      <c r="B2252" t="str">
        <f t="shared" si="613"/>
        <v>070417</v>
      </c>
      <c r="C2252" t="s">
        <v>2592</v>
      </c>
      <c r="D2252" t="s">
        <v>3839</v>
      </c>
      <c r="E2252" t="s">
        <v>3840</v>
      </c>
      <c r="F2252" t="s">
        <v>3841</v>
      </c>
      <c r="G2252" t="s">
        <v>3842</v>
      </c>
      <c r="H2252" t="str">
        <f t="shared" si="614"/>
        <v>048314</v>
      </c>
      <c r="I2252" t="s">
        <v>833</v>
      </c>
      <c r="J2252" t="str">
        <f t="shared" si="619"/>
        <v>2015-07-01 00:00:00.0</v>
      </c>
      <c r="K2252" t="s">
        <v>834</v>
      </c>
      <c r="L2252" t="s">
        <v>0</v>
      </c>
      <c r="M2252" t="str">
        <f t="shared" si="609"/>
        <v>048314</v>
      </c>
      <c r="N2252">
        <v>1</v>
      </c>
      <c r="O2252">
        <v>1</v>
      </c>
      <c r="P2252" t="str">
        <f>"07"</f>
        <v>07</v>
      </c>
      <c r="Q2252" t="s">
        <v>835</v>
      </c>
      <c r="S2252" t="s">
        <v>836</v>
      </c>
      <c r="T2252" t="s">
        <v>836</v>
      </c>
      <c r="U2252" t="str">
        <f t="shared" si="618"/>
        <v>2500-12-31 00:00:00.0</v>
      </c>
      <c r="V2252" t="s">
        <v>837</v>
      </c>
      <c r="W2252" t="str">
        <f>"048314-070417-**-**"</f>
        <v>048314-070417-**-**</v>
      </c>
      <c r="X2252" t="s">
        <v>838</v>
      </c>
      <c r="Y2252">
        <v>1125</v>
      </c>
      <c r="Z2252">
        <v>1125</v>
      </c>
      <c r="AA2252" t="str">
        <f t="shared" si="622"/>
        <v>06/08/2016</v>
      </c>
    </row>
    <row r="2253" spans="1:27" x14ac:dyDescent="0.3">
      <c r="A2253" t="str">
        <f t="shared" si="620"/>
        <v>048314</v>
      </c>
      <c r="B2253" t="str">
        <f t="shared" si="613"/>
        <v>070417</v>
      </c>
      <c r="C2253" t="s">
        <v>1859</v>
      </c>
      <c r="D2253" t="s">
        <v>3839</v>
      </c>
      <c r="E2253" t="s">
        <v>3840</v>
      </c>
      <c r="F2253" t="s">
        <v>3841</v>
      </c>
      <c r="G2253" t="s">
        <v>3842</v>
      </c>
      <c r="H2253" t="str">
        <f t="shared" si="614"/>
        <v>048314</v>
      </c>
      <c r="I2253" t="s">
        <v>833</v>
      </c>
      <c r="J2253" t="str">
        <f t="shared" si="619"/>
        <v>2015-07-01 00:00:00.0</v>
      </c>
      <c r="K2253" t="s">
        <v>834</v>
      </c>
      <c r="L2253" t="s">
        <v>0</v>
      </c>
      <c r="M2253" t="str">
        <f t="shared" si="609"/>
        <v>048314</v>
      </c>
      <c r="N2253">
        <v>1</v>
      </c>
      <c r="O2253">
        <v>1</v>
      </c>
      <c r="P2253" t="str">
        <f>"09"</f>
        <v>09</v>
      </c>
      <c r="Q2253" t="s">
        <v>835</v>
      </c>
      <c r="S2253" t="s">
        <v>836</v>
      </c>
      <c r="T2253" t="s">
        <v>836</v>
      </c>
      <c r="U2253" t="str">
        <f t="shared" si="618"/>
        <v>2500-12-31 00:00:00.0</v>
      </c>
      <c r="V2253" t="s">
        <v>837</v>
      </c>
      <c r="W2253" t="str">
        <f>"048314-004796-**-**"</f>
        <v>048314-004796-**-**</v>
      </c>
      <c r="X2253" t="s">
        <v>838</v>
      </c>
      <c r="Y2253">
        <v>1254.5</v>
      </c>
      <c r="Z2253">
        <v>1254.5</v>
      </c>
      <c r="AA2253" t="str">
        <f t="shared" si="622"/>
        <v>06/08/2016</v>
      </c>
    </row>
    <row r="2254" spans="1:27" x14ac:dyDescent="0.3">
      <c r="A2254" t="str">
        <f t="shared" si="620"/>
        <v>048314</v>
      </c>
      <c r="B2254" t="str">
        <f t="shared" si="613"/>
        <v>070417</v>
      </c>
      <c r="C2254" t="s">
        <v>2199</v>
      </c>
      <c r="D2254" t="s">
        <v>3839</v>
      </c>
      <c r="E2254" t="s">
        <v>3840</v>
      </c>
      <c r="F2254" t="s">
        <v>3841</v>
      </c>
      <c r="G2254" t="s">
        <v>3842</v>
      </c>
      <c r="H2254" t="str">
        <f t="shared" si="614"/>
        <v>048314</v>
      </c>
      <c r="I2254" t="s">
        <v>833</v>
      </c>
      <c r="J2254" t="str">
        <f t="shared" si="619"/>
        <v>2015-07-01 00:00:00.0</v>
      </c>
      <c r="K2254" t="s">
        <v>834</v>
      </c>
      <c r="L2254" t="s">
        <v>0</v>
      </c>
      <c r="M2254" t="str">
        <f t="shared" si="609"/>
        <v>048314</v>
      </c>
      <c r="N2254">
        <v>1</v>
      </c>
      <c r="O2254">
        <v>1</v>
      </c>
      <c r="P2254" t="str">
        <f>"09"</f>
        <v>09</v>
      </c>
      <c r="Q2254" t="s">
        <v>835</v>
      </c>
      <c r="S2254" t="s">
        <v>836</v>
      </c>
      <c r="T2254" t="s">
        <v>836</v>
      </c>
      <c r="U2254" t="str">
        <f t="shared" si="618"/>
        <v>2500-12-31 00:00:00.0</v>
      </c>
      <c r="V2254" t="s">
        <v>837</v>
      </c>
      <c r="W2254" t="str">
        <f>"048314-004796-**-**"</f>
        <v>048314-004796-**-**</v>
      </c>
      <c r="X2254" t="s">
        <v>838</v>
      </c>
      <c r="Y2254">
        <v>1254.5</v>
      </c>
      <c r="Z2254">
        <v>1254.5</v>
      </c>
      <c r="AA2254" t="str">
        <f t="shared" si="622"/>
        <v>06/08/2016</v>
      </c>
    </row>
    <row r="2255" spans="1:27" x14ac:dyDescent="0.3">
      <c r="A2255" t="str">
        <f t="shared" si="620"/>
        <v>048314</v>
      </c>
      <c r="B2255" t="str">
        <f t="shared" si="613"/>
        <v>070417</v>
      </c>
      <c r="C2255" t="s">
        <v>2200</v>
      </c>
      <c r="D2255" t="s">
        <v>3839</v>
      </c>
      <c r="E2255" t="s">
        <v>3840</v>
      </c>
      <c r="F2255" t="s">
        <v>3841</v>
      </c>
      <c r="G2255" t="s">
        <v>3842</v>
      </c>
      <c r="H2255" t="str">
        <f t="shared" si="614"/>
        <v>048314</v>
      </c>
      <c r="I2255" t="s">
        <v>833</v>
      </c>
      <c r="J2255" t="str">
        <f t="shared" si="619"/>
        <v>2015-07-01 00:00:00.0</v>
      </c>
      <c r="K2255" t="s">
        <v>834</v>
      </c>
      <c r="L2255" t="s">
        <v>0</v>
      </c>
      <c r="M2255" t="str">
        <f t="shared" si="609"/>
        <v>048314</v>
      </c>
      <c r="N2255">
        <v>1</v>
      </c>
      <c r="O2255">
        <v>1</v>
      </c>
      <c r="P2255" t="str">
        <f>"09"</f>
        <v>09</v>
      </c>
      <c r="Q2255" t="s">
        <v>835</v>
      </c>
      <c r="S2255" t="s">
        <v>836</v>
      </c>
      <c r="T2255" t="s">
        <v>836</v>
      </c>
      <c r="U2255" t="str">
        <f t="shared" si="618"/>
        <v>2500-12-31 00:00:00.0</v>
      </c>
      <c r="V2255" t="s">
        <v>837</v>
      </c>
      <c r="W2255" t="str">
        <f>"048314-004796-**-**"</f>
        <v>048314-004796-**-**</v>
      </c>
      <c r="X2255" t="s">
        <v>838</v>
      </c>
      <c r="Y2255">
        <v>1254.5</v>
      </c>
      <c r="Z2255">
        <v>1254.5</v>
      </c>
      <c r="AA2255" t="str">
        <f t="shared" si="622"/>
        <v>06/08/2016</v>
      </c>
    </row>
    <row r="2256" spans="1:27" x14ac:dyDescent="0.3">
      <c r="A2256" t="str">
        <f t="shared" si="620"/>
        <v>048314</v>
      </c>
      <c r="B2256" t="str">
        <f t="shared" si="613"/>
        <v>070417</v>
      </c>
      <c r="C2256" t="s">
        <v>2407</v>
      </c>
      <c r="D2256" t="s">
        <v>3839</v>
      </c>
      <c r="E2256" t="s">
        <v>3840</v>
      </c>
      <c r="F2256" t="s">
        <v>3841</v>
      </c>
      <c r="G2256" t="s">
        <v>3842</v>
      </c>
      <c r="H2256" t="str">
        <f t="shared" si="614"/>
        <v>048314</v>
      </c>
      <c r="I2256" t="s">
        <v>833</v>
      </c>
      <c r="J2256" t="str">
        <f t="shared" si="619"/>
        <v>2015-07-01 00:00:00.0</v>
      </c>
      <c r="K2256" t="s">
        <v>834</v>
      </c>
      <c r="L2256" t="s">
        <v>0</v>
      </c>
      <c r="M2256" t="str">
        <f t="shared" si="609"/>
        <v>048314</v>
      </c>
      <c r="N2256">
        <v>1</v>
      </c>
      <c r="O2256">
        <v>1</v>
      </c>
      <c r="P2256" t="str">
        <f>"07"</f>
        <v>07</v>
      </c>
      <c r="Q2256" t="s">
        <v>835</v>
      </c>
      <c r="S2256" t="s">
        <v>836</v>
      </c>
      <c r="T2256" t="s">
        <v>836</v>
      </c>
      <c r="U2256" t="str">
        <f t="shared" si="618"/>
        <v>2500-12-31 00:00:00.0</v>
      </c>
      <c r="V2256" t="s">
        <v>837</v>
      </c>
      <c r="W2256" t="str">
        <f>"048314-070417-**-**"</f>
        <v>048314-070417-**-**</v>
      </c>
      <c r="X2256" t="s">
        <v>838</v>
      </c>
      <c r="Y2256">
        <v>1125</v>
      </c>
      <c r="Z2256">
        <v>1125</v>
      </c>
      <c r="AA2256" t="str">
        <f t="shared" si="622"/>
        <v>06/08/2016</v>
      </c>
    </row>
    <row r="2257" spans="1:27" x14ac:dyDescent="0.3">
      <c r="A2257" t="str">
        <f t="shared" si="620"/>
        <v>048314</v>
      </c>
      <c r="B2257" t="str">
        <f t="shared" si="613"/>
        <v>070417</v>
      </c>
      <c r="C2257" t="s">
        <v>2192</v>
      </c>
      <c r="D2257" t="s">
        <v>3839</v>
      </c>
      <c r="E2257" t="s">
        <v>3840</v>
      </c>
      <c r="F2257" t="s">
        <v>3841</v>
      </c>
      <c r="G2257" t="s">
        <v>3842</v>
      </c>
      <c r="H2257" t="str">
        <f t="shared" si="614"/>
        <v>048314</v>
      </c>
      <c r="I2257" t="s">
        <v>833</v>
      </c>
      <c r="J2257" t="str">
        <f>"2015-08-01 00:00:00.0"</f>
        <v>2015-08-01 00:00:00.0</v>
      </c>
      <c r="K2257" t="s">
        <v>834</v>
      </c>
      <c r="L2257" t="s">
        <v>0</v>
      </c>
      <c r="M2257" t="str">
        <f t="shared" si="609"/>
        <v>048314</v>
      </c>
      <c r="N2257">
        <v>1</v>
      </c>
      <c r="O2257">
        <v>1</v>
      </c>
      <c r="P2257" t="str">
        <f>"08"</f>
        <v>08</v>
      </c>
      <c r="Q2257" t="s">
        <v>835</v>
      </c>
      <c r="S2257" t="s">
        <v>836</v>
      </c>
      <c r="T2257" t="s">
        <v>836</v>
      </c>
      <c r="U2257" t="str">
        <f t="shared" si="618"/>
        <v>2500-12-31 00:00:00.0</v>
      </c>
      <c r="V2257" t="s">
        <v>837</v>
      </c>
      <c r="W2257" t="str">
        <f>"048314-070417-**-**"</f>
        <v>048314-070417-**-**</v>
      </c>
      <c r="X2257" t="s">
        <v>838</v>
      </c>
      <c r="Y2257">
        <v>1125</v>
      </c>
      <c r="Z2257">
        <v>1125</v>
      </c>
      <c r="AA2257" t="str">
        <f t="shared" si="622"/>
        <v>06/08/2016</v>
      </c>
    </row>
    <row r="2258" spans="1:27" x14ac:dyDescent="0.3">
      <c r="A2258" t="str">
        <f t="shared" si="620"/>
        <v>048314</v>
      </c>
      <c r="B2258" t="str">
        <f t="shared" si="613"/>
        <v>070417</v>
      </c>
      <c r="C2258" t="s">
        <v>2171</v>
      </c>
      <c r="D2258" t="s">
        <v>3839</v>
      </c>
      <c r="E2258" t="s">
        <v>3840</v>
      </c>
      <c r="F2258" t="s">
        <v>3841</v>
      </c>
      <c r="G2258" t="s">
        <v>3842</v>
      </c>
      <c r="H2258" t="str">
        <f t="shared" si="614"/>
        <v>048314</v>
      </c>
      <c r="I2258" t="s">
        <v>833</v>
      </c>
      <c r="J2258" t="str">
        <f>"2015-07-01 00:00:00.0"</f>
        <v>2015-07-01 00:00:00.0</v>
      </c>
      <c r="K2258" t="s">
        <v>834</v>
      </c>
      <c r="L2258" t="s">
        <v>0</v>
      </c>
      <c r="M2258" t="str">
        <f t="shared" si="609"/>
        <v>048314</v>
      </c>
      <c r="N2258">
        <v>1</v>
      </c>
      <c r="O2258">
        <v>1</v>
      </c>
      <c r="P2258" t="str">
        <f>"09"</f>
        <v>09</v>
      </c>
      <c r="Q2258" t="s">
        <v>835</v>
      </c>
      <c r="S2258" t="s">
        <v>836</v>
      </c>
      <c r="T2258" t="s">
        <v>836</v>
      </c>
      <c r="U2258" t="str">
        <f t="shared" si="618"/>
        <v>2500-12-31 00:00:00.0</v>
      </c>
      <c r="V2258" t="s">
        <v>837</v>
      </c>
      <c r="W2258" t="str">
        <f>"048314-004796-**-**"</f>
        <v>048314-004796-**-**</v>
      </c>
      <c r="X2258" t="s">
        <v>838</v>
      </c>
      <c r="Y2258">
        <v>1254.5</v>
      </c>
      <c r="Z2258">
        <v>1254.5</v>
      </c>
      <c r="AA2258" t="str">
        <f t="shared" si="622"/>
        <v>06/08/2016</v>
      </c>
    </row>
    <row r="2259" spans="1:27" x14ac:dyDescent="0.3">
      <c r="A2259" t="str">
        <f t="shared" si="620"/>
        <v>048314</v>
      </c>
      <c r="B2259" t="str">
        <f t="shared" si="613"/>
        <v>070417</v>
      </c>
      <c r="C2259" t="s">
        <v>2627</v>
      </c>
      <c r="D2259" t="s">
        <v>3839</v>
      </c>
      <c r="E2259" t="s">
        <v>3840</v>
      </c>
      <c r="F2259" t="s">
        <v>3841</v>
      </c>
      <c r="G2259" t="s">
        <v>3842</v>
      </c>
      <c r="H2259" t="str">
        <f t="shared" si="614"/>
        <v>048314</v>
      </c>
      <c r="I2259" t="s">
        <v>833</v>
      </c>
      <c r="J2259" t="str">
        <f>"2015-07-01 00:00:00.0"</f>
        <v>2015-07-01 00:00:00.0</v>
      </c>
      <c r="K2259" t="s">
        <v>834</v>
      </c>
      <c r="L2259" t="s">
        <v>0</v>
      </c>
      <c r="M2259" t="str">
        <f t="shared" si="609"/>
        <v>048314</v>
      </c>
      <c r="N2259">
        <v>1</v>
      </c>
      <c r="O2259">
        <v>1</v>
      </c>
      <c r="P2259" t="str">
        <f>"07"</f>
        <v>07</v>
      </c>
      <c r="Q2259" t="str">
        <f>"15"</f>
        <v>15</v>
      </c>
      <c r="R2259" t="str">
        <f>"2"</f>
        <v>2</v>
      </c>
      <c r="S2259" t="s">
        <v>836</v>
      </c>
      <c r="T2259" t="s">
        <v>836</v>
      </c>
      <c r="U2259" t="str">
        <f t="shared" si="618"/>
        <v>2500-12-31 00:00:00.0</v>
      </c>
      <c r="V2259" t="s">
        <v>837</v>
      </c>
      <c r="W2259" t="str">
        <f t="shared" ref="W2259:W2266" si="623">"048314-070417-**-**"</f>
        <v>048314-070417-**-**</v>
      </c>
      <c r="X2259" t="s">
        <v>838</v>
      </c>
      <c r="Y2259">
        <v>1125</v>
      </c>
      <c r="Z2259">
        <v>1125</v>
      </c>
      <c r="AA2259" t="str">
        <f t="shared" si="622"/>
        <v>06/08/2016</v>
      </c>
    </row>
    <row r="2260" spans="1:27" x14ac:dyDescent="0.3">
      <c r="A2260" t="str">
        <f t="shared" si="620"/>
        <v>048314</v>
      </c>
      <c r="B2260" t="str">
        <f t="shared" si="613"/>
        <v>070417</v>
      </c>
      <c r="C2260" t="s">
        <v>1860</v>
      </c>
      <c r="D2260" t="s">
        <v>3839</v>
      </c>
      <c r="E2260" t="s">
        <v>3840</v>
      </c>
      <c r="F2260" t="s">
        <v>3841</v>
      </c>
      <c r="G2260" t="s">
        <v>3842</v>
      </c>
      <c r="H2260" t="str">
        <f t="shared" si="614"/>
        <v>048314</v>
      </c>
      <c r="I2260" t="s">
        <v>833</v>
      </c>
      <c r="J2260" t="str">
        <f>"2016-01-20 00:00:00.0"</f>
        <v>2016-01-20 00:00:00.0</v>
      </c>
      <c r="K2260" t="s">
        <v>834</v>
      </c>
      <c r="L2260" t="s">
        <v>0</v>
      </c>
      <c r="M2260" t="str">
        <f t="shared" si="609"/>
        <v>048314</v>
      </c>
      <c r="N2260">
        <v>0.51111099999999998</v>
      </c>
      <c r="O2260">
        <v>0.51111099999999998</v>
      </c>
      <c r="P2260" t="str">
        <f>"08"</f>
        <v>08</v>
      </c>
      <c r="Q2260" t="s">
        <v>835</v>
      </c>
      <c r="S2260" t="s">
        <v>860</v>
      </c>
      <c r="T2260" t="s">
        <v>836</v>
      </c>
      <c r="U2260" t="str">
        <f t="shared" si="618"/>
        <v>2500-12-31 00:00:00.0</v>
      </c>
      <c r="V2260" t="s">
        <v>837</v>
      </c>
      <c r="W2260" t="str">
        <f t="shared" si="623"/>
        <v>048314-070417-**-**</v>
      </c>
      <c r="X2260" t="s">
        <v>838</v>
      </c>
      <c r="Y2260">
        <v>575</v>
      </c>
      <c r="Z2260">
        <v>1125</v>
      </c>
      <c r="AA2260" t="str">
        <f t="shared" si="622"/>
        <v>06/08/2016</v>
      </c>
    </row>
    <row r="2261" spans="1:27" x14ac:dyDescent="0.3">
      <c r="A2261" t="str">
        <f t="shared" si="620"/>
        <v>048314</v>
      </c>
      <c r="B2261" t="str">
        <f t="shared" si="613"/>
        <v>070417</v>
      </c>
      <c r="C2261" t="s">
        <v>2483</v>
      </c>
      <c r="D2261" t="s">
        <v>3839</v>
      </c>
      <c r="E2261" t="s">
        <v>3840</v>
      </c>
      <c r="F2261" t="s">
        <v>3841</v>
      </c>
      <c r="G2261" t="s">
        <v>3842</v>
      </c>
      <c r="H2261" t="str">
        <f t="shared" si="614"/>
        <v>048314</v>
      </c>
      <c r="I2261" t="s">
        <v>833</v>
      </c>
      <c r="J2261" t="str">
        <f t="shared" ref="J2261:J2274" si="624">"2015-07-01 00:00:00.0"</f>
        <v>2015-07-01 00:00:00.0</v>
      </c>
      <c r="K2261" t="s">
        <v>834</v>
      </c>
      <c r="L2261" t="s">
        <v>0</v>
      </c>
      <c r="M2261" t="str">
        <f t="shared" si="609"/>
        <v>048314</v>
      </c>
      <c r="N2261">
        <v>1</v>
      </c>
      <c r="O2261">
        <v>1</v>
      </c>
      <c r="P2261" t="str">
        <f>"07"</f>
        <v>07</v>
      </c>
      <c r="Q2261" t="s">
        <v>835</v>
      </c>
      <c r="S2261" t="s">
        <v>860</v>
      </c>
      <c r="T2261" t="s">
        <v>836</v>
      </c>
      <c r="U2261" t="str">
        <f t="shared" si="618"/>
        <v>2500-12-31 00:00:00.0</v>
      </c>
      <c r="V2261" t="s">
        <v>837</v>
      </c>
      <c r="W2261" t="str">
        <f t="shared" si="623"/>
        <v>048314-070417-**-**</v>
      </c>
      <c r="X2261" t="s">
        <v>838</v>
      </c>
      <c r="Y2261">
        <v>1125</v>
      </c>
      <c r="Z2261">
        <v>1125</v>
      </c>
      <c r="AA2261" t="str">
        <f t="shared" si="622"/>
        <v>06/08/2016</v>
      </c>
    </row>
    <row r="2262" spans="1:27" x14ac:dyDescent="0.3">
      <c r="A2262" t="str">
        <f t="shared" si="620"/>
        <v>048314</v>
      </c>
      <c r="B2262" t="str">
        <f t="shared" si="613"/>
        <v>070417</v>
      </c>
      <c r="C2262" t="s">
        <v>1992</v>
      </c>
      <c r="D2262" t="s">
        <v>3839</v>
      </c>
      <c r="E2262" t="s">
        <v>3840</v>
      </c>
      <c r="F2262" t="s">
        <v>3841</v>
      </c>
      <c r="G2262" t="s">
        <v>3842</v>
      </c>
      <c r="H2262" t="str">
        <f t="shared" si="614"/>
        <v>048314</v>
      </c>
      <c r="I2262" t="s">
        <v>833</v>
      </c>
      <c r="J2262" t="str">
        <f t="shared" si="624"/>
        <v>2015-07-01 00:00:00.0</v>
      </c>
      <c r="K2262" t="s">
        <v>834</v>
      </c>
      <c r="L2262" t="s">
        <v>0</v>
      </c>
      <c r="M2262" t="str">
        <f t="shared" si="609"/>
        <v>048314</v>
      </c>
      <c r="N2262">
        <v>1</v>
      </c>
      <c r="O2262">
        <v>1</v>
      </c>
      <c r="P2262" t="str">
        <f>"07"</f>
        <v>07</v>
      </c>
      <c r="Q2262" t="str">
        <f>"05"</f>
        <v>05</v>
      </c>
      <c r="R2262" t="str">
        <f>"1"</f>
        <v>1</v>
      </c>
      <c r="S2262" t="s">
        <v>836</v>
      </c>
      <c r="T2262" t="s">
        <v>836</v>
      </c>
      <c r="U2262" t="str">
        <f t="shared" si="618"/>
        <v>2500-12-31 00:00:00.0</v>
      </c>
      <c r="V2262" t="s">
        <v>837</v>
      </c>
      <c r="W2262" t="str">
        <f t="shared" si="623"/>
        <v>048314-070417-**-**</v>
      </c>
      <c r="X2262" t="s">
        <v>838</v>
      </c>
      <c r="Y2262">
        <v>1125</v>
      </c>
      <c r="Z2262">
        <v>1125</v>
      </c>
      <c r="AA2262" t="str">
        <f t="shared" si="622"/>
        <v>06/08/2016</v>
      </c>
    </row>
    <row r="2263" spans="1:27" x14ac:dyDescent="0.3">
      <c r="A2263" t="str">
        <f t="shared" si="620"/>
        <v>048314</v>
      </c>
      <c r="B2263" t="str">
        <f t="shared" si="613"/>
        <v>070417</v>
      </c>
      <c r="C2263" t="s">
        <v>2201</v>
      </c>
      <c r="D2263" t="s">
        <v>3839</v>
      </c>
      <c r="E2263" t="s">
        <v>3840</v>
      </c>
      <c r="F2263" t="s">
        <v>3841</v>
      </c>
      <c r="G2263" t="s">
        <v>3842</v>
      </c>
      <c r="H2263" t="str">
        <f t="shared" si="614"/>
        <v>048314</v>
      </c>
      <c r="I2263" t="s">
        <v>833</v>
      </c>
      <c r="J2263" t="str">
        <f t="shared" si="624"/>
        <v>2015-07-01 00:00:00.0</v>
      </c>
      <c r="K2263" t="s">
        <v>834</v>
      </c>
      <c r="L2263" t="s">
        <v>0</v>
      </c>
      <c r="M2263" t="str">
        <f t="shared" si="609"/>
        <v>048314</v>
      </c>
      <c r="N2263">
        <v>1</v>
      </c>
      <c r="O2263">
        <v>1</v>
      </c>
      <c r="P2263" t="str">
        <f>"08"</f>
        <v>08</v>
      </c>
      <c r="Q2263" t="s">
        <v>835</v>
      </c>
      <c r="S2263" t="s">
        <v>836</v>
      </c>
      <c r="T2263" t="s">
        <v>836</v>
      </c>
      <c r="U2263" t="str">
        <f t="shared" si="618"/>
        <v>2500-12-31 00:00:00.0</v>
      </c>
      <c r="V2263" t="s">
        <v>837</v>
      </c>
      <c r="W2263" t="str">
        <f t="shared" si="623"/>
        <v>048314-070417-**-**</v>
      </c>
      <c r="X2263" t="s">
        <v>838</v>
      </c>
      <c r="Y2263">
        <v>1125</v>
      </c>
      <c r="Z2263">
        <v>1125</v>
      </c>
      <c r="AA2263" t="str">
        <f t="shared" si="622"/>
        <v>06/08/2016</v>
      </c>
    </row>
    <row r="2264" spans="1:27" x14ac:dyDescent="0.3">
      <c r="A2264" t="str">
        <f t="shared" si="620"/>
        <v>048314</v>
      </c>
      <c r="B2264" t="str">
        <f t="shared" si="613"/>
        <v>070417</v>
      </c>
      <c r="C2264" t="s">
        <v>2628</v>
      </c>
      <c r="D2264" t="s">
        <v>3839</v>
      </c>
      <c r="E2264" t="s">
        <v>3840</v>
      </c>
      <c r="F2264" t="s">
        <v>3841</v>
      </c>
      <c r="G2264" t="s">
        <v>3842</v>
      </c>
      <c r="H2264" t="str">
        <f t="shared" si="614"/>
        <v>048314</v>
      </c>
      <c r="I2264" t="s">
        <v>833</v>
      </c>
      <c r="J2264" t="str">
        <f t="shared" si="624"/>
        <v>2015-07-01 00:00:00.0</v>
      </c>
      <c r="K2264" t="s">
        <v>834</v>
      </c>
      <c r="L2264" t="s">
        <v>0</v>
      </c>
      <c r="M2264" t="str">
        <f t="shared" si="609"/>
        <v>048314</v>
      </c>
      <c r="N2264">
        <v>1</v>
      </c>
      <c r="O2264">
        <v>1</v>
      </c>
      <c r="P2264" t="str">
        <f>"06"</f>
        <v>06</v>
      </c>
      <c r="Q2264" t="s">
        <v>835</v>
      </c>
      <c r="S2264" t="s">
        <v>836</v>
      </c>
      <c r="T2264" t="s">
        <v>836</v>
      </c>
      <c r="U2264" t="str">
        <f t="shared" si="618"/>
        <v>2500-12-31 00:00:00.0</v>
      </c>
      <c r="V2264" t="s">
        <v>837</v>
      </c>
      <c r="W2264" t="str">
        <f t="shared" si="623"/>
        <v>048314-070417-**-**</v>
      </c>
      <c r="X2264" t="s">
        <v>838</v>
      </c>
      <c r="Y2264">
        <v>1125</v>
      </c>
      <c r="Z2264">
        <v>1125</v>
      </c>
      <c r="AA2264" t="str">
        <f t="shared" si="622"/>
        <v>06/08/2016</v>
      </c>
    </row>
    <row r="2265" spans="1:27" x14ac:dyDescent="0.3">
      <c r="A2265" t="str">
        <f t="shared" si="620"/>
        <v>048314</v>
      </c>
      <c r="B2265" t="str">
        <f t="shared" si="613"/>
        <v>070417</v>
      </c>
      <c r="C2265" t="s">
        <v>3622</v>
      </c>
      <c r="D2265" t="s">
        <v>3839</v>
      </c>
      <c r="E2265" t="s">
        <v>3840</v>
      </c>
      <c r="F2265" t="s">
        <v>3841</v>
      </c>
      <c r="G2265" t="s">
        <v>3842</v>
      </c>
      <c r="H2265" t="str">
        <f t="shared" si="614"/>
        <v>048314</v>
      </c>
      <c r="I2265" t="s">
        <v>833</v>
      </c>
      <c r="J2265" t="str">
        <f t="shared" si="624"/>
        <v>2015-07-01 00:00:00.0</v>
      </c>
      <c r="K2265" t="s">
        <v>834</v>
      </c>
      <c r="L2265" t="s">
        <v>0</v>
      </c>
      <c r="M2265" t="str">
        <f t="shared" ref="M2265:M2328" si="625">"048314"</f>
        <v>048314</v>
      </c>
      <c r="N2265">
        <v>1</v>
      </c>
      <c r="O2265">
        <v>1</v>
      </c>
      <c r="P2265" t="str">
        <f>"07"</f>
        <v>07</v>
      </c>
      <c r="Q2265" t="s">
        <v>835</v>
      </c>
      <c r="S2265" t="s">
        <v>860</v>
      </c>
      <c r="T2265" t="s">
        <v>836</v>
      </c>
      <c r="U2265" t="str">
        <f t="shared" si="618"/>
        <v>2500-12-31 00:00:00.0</v>
      </c>
      <c r="V2265" t="s">
        <v>837</v>
      </c>
      <c r="W2265" t="str">
        <f t="shared" si="623"/>
        <v>048314-070417-**-**</v>
      </c>
      <c r="X2265" t="s">
        <v>838</v>
      </c>
      <c r="Y2265">
        <v>1125</v>
      </c>
      <c r="Z2265">
        <v>1125</v>
      </c>
      <c r="AA2265" t="str">
        <f t="shared" si="622"/>
        <v>06/08/2016</v>
      </c>
    </row>
    <row r="2266" spans="1:27" x14ac:dyDescent="0.3">
      <c r="A2266" t="str">
        <f t="shared" si="620"/>
        <v>048314</v>
      </c>
      <c r="B2266" t="str">
        <f t="shared" si="613"/>
        <v>070417</v>
      </c>
      <c r="C2266" t="s">
        <v>2569</v>
      </c>
      <c r="D2266" t="s">
        <v>3839</v>
      </c>
      <c r="E2266" t="s">
        <v>3840</v>
      </c>
      <c r="F2266" t="s">
        <v>3841</v>
      </c>
      <c r="G2266" t="s">
        <v>3842</v>
      </c>
      <c r="H2266" t="str">
        <f t="shared" si="614"/>
        <v>048314</v>
      </c>
      <c r="I2266" t="s">
        <v>833</v>
      </c>
      <c r="J2266" t="str">
        <f t="shared" si="624"/>
        <v>2015-07-01 00:00:00.0</v>
      </c>
      <c r="K2266" t="s">
        <v>834</v>
      </c>
      <c r="L2266" t="s">
        <v>0</v>
      </c>
      <c r="M2266" t="str">
        <f t="shared" si="625"/>
        <v>048314</v>
      </c>
      <c r="N2266">
        <v>1</v>
      </c>
      <c r="O2266">
        <v>1</v>
      </c>
      <c r="P2266" t="str">
        <f>"06"</f>
        <v>06</v>
      </c>
      <c r="Q2266" t="s">
        <v>835</v>
      </c>
      <c r="S2266" t="s">
        <v>836</v>
      </c>
      <c r="T2266" t="s">
        <v>836</v>
      </c>
      <c r="U2266" t="str">
        <f t="shared" si="618"/>
        <v>2500-12-31 00:00:00.0</v>
      </c>
      <c r="V2266" t="s">
        <v>837</v>
      </c>
      <c r="W2266" t="str">
        <f t="shared" si="623"/>
        <v>048314-070417-**-**</v>
      </c>
      <c r="X2266" t="s">
        <v>838</v>
      </c>
      <c r="Y2266">
        <v>1125</v>
      </c>
      <c r="Z2266">
        <v>1125</v>
      </c>
      <c r="AA2266" t="str">
        <f t="shared" si="622"/>
        <v>06/08/2016</v>
      </c>
    </row>
    <row r="2267" spans="1:27" x14ac:dyDescent="0.3">
      <c r="A2267" t="str">
        <f t="shared" si="620"/>
        <v>048314</v>
      </c>
      <c r="B2267" t="str">
        <f t="shared" si="613"/>
        <v>070417</v>
      </c>
      <c r="C2267" t="s">
        <v>1504</v>
      </c>
      <c r="D2267" t="s">
        <v>3839</v>
      </c>
      <c r="E2267" t="s">
        <v>3840</v>
      </c>
      <c r="F2267" t="s">
        <v>3841</v>
      </c>
      <c r="G2267" t="s">
        <v>3842</v>
      </c>
      <c r="H2267" t="str">
        <f t="shared" si="614"/>
        <v>048314</v>
      </c>
      <c r="I2267" t="s">
        <v>833</v>
      </c>
      <c r="J2267" t="str">
        <f t="shared" si="624"/>
        <v>2015-07-01 00:00:00.0</v>
      </c>
      <c r="K2267" t="s">
        <v>834</v>
      </c>
      <c r="L2267" t="s">
        <v>0</v>
      </c>
      <c r="M2267" t="str">
        <f t="shared" si="625"/>
        <v>048314</v>
      </c>
      <c r="N2267">
        <v>1</v>
      </c>
      <c r="O2267">
        <v>1</v>
      </c>
      <c r="P2267" t="str">
        <f>"09"</f>
        <v>09</v>
      </c>
      <c r="Q2267" t="s">
        <v>835</v>
      </c>
      <c r="S2267" t="s">
        <v>836</v>
      </c>
      <c r="T2267" t="s">
        <v>836</v>
      </c>
      <c r="U2267" t="str">
        <f t="shared" si="618"/>
        <v>2500-12-31 00:00:00.0</v>
      </c>
      <c r="V2267" t="s">
        <v>837</v>
      </c>
      <c r="W2267" t="str">
        <f>"048314-004796-**-**"</f>
        <v>048314-004796-**-**</v>
      </c>
      <c r="X2267" t="s">
        <v>838</v>
      </c>
      <c r="Y2267">
        <v>1254.5</v>
      </c>
      <c r="Z2267">
        <v>1254.5</v>
      </c>
      <c r="AA2267" t="str">
        <f t="shared" si="622"/>
        <v>06/08/2016</v>
      </c>
    </row>
    <row r="2268" spans="1:27" x14ac:dyDescent="0.3">
      <c r="A2268" t="str">
        <f t="shared" si="620"/>
        <v>048314</v>
      </c>
      <c r="B2268" t="str">
        <f t="shared" si="613"/>
        <v>070417</v>
      </c>
      <c r="C2268" t="s">
        <v>2313</v>
      </c>
      <c r="D2268" t="s">
        <v>3839</v>
      </c>
      <c r="E2268" t="s">
        <v>3840</v>
      </c>
      <c r="F2268" t="s">
        <v>3841</v>
      </c>
      <c r="G2268" t="s">
        <v>3842</v>
      </c>
      <c r="H2268" t="str">
        <f t="shared" si="614"/>
        <v>048314</v>
      </c>
      <c r="I2268" t="s">
        <v>833</v>
      </c>
      <c r="J2268" t="str">
        <f t="shared" si="624"/>
        <v>2015-07-01 00:00:00.0</v>
      </c>
      <c r="K2268" t="s">
        <v>834</v>
      </c>
      <c r="L2268" t="s">
        <v>0</v>
      </c>
      <c r="M2268" t="str">
        <f t="shared" si="625"/>
        <v>048314</v>
      </c>
      <c r="N2268">
        <v>1</v>
      </c>
      <c r="O2268">
        <v>1</v>
      </c>
      <c r="P2268" t="str">
        <f>"07"</f>
        <v>07</v>
      </c>
      <c r="Q2268" t="s">
        <v>835</v>
      </c>
      <c r="S2268" t="s">
        <v>836</v>
      </c>
      <c r="T2268" t="s">
        <v>836</v>
      </c>
      <c r="U2268" t="str">
        <f t="shared" si="618"/>
        <v>2500-12-31 00:00:00.0</v>
      </c>
      <c r="V2268" t="s">
        <v>837</v>
      </c>
      <c r="W2268" t="str">
        <f>"048314-070417-**-**"</f>
        <v>048314-070417-**-**</v>
      </c>
      <c r="X2268" t="s">
        <v>838</v>
      </c>
      <c r="Y2268">
        <v>1125</v>
      </c>
      <c r="Z2268">
        <v>1125</v>
      </c>
      <c r="AA2268" t="str">
        <f t="shared" si="622"/>
        <v>06/08/2016</v>
      </c>
    </row>
    <row r="2269" spans="1:27" x14ac:dyDescent="0.3">
      <c r="A2269" t="str">
        <f t="shared" si="620"/>
        <v>048314</v>
      </c>
      <c r="B2269" t="str">
        <f t="shared" si="613"/>
        <v>070417</v>
      </c>
      <c r="C2269" t="s">
        <v>2408</v>
      </c>
      <c r="D2269" t="s">
        <v>3839</v>
      </c>
      <c r="E2269" t="s">
        <v>3840</v>
      </c>
      <c r="F2269" t="s">
        <v>3841</v>
      </c>
      <c r="G2269" t="s">
        <v>3842</v>
      </c>
      <c r="H2269" t="str">
        <f t="shared" si="614"/>
        <v>048314</v>
      </c>
      <c r="I2269" t="s">
        <v>833</v>
      </c>
      <c r="J2269" t="str">
        <f t="shared" si="624"/>
        <v>2015-07-01 00:00:00.0</v>
      </c>
      <c r="K2269" t="s">
        <v>834</v>
      </c>
      <c r="L2269" t="s">
        <v>0</v>
      </c>
      <c r="M2269" t="str">
        <f t="shared" si="625"/>
        <v>048314</v>
      </c>
      <c r="N2269">
        <v>1</v>
      </c>
      <c r="O2269">
        <v>1</v>
      </c>
      <c r="P2269" t="str">
        <f>"08"</f>
        <v>08</v>
      </c>
      <c r="Q2269" t="str">
        <f>"10"</f>
        <v>10</v>
      </c>
      <c r="R2269" t="str">
        <f>"2"</f>
        <v>2</v>
      </c>
      <c r="S2269" t="s">
        <v>836</v>
      </c>
      <c r="T2269" t="s">
        <v>836</v>
      </c>
      <c r="U2269" t="str">
        <f t="shared" si="618"/>
        <v>2500-12-31 00:00:00.0</v>
      </c>
      <c r="V2269" t="s">
        <v>837</v>
      </c>
      <c r="W2269" t="str">
        <f>"048314-070417-**-**"</f>
        <v>048314-070417-**-**</v>
      </c>
      <c r="X2269" t="s">
        <v>838</v>
      </c>
      <c r="Y2269">
        <v>1125</v>
      </c>
      <c r="Z2269">
        <v>1125</v>
      </c>
      <c r="AA2269" t="str">
        <f t="shared" si="622"/>
        <v>06/08/2016</v>
      </c>
    </row>
    <row r="2270" spans="1:27" x14ac:dyDescent="0.3">
      <c r="A2270" t="str">
        <f t="shared" si="620"/>
        <v>048314</v>
      </c>
      <c r="B2270" t="str">
        <f t="shared" si="613"/>
        <v>070417</v>
      </c>
      <c r="C2270" t="s">
        <v>2409</v>
      </c>
      <c r="D2270" t="s">
        <v>3839</v>
      </c>
      <c r="E2270" t="s">
        <v>3840</v>
      </c>
      <c r="F2270" t="s">
        <v>3841</v>
      </c>
      <c r="G2270" t="s">
        <v>3842</v>
      </c>
      <c r="H2270" t="str">
        <f t="shared" si="614"/>
        <v>048314</v>
      </c>
      <c r="I2270" t="s">
        <v>833</v>
      </c>
      <c r="J2270" t="str">
        <f t="shared" si="624"/>
        <v>2015-07-01 00:00:00.0</v>
      </c>
      <c r="K2270" t="s">
        <v>834</v>
      </c>
      <c r="L2270" t="s">
        <v>0</v>
      </c>
      <c r="M2270" t="str">
        <f t="shared" si="625"/>
        <v>048314</v>
      </c>
      <c r="N2270">
        <v>1</v>
      </c>
      <c r="O2270">
        <v>1</v>
      </c>
      <c r="P2270" t="str">
        <f>"08"</f>
        <v>08</v>
      </c>
      <c r="Q2270" t="s">
        <v>835</v>
      </c>
      <c r="S2270" t="s">
        <v>836</v>
      </c>
      <c r="T2270" t="s">
        <v>836</v>
      </c>
      <c r="U2270" t="str">
        <f t="shared" si="618"/>
        <v>2500-12-31 00:00:00.0</v>
      </c>
      <c r="V2270" t="s">
        <v>837</v>
      </c>
      <c r="W2270" t="str">
        <f>"048314-070417-**-**"</f>
        <v>048314-070417-**-**</v>
      </c>
      <c r="X2270" t="s">
        <v>838</v>
      </c>
      <c r="Y2270">
        <v>1125</v>
      </c>
      <c r="Z2270">
        <v>1125</v>
      </c>
      <c r="AA2270" t="str">
        <f t="shared" si="622"/>
        <v>06/08/2016</v>
      </c>
    </row>
    <row r="2271" spans="1:27" x14ac:dyDescent="0.3">
      <c r="A2271" t="str">
        <f t="shared" si="620"/>
        <v>048314</v>
      </c>
      <c r="B2271" t="str">
        <f t="shared" si="613"/>
        <v>070417</v>
      </c>
      <c r="C2271" t="s">
        <v>2202</v>
      </c>
      <c r="D2271" t="s">
        <v>3839</v>
      </c>
      <c r="E2271" t="s">
        <v>3840</v>
      </c>
      <c r="F2271" t="s">
        <v>3841</v>
      </c>
      <c r="G2271" t="s">
        <v>3842</v>
      </c>
      <c r="H2271" t="str">
        <f t="shared" si="614"/>
        <v>048314</v>
      </c>
      <c r="I2271" t="s">
        <v>833</v>
      </c>
      <c r="J2271" t="str">
        <f t="shared" si="624"/>
        <v>2015-07-01 00:00:00.0</v>
      </c>
      <c r="K2271" t="s">
        <v>834</v>
      </c>
      <c r="L2271" t="s">
        <v>0</v>
      </c>
      <c r="M2271" t="str">
        <f t="shared" si="625"/>
        <v>048314</v>
      </c>
      <c r="N2271">
        <v>1</v>
      </c>
      <c r="O2271">
        <v>1</v>
      </c>
      <c r="P2271" t="str">
        <f>"09"</f>
        <v>09</v>
      </c>
      <c r="Q2271" t="s">
        <v>835</v>
      </c>
      <c r="S2271" t="s">
        <v>836</v>
      </c>
      <c r="T2271" t="s">
        <v>836</v>
      </c>
      <c r="U2271" t="str">
        <f t="shared" si="618"/>
        <v>2500-12-31 00:00:00.0</v>
      </c>
      <c r="V2271" t="s">
        <v>837</v>
      </c>
      <c r="W2271" t="str">
        <f>"048314-004796-**-**"</f>
        <v>048314-004796-**-**</v>
      </c>
      <c r="X2271" t="s">
        <v>838</v>
      </c>
      <c r="Y2271">
        <v>1254.5</v>
      </c>
      <c r="Z2271">
        <v>1254.5</v>
      </c>
      <c r="AA2271" t="str">
        <f t="shared" si="622"/>
        <v>06/08/2016</v>
      </c>
    </row>
    <row r="2272" spans="1:27" x14ac:dyDescent="0.3">
      <c r="A2272" t="str">
        <f t="shared" si="620"/>
        <v>048314</v>
      </c>
      <c r="B2272" t="str">
        <f t="shared" si="613"/>
        <v>070417</v>
      </c>
      <c r="C2272" t="s">
        <v>1607</v>
      </c>
      <c r="D2272" t="s">
        <v>3839</v>
      </c>
      <c r="E2272" t="s">
        <v>3840</v>
      </c>
      <c r="F2272" t="s">
        <v>3841</v>
      </c>
      <c r="G2272" t="s">
        <v>3842</v>
      </c>
      <c r="H2272" t="str">
        <f t="shared" si="614"/>
        <v>048314</v>
      </c>
      <c r="I2272" t="s">
        <v>833</v>
      </c>
      <c r="J2272" t="str">
        <f t="shared" si="624"/>
        <v>2015-07-01 00:00:00.0</v>
      </c>
      <c r="K2272" t="s">
        <v>834</v>
      </c>
      <c r="L2272" t="s">
        <v>0</v>
      </c>
      <c r="M2272" t="str">
        <f t="shared" si="625"/>
        <v>048314</v>
      </c>
      <c r="N2272">
        <v>1</v>
      </c>
      <c r="O2272">
        <v>1</v>
      </c>
      <c r="P2272" t="str">
        <f>"09"</f>
        <v>09</v>
      </c>
      <c r="Q2272" t="str">
        <f>"12"</f>
        <v>12</v>
      </c>
      <c r="R2272" t="str">
        <f>"6"</f>
        <v>6</v>
      </c>
      <c r="S2272" t="s">
        <v>836</v>
      </c>
      <c r="T2272" t="s">
        <v>836</v>
      </c>
      <c r="U2272" t="str">
        <f t="shared" si="618"/>
        <v>2500-12-31 00:00:00.0</v>
      </c>
      <c r="V2272" t="s">
        <v>837</v>
      </c>
      <c r="W2272" t="str">
        <f>"048314-004796-**-**"</f>
        <v>048314-004796-**-**</v>
      </c>
      <c r="X2272" t="s">
        <v>838</v>
      </c>
      <c r="Y2272">
        <v>1254.5</v>
      </c>
      <c r="Z2272">
        <v>1254.5</v>
      </c>
      <c r="AA2272" t="str">
        <f t="shared" si="622"/>
        <v>06/08/2016</v>
      </c>
    </row>
    <row r="2273" spans="1:27" x14ac:dyDescent="0.3">
      <c r="A2273" t="str">
        <f t="shared" si="620"/>
        <v>048314</v>
      </c>
      <c r="B2273" t="str">
        <f t="shared" si="613"/>
        <v>070417</v>
      </c>
      <c r="C2273" t="s">
        <v>2629</v>
      </c>
      <c r="D2273" t="s">
        <v>3839</v>
      </c>
      <c r="E2273" t="s">
        <v>3840</v>
      </c>
      <c r="F2273" t="s">
        <v>3841</v>
      </c>
      <c r="G2273" t="s">
        <v>3842</v>
      </c>
      <c r="H2273" t="str">
        <f t="shared" si="614"/>
        <v>048314</v>
      </c>
      <c r="I2273" t="s">
        <v>833</v>
      </c>
      <c r="J2273" t="str">
        <f t="shared" si="624"/>
        <v>2015-07-01 00:00:00.0</v>
      </c>
      <c r="K2273" t="s">
        <v>834</v>
      </c>
      <c r="L2273" t="s">
        <v>0</v>
      </c>
      <c r="M2273" t="str">
        <f t="shared" si="625"/>
        <v>048314</v>
      </c>
      <c r="N2273">
        <v>1</v>
      </c>
      <c r="O2273">
        <v>1</v>
      </c>
      <c r="P2273" t="str">
        <f>"06"</f>
        <v>06</v>
      </c>
      <c r="Q2273" t="str">
        <f>"10"</f>
        <v>10</v>
      </c>
      <c r="R2273" t="str">
        <f>"2"</f>
        <v>2</v>
      </c>
      <c r="S2273" t="s">
        <v>836</v>
      </c>
      <c r="T2273" t="s">
        <v>836</v>
      </c>
      <c r="U2273" t="str">
        <f t="shared" si="618"/>
        <v>2500-12-31 00:00:00.0</v>
      </c>
      <c r="V2273" t="s">
        <v>837</v>
      </c>
      <c r="W2273" t="str">
        <f>"048314-070417-**-**"</f>
        <v>048314-070417-**-**</v>
      </c>
      <c r="X2273" t="s">
        <v>838</v>
      </c>
      <c r="Y2273">
        <v>1125</v>
      </c>
      <c r="Z2273">
        <v>1125</v>
      </c>
      <c r="AA2273" t="str">
        <f t="shared" si="622"/>
        <v>06/08/2016</v>
      </c>
    </row>
    <row r="2274" spans="1:27" x14ac:dyDescent="0.3">
      <c r="A2274" t="str">
        <f t="shared" si="620"/>
        <v>048314</v>
      </c>
      <c r="B2274" t="str">
        <f t="shared" si="613"/>
        <v>070417</v>
      </c>
      <c r="C2274" t="s">
        <v>1971</v>
      </c>
      <c r="D2274" t="s">
        <v>3839</v>
      </c>
      <c r="E2274" t="s">
        <v>3840</v>
      </c>
      <c r="F2274" t="s">
        <v>3841</v>
      </c>
      <c r="G2274" t="s">
        <v>3842</v>
      </c>
      <c r="H2274" t="str">
        <f t="shared" si="614"/>
        <v>048314</v>
      </c>
      <c r="I2274" t="s">
        <v>833</v>
      </c>
      <c r="J2274" t="str">
        <f t="shared" si="624"/>
        <v>2015-07-01 00:00:00.0</v>
      </c>
      <c r="K2274" t="s">
        <v>834</v>
      </c>
      <c r="L2274" t="s">
        <v>0</v>
      </c>
      <c r="M2274" t="str">
        <f t="shared" si="625"/>
        <v>048314</v>
      </c>
      <c r="N2274">
        <v>1</v>
      </c>
      <c r="O2274">
        <v>1</v>
      </c>
      <c r="P2274" t="str">
        <f>"09"</f>
        <v>09</v>
      </c>
      <c r="Q2274" t="s">
        <v>835</v>
      </c>
      <c r="S2274" t="s">
        <v>836</v>
      </c>
      <c r="T2274" t="s">
        <v>836</v>
      </c>
      <c r="U2274" t="str">
        <f t="shared" si="618"/>
        <v>2500-12-31 00:00:00.0</v>
      </c>
      <c r="V2274" t="s">
        <v>837</v>
      </c>
      <c r="W2274" t="str">
        <f>"048314-004796-**-**"</f>
        <v>048314-004796-**-**</v>
      </c>
      <c r="X2274" t="s">
        <v>838</v>
      </c>
      <c r="Y2274">
        <v>1254.5</v>
      </c>
      <c r="Z2274">
        <v>1254.5</v>
      </c>
      <c r="AA2274" t="str">
        <f t="shared" si="622"/>
        <v>06/08/2016</v>
      </c>
    </row>
    <row r="2275" spans="1:27" x14ac:dyDescent="0.3">
      <c r="A2275" t="str">
        <f t="shared" si="620"/>
        <v>048314</v>
      </c>
      <c r="B2275" t="str">
        <f t="shared" si="613"/>
        <v>070417</v>
      </c>
      <c r="C2275" t="s">
        <v>1972</v>
      </c>
      <c r="D2275" t="s">
        <v>3839</v>
      </c>
      <c r="E2275" t="s">
        <v>3840</v>
      </c>
      <c r="F2275" t="s">
        <v>3841</v>
      </c>
      <c r="G2275" t="s">
        <v>3842</v>
      </c>
      <c r="H2275" t="str">
        <f t="shared" si="614"/>
        <v>048314</v>
      </c>
      <c r="I2275" t="s">
        <v>833</v>
      </c>
      <c r="J2275" t="str">
        <f>"2015-10-14 00:00:00.0"</f>
        <v>2015-10-14 00:00:00.0</v>
      </c>
      <c r="K2275" t="s">
        <v>834</v>
      </c>
      <c r="L2275" t="s">
        <v>0</v>
      </c>
      <c r="M2275" t="str">
        <f t="shared" si="625"/>
        <v>048314</v>
      </c>
      <c r="N2275">
        <v>0.83937799999999996</v>
      </c>
      <c r="O2275">
        <v>0.81767999999999996</v>
      </c>
      <c r="P2275" t="str">
        <f>"09"</f>
        <v>09</v>
      </c>
      <c r="Q2275" t="str">
        <f>"15"</f>
        <v>15</v>
      </c>
      <c r="R2275" t="str">
        <f>"2"</f>
        <v>2</v>
      </c>
      <c r="S2275" t="s">
        <v>836</v>
      </c>
      <c r="T2275" t="s">
        <v>836</v>
      </c>
      <c r="U2275" t="str">
        <f t="shared" si="618"/>
        <v>2500-12-31 00:00:00.0</v>
      </c>
      <c r="V2275" t="s">
        <v>837</v>
      </c>
      <c r="W2275" t="str">
        <f>"048314-004796-**-**"</f>
        <v>048314-004796-**-**</v>
      </c>
      <c r="X2275" t="s">
        <v>838</v>
      </c>
      <c r="Y2275">
        <v>1053</v>
      </c>
      <c r="Z2275">
        <v>1254.5</v>
      </c>
      <c r="AA2275" t="str">
        <f t="shared" si="622"/>
        <v>06/08/2016</v>
      </c>
    </row>
    <row r="2276" spans="1:27" x14ac:dyDescent="0.3">
      <c r="A2276" t="str">
        <f t="shared" si="620"/>
        <v>048314</v>
      </c>
      <c r="B2276" t="str">
        <f t="shared" ref="B2276:B2339" si="626">"070417"</f>
        <v>070417</v>
      </c>
      <c r="C2276" t="s">
        <v>1972</v>
      </c>
      <c r="D2276" t="s">
        <v>3839</v>
      </c>
      <c r="E2276" t="s">
        <v>3840</v>
      </c>
      <c r="F2276" t="s">
        <v>3841</v>
      </c>
      <c r="G2276" t="s">
        <v>3842</v>
      </c>
      <c r="H2276" t="str">
        <f>"148999"</f>
        <v>148999</v>
      </c>
      <c r="I2276" t="s">
        <v>833</v>
      </c>
      <c r="J2276" t="str">
        <f t="shared" ref="J2276:J2281" si="627">"2015-07-01 00:00:00.0"</f>
        <v>2015-07-01 00:00:00.0</v>
      </c>
      <c r="K2276" t="s">
        <v>834</v>
      </c>
      <c r="L2276" t="s">
        <v>2</v>
      </c>
      <c r="M2276" t="str">
        <f t="shared" si="625"/>
        <v>048314</v>
      </c>
      <c r="N2276">
        <v>0.18232000000000001</v>
      </c>
      <c r="O2276">
        <v>0.18232000000000001</v>
      </c>
      <c r="P2276" t="str">
        <f>"09"</f>
        <v>09</v>
      </c>
      <c r="Q2276" t="str">
        <f>"15"</f>
        <v>15</v>
      </c>
      <c r="R2276" t="str">
        <f>"2"</f>
        <v>2</v>
      </c>
      <c r="S2276" t="s">
        <v>836</v>
      </c>
      <c r="T2276" t="s">
        <v>836</v>
      </c>
      <c r="U2276" t="str">
        <f>"2015-10-13 00:00:00.0"</f>
        <v>2015-10-13 00:00:00.0</v>
      </c>
      <c r="V2276" t="s">
        <v>837</v>
      </c>
      <c r="W2276" t="str">
        <f>"148999-148999-09-**"</f>
        <v>148999-148999-09-**</v>
      </c>
      <c r="X2276" t="s">
        <v>865</v>
      </c>
      <c r="Y2276">
        <v>181.5</v>
      </c>
      <c r="Z2276">
        <v>995.5</v>
      </c>
      <c r="AA2276" t="str">
        <f>"05/23/2016"</f>
        <v>05/23/2016</v>
      </c>
    </row>
    <row r="2277" spans="1:27" x14ac:dyDescent="0.3">
      <c r="A2277" t="str">
        <f t="shared" si="620"/>
        <v>048314</v>
      </c>
      <c r="B2277" t="str">
        <f t="shared" si="626"/>
        <v>070417</v>
      </c>
      <c r="C2277" t="s">
        <v>3169</v>
      </c>
      <c r="D2277" t="s">
        <v>3839</v>
      </c>
      <c r="E2277" t="s">
        <v>3840</v>
      </c>
      <c r="F2277" t="s">
        <v>3841</v>
      </c>
      <c r="G2277" t="s">
        <v>3842</v>
      </c>
      <c r="H2277" t="str">
        <f t="shared" ref="H2277:H2296" si="628">"048314"</f>
        <v>048314</v>
      </c>
      <c r="I2277" t="s">
        <v>833</v>
      </c>
      <c r="J2277" t="str">
        <f t="shared" si="627"/>
        <v>2015-07-01 00:00:00.0</v>
      </c>
      <c r="K2277" t="s">
        <v>834</v>
      </c>
      <c r="L2277" t="s">
        <v>0</v>
      </c>
      <c r="M2277" t="str">
        <f t="shared" si="625"/>
        <v>048314</v>
      </c>
      <c r="N2277">
        <v>0.188889</v>
      </c>
      <c r="O2277">
        <v>0.188889</v>
      </c>
      <c r="P2277" t="str">
        <f>"08"</f>
        <v>08</v>
      </c>
      <c r="Q2277" t="str">
        <f>"08"</f>
        <v>08</v>
      </c>
      <c r="R2277" t="str">
        <f>"3"</f>
        <v>3</v>
      </c>
      <c r="S2277" t="s">
        <v>836</v>
      </c>
      <c r="T2277" t="s">
        <v>836</v>
      </c>
      <c r="U2277" t="str">
        <f>"2015-10-16 00:00:00.0"</f>
        <v>2015-10-16 00:00:00.0</v>
      </c>
      <c r="V2277" t="s">
        <v>837</v>
      </c>
      <c r="W2277" t="str">
        <f>"048314-070417-**-**"</f>
        <v>048314-070417-**-**</v>
      </c>
      <c r="X2277" t="s">
        <v>838</v>
      </c>
      <c r="Y2277">
        <v>212.5</v>
      </c>
      <c r="Z2277">
        <v>1125</v>
      </c>
      <c r="AA2277" t="str">
        <f t="shared" ref="AA2277:AA2296" si="629">"06/08/2016"</f>
        <v>06/08/2016</v>
      </c>
    </row>
    <row r="2278" spans="1:27" x14ac:dyDescent="0.3">
      <c r="A2278" t="str">
        <f t="shared" si="620"/>
        <v>048314</v>
      </c>
      <c r="B2278" t="str">
        <f t="shared" si="626"/>
        <v>070417</v>
      </c>
      <c r="C2278" t="s">
        <v>1926</v>
      </c>
      <c r="D2278" t="s">
        <v>3839</v>
      </c>
      <c r="E2278" t="s">
        <v>3840</v>
      </c>
      <c r="F2278" t="s">
        <v>3841</v>
      </c>
      <c r="G2278" t="s">
        <v>3842</v>
      </c>
      <c r="H2278" t="str">
        <f t="shared" si="628"/>
        <v>048314</v>
      </c>
      <c r="I2278" t="s">
        <v>833</v>
      </c>
      <c r="J2278" t="str">
        <f t="shared" si="627"/>
        <v>2015-07-01 00:00:00.0</v>
      </c>
      <c r="K2278" t="s">
        <v>834</v>
      </c>
      <c r="L2278" t="s">
        <v>0</v>
      </c>
      <c r="M2278" t="str">
        <f t="shared" si="625"/>
        <v>048314</v>
      </c>
      <c r="N2278">
        <v>1</v>
      </c>
      <c r="O2278">
        <v>1</v>
      </c>
      <c r="P2278" t="str">
        <f>"09"</f>
        <v>09</v>
      </c>
      <c r="Q2278" t="str">
        <f>"15"</f>
        <v>15</v>
      </c>
      <c r="R2278" t="str">
        <f>"2"</f>
        <v>2</v>
      </c>
      <c r="S2278" t="s">
        <v>836</v>
      </c>
      <c r="T2278" t="s">
        <v>836</v>
      </c>
      <c r="U2278" t="str">
        <f t="shared" ref="U2278:U2341" si="630">"2500-12-31 00:00:00.0"</f>
        <v>2500-12-31 00:00:00.0</v>
      </c>
      <c r="V2278" t="s">
        <v>837</v>
      </c>
      <c r="W2278" t="str">
        <f>"048314-004796-**-**"</f>
        <v>048314-004796-**-**</v>
      </c>
      <c r="X2278" t="s">
        <v>838</v>
      </c>
      <c r="Y2278">
        <v>1254.5</v>
      </c>
      <c r="Z2278">
        <v>1254.5</v>
      </c>
      <c r="AA2278" t="str">
        <f t="shared" si="629"/>
        <v>06/08/2016</v>
      </c>
    </row>
    <row r="2279" spans="1:27" x14ac:dyDescent="0.3">
      <c r="A2279" t="str">
        <f t="shared" si="620"/>
        <v>048314</v>
      </c>
      <c r="B2279" t="str">
        <f t="shared" si="626"/>
        <v>070417</v>
      </c>
      <c r="C2279" t="s">
        <v>2203</v>
      </c>
      <c r="D2279" t="s">
        <v>3839</v>
      </c>
      <c r="E2279" t="s">
        <v>3840</v>
      </c>
      <c r="F2279" t="s">
        <v>3841</v>
      </c>
      <c r="G2279" t="s">
        <v>3842</v>
      </c>
      <c r="H2279" t="str">
        <f t="shared" si="628"/>
        <v>048314</v>
      </c>
      <c r="I2279" t="s">
        <v>833</v>
      </c>
      <c r="J2279" t="str">
        <f t="shared" si="627"/>
        <v>2015-07-01 00:00:00.0</v>
      </c>
      <c r="K2279" t="s">
        <v>834</v>
      </c>
      <c r="L2279" t="s">
        <v>0</v>
      </c>
      <c r="M2279" t="str">
        <f t="shared" si="625"/>
        <v>048314</v>
      </c>
      <c r="N2279">
        <v>1</v>
      </c>
      <c r="O2279">
        <v>1</v>
      </c>
      <c r="P2279" t="str">
        <f>"08"</f>
        <v>08</v>
      </c>
      <c r="Q2279" t="s">
        <v>835</v>
      </c>
      <c r="S2279" t="s">
        <v>836</v>
      </c>
      <c r="T2279" t="s">
        <v>836</v>
      </c>
      <c r="U2279" t="str">
        <f t="shared" si="630"/>
        <v>2500-12-31 00:00:00.0</v>
      </c>
      <c r="V2279" t="s">
        <v>837</v>
      </c>
      <c r="W2279" t="str">
        <f>"048314-070417-**-**"</f>
        <v>048314-070417-**-**</v>
      </c>
      <c r="X2279" t="s">
        <v>838</v>
      </c>
      <c r="Y2279">
        <v>1125</v>
      </c>
      <c r="Z2279">
        <v>1125</v>
      </c>
      <c r="AA2279" t="str">
        <f t="shared" si="629"/>
        <v>06/08/2016</v>
      </c>
    </row>
    <row r="2280" spans="1:27" x14ac:dyDescent="0.3">
      <c r="A2280" t="str">
        <f t="shared" si="620"/>
        <v>048314</v>
      </c>
      <c r="B2280" t="str">
        <f t="shared" si="626"/>
        <v>070417</v>
      </c>
      <c r="C2280" t="s">
        <v>1861</v>
      </c>
      <c r="D2280" t="s">
        <v>3839</v>
      </c>
      <c r="E2280" t="s">
        <v>3840</v>
      </c>
      <c r="F2280" t="s">
        <v>3841</v>
      </c>
      <c r="G2280" t="s">
        <v>3842</v>
      </c>
      <c r="H2280" t="str">
        <f t="shared" si="628"/>
        <v>048314</v>
      </c>
      <c r="I2280" t="s">
        <v>833</v>
      </c>
      <c r="J2280" t="str">
        <f t="shared" si="627"/>
        <v>2015-07-01 00:00:00.0</v>
      </c>
      <c r="K2280" t="s">
        <v>834</v>
      </c>
      <c r="L2280" t="s">
        <v>0</v>
      </c>
      <c r="M2280" t="str">
        <f t="shared" si="625"/>
        <v>048314</v>
      </c>
      <c r="N2280">
        <v>1</v>
      </c>
      <c r="O2280">
        <v>1</v>
      </c>
      <c r="P2280" t="str">
        <f>"09"</f>
        <v>09</v>
      </c>
      <c r="Q2280" t="s">
        <v>835</v>
      </c>
      <c r="S2280" t="s">
        <v>836</v>
      </c>
      <c r="T2280" t="s">
        <v>836</v>
      </c>
      <c r="U2280" t="str">
        <f t="shared" si="630"/>
        <v>2500-12-31 00:00:00.0</v>
      </c>
      <c r="V2280" t="s">
        <v>837</v>
      </c>
      <c r="W2280" t="str">
        <f>"048314-004796-**-**"</f>
        <v>048314-004796-**-**</v>
      </c>
      <c r="X2280" t="s">
        <v>838</v>
      </c>
      <c r="Y2280">
        <v>1254.5</v>
      </c>
      <c r="Z2280">
        <v>1254.5</v>
      </c>
      <c r="AA2280" t="str">
        <f t="shared" si="629"/>
        <v>06/08/2016</v>
      </c>
    </row>
    <row r="2281" spans="1:27" x14ac:dyDescent="0.3">
      <c r="A2281" t="str">
        <f t="shared" si="620"/>
        <v>048314</v>
      </c>
      <c r="B2281" t="str">
        <f t="shared" si="626"/>
        <v>070417</v>
      </c>
      <c r="C2281" t="s">
        <v>2337</v>
      </c>
      <c r="D2281" t="s">
        <v>3839</v>
      </c>
      <c r="E2281" t="s">
        <v>3840</v>
      </c>
      <c r="F2281" t="s">
        <v>3841</v>
      </c>
      <c r="G2281" t="s">
        <v>3842</v>
      </c>
      <c r="H2281" t="str">
        <f t="shared" si="628"/>
        <v>048314</v>
      </c>
      <c r="I2281" t="s">
        <v>833</v>
      </c>
      <c r="J2281" t="str">
        <f t="shared" si="627"/>
        <v>2015-07-01 00:00:00.0</v>
      </c>
      <c r="K2281" t="s">
        <v>834</v>
      </c>
      <c r="L2281" t="s">
        <v>0</v>
      </c>
      <c r="M2281" t="str">
        <f t="shared" si="625"/>
        <v>048314</v>
      </c>
      <c r="N2281">
        <v>1</v>
      </c>
      <c r="O2281">
        <v>1</v>
      </c>
      <c r="P2281" t="str">
        <f>"07"</f>
        <v>07</v>
      </c>
      <c r="Q2281" t="s">
        <v>835</v>
      </c>
      <c r="S2281" t="s">
        <v>836</v>
      </c>
      <c r="T2281" t="s">
        <v>836</v>
      </c>
      <c r="U2281" t="str">
        <f t="shared" si="630"/>
        <v>2500-12-31 00:00:00.0</v>
      </c>
      <c r="V2281" t="s">
        <v>837</v>
      </c>
      <c r="W2281" t="str">
        <f t="shared" ref="W2281:W2292" si="631">"048314-070417-**-**"</f>
        <v>048314-070417-**-**</v>
      </c>
      <c r="X2281" t="s">
        <v>838</v>
      </c>
      <c r="Y2281">
        <v>1125</v>
      </c>
      <c r="Z2281">
        <v>1125</v>
      </c>
      <c r="AA2281" t="str">
        <f t="shared" si="629"/>
        <v>06/08/2016</v>
      </c>
    </row>
    <row r="2282" spans="1:27" x14ac:dyDescent="0.3">
      <c r="A2282" t="str">
        <f t="shared" si="620"/>
        <v>048314</v>
      </c>
      <c r="B2282" t="str">
        <f t="shared" si="626"/>
        <v>070417</v>
      </c>
      <c r="C2282" t="s">
        <v>1019</v>
      </c>
      <c r="D2282" t="s">
        <v>3839</v>
      </c>
      <c r="E2282" t="s">
        <v>3840</v>
      </c>
      <c r="F2282" t="s">
        <v>3841</v>
      </c>
      <c r="G2282" t="s">
        <v>3842</v>
      </c>
      <c r="H2282" t="str">
        <f t="shared" si="628"/>
        <v>048314</v>
      </c>
      <c r="I2282" t="s">
        <v>833</v>
      </c>
      <c r="J2282" t="str">
        <f>"2015-08-01 00:00:00.0"</f>
        <v>2015-08-01 00:00:00.0</v>
      </c>
      <c r="K2282" t="s">
        <v>834</v>
      </c>
      <c r="L2282" t="s">
        <v>0</v>
      </c>
      <c r="M2282" t="str">
        <f t="shared" si="625"/>
        <v>048314</v>
      </c>
      <c r="N2282">
        <v>1</v>
      </c>
      <c r="O2282">
        <v>1</v>
      </c>
      <c r="P2282" t="str">
        <f>"06"</f>
        <v>06</v>
      </c>
      <c r="Q2282" t="s">
        <v>835</v>
      </c>
      <c r="S2282" t="s">
        <v>836</v>
      </c>
      <c r="T2282" t="s">
        <v>836</v>
      </c>
      <c r="U2282" t="str">
        <f t="shared" si="630"/>
        <v>2500-12-31 00:00:00.0</v>
      </c>
      <c r="V2282" t="s">
        <v>837</v>
      </c>
      <c r="W2282" t="str">
        <f t="shared" si="631"/>
        <v>048314-070417-**-**</v>
      </c>
      <c r="X2282" t="s">
        <v>838</v>
      </c>
      <c r="Y2282">
        <v>1125</v>
      </c>
      <c r="Z2282">
        <v>1125</v>
      </c>
      <c r="AA2282" t="str">
        <f t="shared" si="629"/>
        <v>06/08/2016</v>
      </c>
    </row>
    <row r="2283" spans="1:27" x14ac:dyDescent="0.3">
      <c r="A2283" t="str">
        <f t="shared" si="620"/>
        <v>048314</v>
      </c>
      <c r="B2283" t="str">
        <f t="shared" si="626"/>
        <v>070417</v>
      </c>
      <c r="C2283" t="s">
        <v>2630</v>
      </c>
      <c r="D2283" t="s">
        <v>3839</v>
      </c>
      <c r="E2283" t="s">
        <v>3840</v>
      </c>
      <c r="F2283" t="s">
        <v>3841</v>
      </c>
      <c r="G2283" t="s">
        <v>3842</v>
      </c>
      <c r="H2283" t="str">
        <f t="shared" si="628"/>
        <v>048314</v>
      </c>
      <c r="I2283" t="s">
        <v>833</v>
      </c>
      <c r="J2283" t="str">
        <f t="shared" ref="J2283:J2346" si="632">"2015-07-01 00:00:00.0"</f>
        <v>2015-07-01 00:00:00.0</v>
      </c>
      <c r="K2283" t="s">
        <v>834</v>
      </c>
      <c r="L2283" t="s">
        <v>0</v>
      </c>
      <c r="M2283" t="str">
        <f t="shared" si="625"/>
        <v>048314</v>
      </c>
      <c r="N2283">
        <v>1</v>
      </c>
      <c r="O2283">
        <v>1</v>
      </c>
      <c r="P2283" t="str">
        <f>"06"</f>
        <v>06</v>
      </c>
      <c r="Q2283" t="s">
        <v>835</v>
      </c>
      <c r="S2283" t="s">
        <v>836</v>
      </c>
      <c r="T2283" t="s">
        <v>836</v>
      </c>
      <c r="U2283" t="str">
        <f t="shared" si="630"/>
        <v>2500-12-31 00:00:00.0</v>
      </c>
      <c r="V2283" t="s">
        <v>837</v>
      </c>
      <c r="W2283" t="str">
        <f t="shared" si="631"/>
        <v>048314-070417-**-**</v>
      </c>
      <c r="X2283" t="s">
        <v>838</v>
      </c>
      <c r="Y2283">
        <v>1125</v>
      </c>
      <c r="Z2283">
        <v>1125</v>
      </c>
      <c r="AA2283" t="str">
        <f t="shared" si="629"/>
        <v>06/08/2016</v>
      </c>
    </row>
    <row r="2284" spans="1:27" x14ac:dyDescent="0.3">
      <c r="A2284" t="str">
        <f t="shared" si="620"/>
        <v>048314</v>
      </c>
      <c r="B2284" t="str">
        <f t="shared" si="626"/>
        <v>070417</v>
      </c>
      <c r="C2284" t="s">
        <v>2092</v>
      </c>
      <c r="D2284" t="s">
        <v>3839</v>
      </c>
      <c r="E2284" t="s">
        <v>3840</v>
      </c>
      <c r="F2284" t="s">
        <v>3841</v>
      </c>
      <c r="G2284" t="s">
        <v>3842</v>
      </c>
      <c r="H2284" t="str">
        <f t="shared" si="628"/>
        <v>048314</v>
      </c>
      <c r="I2284" t="s">
        <v>833</v>
      </c>
      <c r="J2284" t="str">
        <f t="shared" si="632"/>
        <v>2015-07-01 00:00:00.0</v>
      </c>
      <c r="K2284" t="s">
        <v>834</v>
      </c>
      <c r="L2284" t="s">
        <v>0</v>
      </c>
      <c r="M2284" t="str">
        <f t="shared" si="625"/>
        <v>048314</v>
      </c>
      <c r="N2284">
        <v>1</v>
      </c>
      <c r="O2284">
        <v>1</v>
      </c>
      <c r="P2284" t="str">
        <f>"08"</f>
        <v>08</v>
      </c>
      <c r="Q2284" t="s">
        <v>835</v>
      </c>
      <c r="S2284" t="s">
        <v>836</v>
      </c>
      <c r="T2284" t="s">
        <v>836</v>
      </c>
      <c r="U2284" t="str">
        <f t="shared" si="630"/>
        <v>2500-12-31 00:00:00.0</v>
      </c>
      <c r="V2284" t="s">
        <v>837</v>
      </c>
      <c r="W2284" t="str">
        <f t="shared" si="631"/>
        <v>048314-070417-**-**</v>
      </c>
      <c r="X2284" t="s">
        <v>838</v>
      </c>
      <c r="Y2284">
        <v>1125</v>
      </c>
      <c r="Z2284">
        <v>1125</v>
      </c>
      <c r="AA2284" t="str">
        <f t="shared" si="629"/>
        <v>06/08/2016</v>
      </c>
    </row>
    <row r="2285" spans="1:27" x14ac:dyDescent="0.3">
      <c r="A2285" t="str">
        <f t="shared" si="620"/>
        <v>048314</v>
      </c>
      <c r="B2285" t="str">
        <f t="shared" si="626"/>
        <v>070417</v>
      </c>
      <c r="C2285" t="s">
        <v>2063</v>
      </c>
      <c r="D2285" t="s">
        <v>3839</v>
      </c>
      <c r="E2285" t="s">
        <v>3840</v>
      </c>
      <c r="F2285" t="s">
        <v>3841</v>
      </c>
      <c r="G2285" t="s">
        <v>3842</v>
      </c>
      <c r="H2285" t="str">
        <f t="shared" si="628"/>
        <v>048314</v>
      </c>
      <c r="I2285" t="s">
        <v>833</v>
      </c>
      <c r="J2285" t="str">
        <f t="shared" si="632"/>
        <v>2015-07-01 00:00:00.0</v>
      </c>
      <c r="K2285" t="s">
        <v>834</v>
      </c>
      <c r="L2285" t="s">
        <v>0</v>
      </c>
      <c r="M2285" t="str">
        <f t="shared" si="625"/>
        <v>048314</v>
      </c>
      <c r="N2285">
        <v>1</v>
      </c>
      <c r="O2285">
        <v>1</v>
      </c>
      <c r="P2285" t="str">
        <f>"06"</f>
        <v>06</v>
      </c>
      <c r="Q2285" t="s">
        <v>835</v>
      </c>
      <c r="S2285" t="s">
        <v>836</v>
      </c>
      <c r="T2285" t="s">
        <v>836</v>
      </c>
      <c r="U2285" t="str">
        <f t="shared" si="630"/>
        <v>2500-12-31 00:00:00.0</v>
      </c>
      <c r="V2285" t="s">
        <v>837</v>
      </c>
      <c r="W2285" t="str">
        <f t="shared" si="631"/>
        <v>048314-070417-**-**</v>
      </c>
      <c r="X2285" t="s">
        <v>838</v>
      </c>
      <c r="Y2285">
        <v>1125</v>
      </c>
      <c r="Z2285">
        <v>1125</v>
      </c>
      <c r="AA2285" t="str">
        <f t="shared" si="629"/>
        <v>06/08/2016</v>
      </c>
    </row>
    <row r="2286" spans="1:27" x14ac:dyDescent="0.3">
      <c r="A2286" t="str">
        <f t="shared" si="620"/>
        <v>048314</v>
      </c>
      <c r="B2286" t="str">
        <f t="shared" si="626"/>
        <v>070417</v>
      </c>
      <c r="C2286" t="s">
        <v>2841</v>
      </c>
      <c r="D2286" t="s">
        <v>3839</v>
      </c>
      <c r="E2286" t="s">
        <v>3840</v>
      </c>
      <c r="F2286" t="s">
        <v>3841</v>
      </c>
      <c r="G2286" t="s">
        <v>3842</v>
      </c>
      <c r="H2286" t="str">
        <f t="shared" si="628"/>
        <v>048314</v>
      </c>
      <c r="I2286" t="s">
        <v>833</v>
      </c>
      <c r="J2286" t="str">
        <f t="shared" si="632"/>
        <v>2015-07-01 00:00:00.0</v>
      </c>
      <c r="K2286" t="s">
        <v>834</v>
      </c>
      <c r="L2286" t="s">
        <v>0</v>
      </c>
      <c r="M2286" t="str">
        <f t="shared" si="625"/>
        <v>048314</v>
      </c>
      <c r="N2286">
        <v>1</v>
      </c>
      <c r="O2286">
        <v>1</v>
      </c>
      <c r="P2286" t="str">
        <f>"06"</f>
        <v>06</v>
      </c>
      <c r="Q2286" t="s">
        <v>835</v>
      </c>
      <c r="S2286" t="s">
        <v>836</v>
      </c>
      <c r="T2286" t="s">
        <v>836</v>
      </c>
      <c r="U2286" t="str">
        <f t="shared" si="630"/>
        <v>2500-12-31 00:00:00.0</v>
      </c>
      <c r="V2286" t="s">
        <v>837</v>
      </c>
      <c r="W2286" t="str">
        <f t="shared" si="631"/>
        <v>048314-070417-**-**</v>
      </c>
      <c r="X2286" t="s">
        <v>838</v>
      </c>
      <c r="Y2286">
        <v>1125</v>
      </c>
      <c r="Z2286">
        <v>1125</v>
      </c>
      <c r="AA2286" t="str">
        <f t="shared" si="629"/>
        <v>06/08/2016</v>
      </c>
    </row>
    <row r="2287" spans="1:27" x14ac:dyDescent="0.3">
      <c r="A2287" t="str">
        <f t="shared" si="620"/>
        <v>048314</v>
      </c>
      <c r="B2287" t="str">
        <f t="shared" si="626"/>
        <v>070417</v>
      </c>
      <c r="C2287" t="s">
        <v>2410</v>
      </c>
      <c r="D2287" t="s">
        <v>3839</v>
      </c>
      <c r="E2287" t="s">
        <v>3840</v>
      </c>
      <c r="F2287" t="s">
        <v>3841</v>
      </c>
      <c r="G2287" t="s">
        <v>3842</v>
      </c>
      <c r="H2287" t="str">
        <f t="shared" si="628"/>
        <v>048314</v>
      </c>
      <c r="I2287" t="s">
        <v>833</v>
      </c>
      <c r="J2287" t="str">
        <f t="shared" si="632"/>
        <v>2015-07-01 00:00:00.0</v>
      </c>
      <c r="K2287" t="s">
        <v>834</v>
      </c>
      <c r="L2287" t="s">
        <v>0</v>
      </c>
      <c r="M2287" t="str">
        <f t="shared" si="625"/>
        <v>048314</v>
      </c>
      <c r="N2287">
        <v>1</v>
      </c>
      <c r="O2287">
        <v>1</v>
      </c>
      <c r="P2287" t="str">
        <f>"07"</f>
        <v>07</v>
      </c>
      <c r="Q2287" t="s">
        <v>835</v>
      </c>
      <c r="S2287" t="s">
        <v>836</v>
      </c>
      <c r="T2287" t="s">
        <v>836</v>
      </c>
      <c r="U2287" t="str">
        <f t="shared" si="630"/>
        <v>2500-12-31 00:00:00.0</v>
      </c>
      <c r="V2287" t="s">
        <v>837</v>
      </c>
      <c r="W2287" t="str">
        <f t="shared" si="631"/>
        <v>048314-070417-**-**</v>
      </c>
      <c r="X2287" t="s">
        <v>838</v>
      </c>
      <c r="Y2287">
        <v>1125</v>
      </c>
      <c r="Z2287">
        <v>1125</v>
      </c>
      <c r="AA2287" t="str">
        <f t="shared" si="629"/>
        <v>06/08/2016</v>
      </c>
    </row>
    <row r="2288" spans="1:27" x14ac:dyDescent="0.3">
      <c r="A2288" t="str">
        <f t="shared" si="620"/>
        <v>048314</v>
      </c>
      <c r="B2288" t="str">
        <f t="shared" si="626"/>
        <v>070417</v>
      </c>
      <c r="C2288" t="s">
        <v>2631</v>
      </c>
      <c r="D2288" t="s">
        <v>3839</v>
      </c>
      <c r="E2288" t="s">
        <v>3840</v>
      </c>
      <c r="F2288" t="s">
        <v>3841</v>
      </c>
      <c r="G2288" t="s">
        <v>3842</v>
      </c>
      <c r="H2288" t="str">
        <f t="shared" si="628"/>
        <v>048314</v>
      </c>
      <c r="I2288" t="s">
        <v>833</v>
      </c>
      <c r="J2288" t="str">
        <f t="shared" si="632"/>
        <v>2015-07-01 00:00:00.0</v>
      </c>
      <c r="K2288" t="s">
        <v>834</v>
      </c>
      <c r="L2288" t="s">
        <v>0</v>
      </c>
      <c r="M2288" t="str">
        <f t="shared" si="625"/>
        <v>048314</v>
      </c>
      <c r="N2288">
        <v>1</v>
      </c>
      <c r="O2288">
        <v>1</v>
      </c>
      <c r="P2288" t="str">
        <f>"06"</f>
        <v>06</v>
      </c>
      <c r="Q2288" t="s">
        <v>835</v>
      </c>
      <c r="S2288" t="s">
        <v>836</v>
      </c>
      <c r="T2288" t="s">
        <v>836</v>
      </c>
      <c r="U2288" t="str">
        <f t="shared" si="630"/>
        <v>2500-12-31 00:00:00.0</v>
      </c>
      <c r="V2288" t="s">
        <v>837</v>
      </c>
      <c r="W2288" t="str">
        <f t="shared" si="631"/>
        <v>048314-070417-**-**</v>
      </c>
      <c r="X2288" t="s">
        <v>838</v>
      </c>
      <c r="Y2288">
        <v>1125</v>
      </c>
      <c r="Z2288">
        <v>1125</v>
      </c>
      <c r="AA2288" t="str">
        <f t="shared" si="629"/>
        <v>06/08/2016</v>
      </c>
    </row>
    <row r="2289" spans="1:27" x14ac:dyDescent="0.3">
      <c r="A2289" t="str">
        <f t="shared" si="620"/>
        <v>048314</v>
      </c>
      <c r="B2289" t="str">
        <f t="shared" si="626"/>
        <v>070417</v>
      </c>
      <c r="C2289" t="s">
        <v>2338</v>
      </c>
      <c r="D2289" t="s">
        <v>3839</v>
      </c>
      <c r="E2289" t="s">
        <v>3840</v>
      </c>
      <c r="F2289" t="s">
        <v>3841</v>
      </c>
      <c r="G2289" t="s">
        <v>3842</v>
      </c>
      <c r="H2289" t="str">
        <f t="shared" si="628"/>
        <v>048314</v>
      </c>
      <c r="I2289" t="s">
        <v>833</v>
      </c>
      <c r="J2289" t="str">
        <f t="shared" si="632"/>
        <v>2015-07-01 00:00:00.0</v>
      </c>
      <c r="K2289" t="s">
        <v>834</v>
      </c>
      <c r="L2289" t="s">
        <v>0</v>
      </c>
      <c r="M2289" t="str">
        <f t="shared" si="625"/>
        <v>048314</v>
      </c>
      <c r="N2289">
        <v>1</v>
      </c>
      <c r="O2289">
        <v>1</v>
      </c>
      <c r="P2289" t="str">
        <f>"07"</f>
        <v>07</v>
      </c>
      <c r="Q2289" t="s">
        <v>835</v>
      </c>
      <c r="S2289" t="s">
        <v>860</v>
      </c>
      <c r="T2289" t="s">
        <v>836</v>
      </c>
      <c r="U2289" t="str">
        <f t="shared" si="630"/>
        <v>2500-12-31 00:00:00.0</v>
      </c>
      <c r="V2289" t="s">
        <v>837</v>
      </c>
      <c r="W2289" t="str">
        <f t="shared" si="631"/>
        <v>048314-070417-**-**</v>
      </c>
      <c r="X2289" t="s">
        <v>838</v>
      </c>
      <c r="Y2289">
        <v>1125</v>
      </c>
      <c r="Z2289">
        <v>1125</v>
      </c>
      <c r="AA2289" t="str">
        <f t="shared" si="629"/>
        <v>06/08/2016</v>
      </c>
    </row>
    <row r="2290" spans="1:27" x14ac:dyDescent="0.3">
      <c r="A2290" t="str">
        <f t="shared" si="620"/>
        <v>048314</v>
      </c>
      <c r="B2290" t="str">
        <f t="shared" si="626"/>
        <v>070417</v>
      </c>
      <c r="C2290" t="s">
        <v>2411</v>
      </c>
      <c r="D2290" t="s">
        <v>3839</v>
      </c>
      <c r="E2290" t="s">
        <v>3840</v>
      </c>
      <c r="F2290" t="s">
        <v>3841</v>
      </c>
      <c r="G2290" t="s">
        <v>3842</v>
      </c>
      <c r="H2290" t="str">
        <f t="shared" si="628"/>
        <v>048314</v>
      </c>
      <c r="I2290" t="s">
        <v>833</v>
      </c>
      <c r="J2290" t="str">
        <f t="shared" si="632"/>
        <v>2015-07-01 00:00:00.0</v>
      </c>
      <c r="K2290" t="s">
        <v>834</v>
      </c>
      <c r="L2290" t="s">
        <v>0</v>
      </c>
      <c r="M2290" t="str">
        <f t="shared" si="625"/>
        <v>048314</v>
      </c>
      <c r="N2290">
        <v>1</v>
      </c>
      <c r="O2290">
        <v>1</v>
      </c>
      <c r="P2290" t="str">
        <f>"07"</f>
        <v>07</v>
      </c>
      <c r="Q2290" t="s">
        <v>835</v>
      </c>
      <c r="S2290" t="s">
        <v>836</v>
      </c>
      <c r="T2290" t="s">
        <v>836</v>
      </c>
      <c r="U2290" t="str">
        <f t="shared" si="630"/>
        <v>2500-12-31 00:00:00.0</v>
      </c>
      <c r="V2290" t="s">
        <v>837</v>
      </c>
      <c r="W2290" t="str">
        <f t="shared" si="631"/>
        <v>048314-070417-**-**</v>
      </c>
      <c r="X2290" t="s">
        <v>838</v>
      </c>
      <c r="Y2290">
        <v>1125</v>
      </c>
      <c r="Z2290">
        <v>1125</v>
      </c>
      <c r="AA2290" t="str">
        <f t="shared" si="629"/>
        <v>06/08/2016</v>
      </c>
    </row>
    <row r="2291" spans="1:27" x14ac:dyDescent="0.3">
      <c r="A2291" t="str">
        <f t="shared" si="620"/>
        <v>048314</v>
      </c>
      <c r="B2291" t="str">
        <f t="shared" si="626"/>
        <v>070417</v>
      </c>
      <c r="C2291" t="s">
        <v>2269</v>
      </c>
      <c r="D2291" t="s">
        <v>3839</v>
      </c>
      <c r="E2291" t="s">
        <v>3840</v>
      </c>
      <c r="F2291" t="s">
        <v>3841</v>
      </c>
      <c r="G2291" t="s">
        <v>3842</v>
      </c>
      <c r="H2291" t="str">
        <f t="shared" si="628"/>
        <v>048314</v>
      </c>
      <c r="I2291" t="s">
        <v>833</v>
      </c>
      <c r="J2291" t="str">
        <f t="shared" si="632"/>
        <v>2015-07-01 00:00:00.0</v>
      </c>
      <c r="K2291" t="s">
        <v>834</v>
      </c>
      <c r="L2291" t="s">
        <v>0</v>
      </c>
      <c r="M2291" t="str">
        <f t="shared" si="625"/>
        <v>048314</v>
      </c>
      <c r="N2291">
        <v>1</v>
      </c>
      <c r="O2291">
        <v>1</v>
      </c>
      <c r="P2291" t="str">
        <f>"08"</f>
        <v>08</v>
      </c>
      <c r="Q2291" t="s">
        <v>835</v>
      </c>
      <c r="S2291" t="s">
        <v>836</v>
      </c>
      <c r="T2291" t="s">
        <v>836</v>
      </c>
      <c r="U2291" t="str">
        <f t="shared" si="630"/>
        <v>2500-12-31 00:00:00.0</v>
      </c>
      <c r="V2291" t="s">
        <v>837</v>
      </c>
      <c r="W2291" t="str">
        <f t="shared" si="631"/>
        <v>048314-070417-**-**</v>
      </c>
      <c r="X2291" t="s">
        <v>838</v>
      </c>
      <c r="Y2291">
        <v>1125</v>
      </c>
      <c r="Z2291">
        <v>1125</v>
      </c>
      <c r="AA2291" t="str">
        <f t="shared" si="629"/>
        <v>06/08/2016</v>
      </c>
    </row>
    <row r="2292" spans="1:27" x14ac:dyDescent="0.3">
      <c r="A2292" t="str">
        <f t="shared" si="620"/>
        <v>048314</v>
      </c>
      <c r="B2292" t="str">
        <f t="shared" si="626"/>
        <v>070417</v>
      </c>
      <c r="C2292" t="s">
        <v>2635</v>
      </c>
      <c r="D2292" t="s">
        <v>3839</v>
      </c>
      <c r="E2292" t="s">
        <v>3840</v>
      </c>
      <c r="F2292" t="s">
        <v>3841</v>
      </c>
      <c r="G2292" t="s">
        <v>3842</v>
      </c>
      <c r="H2292" t="str">
        <f t="shared" si="628"/>
        <v>048314</v>
      </c>
      <c r="I2292" t="s">
        <v>833</v>
      </c>
      <c r="J2292" t="str">
        <f t="shared" si="632"/>
        <v>2015-07-01 00:00:00.0</v>
      </c>
      <c r="K2292" t="s">
        <v>834</v>
      </c>
      <c r="L2292" t="s">
        <v>0</v>
      </c>
      <c r="M2292" t="str">
        <f t="shared" si="625"/>
        <v>048314</v>
      </c>
      <c r="N2292">
        <v>1</v>
      </c>
      <c r="O2292">
        <v>1</v>
      </c>
      <c r="P2292" t="str">
        <f>"06"</f>
        <v>06</v>
      </c>
      <c r="Q2292" t="s">
        <v>835</v>
      </c>
      <c r="S2292" t="s">
        <v>836</v>
      </c>
      <c r="T2292" t="s">
        <v>836</v>
      </c>
      <c r="U2292" t="str">
        <f t="shared" si="630"/>
        <v>2500-12-31 00:00:00.0</v>
      </c>
      <c r="V2292" t="s">
        <v>837</v>
      </c>
      <c r="W2292" t="str">
        <f t="shared" si="631"/>
        <v>048314-070417-**-**</v>
      </c>
      <c r="X2292" t="s">
        <v>838</v>
      </c>
      <c r="Y2292">
        <v>1125</v>
      </c>
      <c r="Z2292">
        <v>1125</v>
      </c>
      <c r="AA2292" t="str">
        <f t="shared" si="629"/>
        <v>06/08/2016</v>
      </c>
    </row>
    <row r="2293" spans="1:27" x14ac:dyDescent="0.3">
      <c r="A2293" t="str">
        <f t="shared" si="620"/>
        <v>048314</v>
      </c>
      <c r="B2293" t="str">
        <f t="shared" si="626"/>
        <v>070417</v>
      </c>
      <c r="C2293" t="s">
        <v>1862</v>
      </c>
      <c r="D2293" t="s">
        <v>3839</v>
      </c>
      <c r="E2293" t="s">
        <v>3840</v>
      </c>
      <c r="F2293" t="s">
        <v>3841</v>
      </c>
      <c r="G2293" t="s">
        <v>3842</v>
      </c>
      <c r="H2293" t="str">
        <f t="shared" si="628"/>
        <v>048314</v>
      </c>
      <c r="I2293" t="s">
        <v>833</v>
      </c>
      <c r="J2293" t="str">
        <f t="shared" si="632"/>
        <v>2015-07-01 00:00:00.0</v>
      </c>
      <c r="K2293" t="s">
        <v>834</v>
      </c>
      <c r="L2293" t="s">
        <v>0</v>
      </c>
      <c r="M2293" t="str">
        <f t="shared" si="625"/>
        <v>048314</v>
      </c>
      <c r="N2293">
        <v>1</v>
      </c>
      <c r="O2293">
        <v>1</v>
      </c>
      <c r="P2293" t="str">
        <f>"09"</f>
        <v>09</v>
      </c>
      <c r="Q2293" t="s">
        <v>835</v>
      </c>
      <c r="S2293" t="s">
        <v>836</v>
      </c>
      <c r="T2293" t="s">
        <v>836</v>
      </c>
      <c r="U2293" t="str">
        <f t="shared" si="630"/>
        <v>2500-12-31 00:00:00.0</v>
      </c>
      <c r="V2293" t="s">
        <v>837</v>
      </c>
      <c r="W2293" t="str">
        <f>"048314-004796-**-**"</f>
        <v>048314-004796-**-**</v>
      </c>
      <c r="X2293" t="s">
        <v>838</v>
      </c>
      <c r="Y2293">
        <v>1254.5</v>
      </c>
      <c r="Z2293">
        <v>1254.5</v>
      </c>
      <c r="AA2293" t="str">
        <f t="shared" si="629"/>
        <v>06/08/2016</v>
      </c>
    </row>
    <row r="2294" spans="1:27" x14ac:dyDescent="0.3">
      <c r="A2294" t="str">
        <f t="shared" si="620"/>
        <v>048314</v>
      </c>
      <c r="B2294" t="str">
        <f t="shared" si="626"/>
        <v>070417</v>
      </c>
      <c r="C2294" t="s">
        <v>2632</v>
      </c>
      <c r="D2294" t="s">
        <v>3839</v>
      </c>
      <c r="E2294" t="s">
        <v>3840</v>
      </c>
      <c r="F2294" t="s">
        <v>3841</v>
      </c>
      <c r="G2294" t="s">
        <v>3842</v>
      </c>
      <c r="H2294" t="str">
        <f t="shared" si="628"/>
        <v>048314</v>
      </c>
      <c r="I2294" t="s">
        <v>833</v>
      </c>
      <c r="J2294" t="str">
        <f t="shared" si="632"/>
        <v>2015-07-01 00:00:00.0</v>
      </c>
      <c r="K2294" t="s">
        <v>834</v>
      </c>
      <c r="L2294" t="s">
        <v>0</v>
      </c>
      <c r="M2294" t="str">
        <f t="shared" si="625"/>
        <v>048314</v>
      </c>
      <c r="N2294">
        <v>1</v>
      </c>
      <c r="O2294">
        <v>1</v>
      </c>
      <c r="P2294" t="str">
        <f>"06"</f>
        <v>06</v>
      </c>
      <c r="Q2294" t="s">
        <v>835</v>
      </c>
      <c r="S2294" t="s">
        <v>836</v>
      </c>
      <c r="T2294" t="s">
        <v>836</v>
      </c>
      <c r="U2294" t="str">
        <f t="shared" si="630"/>
        <v>2500-12-31 00:00:00.0</v>
      </c>
      <c r="V2294" t="s">
        <v>837</v>
      </c>
      <c r="W2294" t="str">
        <f>"048314-070417-**-**"</f>
        <v>048314-070417-**-**</v>
      </c>
      <c r="X2294" t="s">
        <v>838</v>
      </c>
      <c r="Y2294">
        <v>1125</v>
      </c>
      <c r="Z2294">
        <v>1125</v>
      </c>
      <c r="AA2294" t="str">
        <f t="shared" si="629"/>
        <v>06/08/2016</v>
      </c>
    </row>
    <row r="2295" spans="1:27" x14ac:dyDescent="0.3">
      <c r="A2295" t="str">
        <f t="shared" si="620"/>
        <v>048314</v>
      </c>
      <c r="B2295" t="str">
        <f t="shared" si="626"/>
        <v>070417</v>
      </c>
      <c r="C2295" t="s">
        <v>2093</v>
      </c>
      <c r="D2295" t="s">
        <v>3839</v>
      </c>
      <c r="E2295" t="s">
        <v>3840</v>
      </c>
      <c r="F2295" t="s">
        <v>3841</v>
      </c>
      <c r="G2295" t="s">
        <v>3842</v>
      </c>
      <c r="H2295" t="str">
        <f t="shared" si="628"/>
        <v>048314</v>
      </c>
      <c r="I2295" t="s">
        <v>833</v>
      </c>
      <c r="J2295" t="str">
        <f t="shared" si="632"/>
        <v>2015-07-01 00:00:00.0</v>
      </c>
      <c r="K2295" t="s">
        <v>834</v>
      </c>
      <c r="L2295" t="s">
        <v>0</v>
      </c>
      <c r="M2295" t="str">
        <f t="shared" si="625"/>
        <v>048314</v>
      </c>
      <c r="N2295">
        <v>1</v>
      </c>
      <c r="O2295">
        <v>1</v>
      </c>
      <c r="P2295" t="str">
        <f>"08"</f>
        <v>08</v>
      </c>
      <c r="Q2295" t="s">
        <v>835</v>
      </c>
      <c r="S2295" t="s">
        <v>836</v>
      </c>
      <c r="T2295" t="s">
        <v>836</v>
      </c>
      <c r="U2295" t="str">
        <f t="shared" si="630"/>
        <v>2500-12-31 00:00:00.0</v>
      </c>
      <c r="V2295" t="s">
        <v>837</v>
      </c>
      <c r="W2295" t="str">
        <f>"048314-070417-**-**"</f>
        <v>048314-070417-**-**</v>
      </c>
      <c r="X2295" t="s">
        <v>838</v>
      </c>
      <c r="Y2295">
        <v>1125</v>
      </c>
      <c r="Z2295">
        <v>1125</v>
      </c>
      <c r="AA2295" t="str">
        <f t="shared" si="629"/>
        <v>06/08/2016</v>
      </c>
    </row>
    <row r="2296" spans="1:27" x14ac:dyDescent="0.3">
      <c r="A2296" t="str">
        <f t="shared" si="620"/>
        <v>048314</v>
      </c>
      <c r="B2296" t="str">
        <f t="shared" si="626"/>
        <v>070417</v>
      </c>
      <c r="C2296" t="s">
        <v>2412</v>
      </c>
      <c r="D2296" t="s">
        <v>3839</v>
      </c>
      <c r="E2296" t="s">
        <v>3840</v>
      </c>
      <c r="F2296" t="s">
        <v>3841</v>
      </c>
      <c r="G2296" t="s">
        <v>3842</v>
      </c>
      <c r="H2296" t="str">
        <f t="shared" si="628"/>
        <v>048314</v>
      </c>
      <c r="I2296" t="s">
        <v>833</v>
      </c>
      <c r="J2296" t="str">
        <f t="shared" si="632"/>
        <v>2015-07-01 00:00:00.0</v>
      </c>
      <c r="K2296" t="s">
        <v>834</v>
      </c>
      <c r="L2296" t="s">
        <v>0</v>
      </c>
      <c r="M2296" t="str">
        <f t="shared" si="625"/>
        <v>048314</v>
      </c>
      <c r="N2296">
        <v>1</v>
      </c>
      <c r="O2296">
        <v>1</v>
      </c>
      <c r="P2296" t="str">
        <f>"07"</f>
        <v>07</v>
      </c>
      <c r="Q2296" t="s">
        <v>835</v>
      </c>
      <c r="S2296" t="s">
        <v>836</v>
      </c>
      <c r="T2296" t="s">
        <v>836</v>
      </c>
      <c r="U2296" t="str">
        <f t="shared" si="630"/>
        <v>2500-12-31 00:00:00.0</v>
      </c>
      <c r="V2296" t="s">
        <v>837</v>
      </c>
      <c r="W2296" t="str">
        <f>"048314-070417-**-**"</f>
        <v>048314-070417-**-**</v>
      </c>
      <c r="X2296" t="s">
        <v>838</v>
      </c>
      <c r="Y2296">
        <v>1125</v>
      </c>
      <c r="Z2296">
        <v>1125</v>
      </c>
      <c r="AA2296" t="str">
        <f t="shared" si="629"/>
        <v>06/08/2016</v>
      </c>
    </row>
    <row r="2297" spans="1:27" x14ac:dyDescent="0.3">
      <c r="A2297" t="str">
        <f t="shared" si="620"/>
        <v>048314</v>
      </c>
      <c r="B2297" t="str">
        <f t="shared" si="626"/>
        <v>070417</v>
      </c>
      <c r="C2297" t="s">
        <v>2087</v>
      </c>
      <c r="D2297" t="s">
        <v>3839</v>
      </c>
      <c r="E2297" t="s">
        <v>3840</v>
      </c>
      <c r="F2297" t="s">
        <v>3841</v>
      </c>
      <c r="G2297" t="s">
        <v>3842</v>
      </c>
      <c r="H2297" t="str">
        <f>"048363"</f>
        <v>048363</v>
      </c>
      <c r="I2297" t="s">
        <v>833</v>
      </c>
      <c r="J2297" t="str">
        <f t="shared" si="632"/>
        <v>2015-07-01 00:00:00.0</v>
      </c>
      <c r="K2297" t="s">
        <v>834</v>
      </c>
      <c r="L2297" t="s">
        <v>1</v>
      </c>
      <c r="M2297" t="str">
        <f t="shared" si="625"/>
        <v>048314</v>
      </c>
      <c r="N2297">
        <v>1</v>
      </c>
      <c r="O2297">
        <v>1</v>
      </c>
      <c r="P2297" t="str">
        <f>"08"</f>
        <v>08</v>
      </c>
      <c r="Q2297" t="s">
        <v>835</v>
      </c>
      <c r="S2297" t="s">
        <v>836</v>
      </c>
      <c r="T2297" t="s">
        <v>836</v>
      </c>
      <c r="U2297" t="str">
        <f t="shared" si="630"/>
        <v>2500-12-31 00:00:00.0</v>
      </c>
      <c r="V2297" t="s">
        <v>837</v>
      </c>
      <c r="W2297" t="str">
        <f>"048363-014522-**-**"</f>
        <v>048363-014522-**-**</v>
      </c>
      <c r="X2297" t="s">
        <v>838</v>
      </c>
      <c r="Y2297">
        <v>1127</v>
      </c>
      <c r="Z2297">
        <v>1127</v>
      </c>
      <c r="AA2297" t="str">
        <f>"06/15/2016"</f>
        <v>06/15/2016</v>
      </c>
    </row>
    <row r="2298" spans="1:27" x14ac:dyDescent="0.3">
      <c r="A2298" t="str">
        <f t="shared" si="620"/>
        <v>048314</v>
      </c>
      <c r="B2298" t="str">
        <f t="shared" si="626"/>
        <v>070417</v>
      </c>
      <c r="C2298" t="s">
        <v>1863</v>
      </c>
      <c r="D2298" t="s">
        <v>3839</v>
      </c>
      <c r="E2298" t="s">
        <v>3840</v>
      </c>
      <c r="F2298" t="s">
        <v>3841</v>
      </c>
      <c r="G2298" t="s">
        <v>3842</v>
      </c>
      <c r="H2298" t="str">
        <f>"048314"</f>
        <v>048314</v>
      </c>
      <c r="I2298" t="s">
        <v>833</v>
      </c>
      <c r="J2298" t="str">
        <f t="shared" si="632"/>
        <v>2015-07-01 00:00:00.0</v>
      </c>
      <c r="K2298" t="s">
        <v>834</v>
      </c>
      <c r="L2298" t="s">
        <v>0</v>
      </c>
      <c r="M2298" t="str">
        <f t="shared" si="625"/>
        <v>048314</v>
      </c>
      <c r="N2298">
        <v>1</v>
      </c>
      <c r="O2298">
        <v>1</v>
      </c>
      <c r="P2298" t="str">
        <f>"09"</f>
        <v>09</v>
      </c>
      <c r="Q2298" t="s">
        <v>835</v>
      </c>
      <c r="S2298" t="s">
        <v>836</v>
      </c>
      <c r="T2298" t="s">
        <v>836</v>
      </c>
      <c r="U2298" t="str">
        <f t="shared" si="630"/>
        <v>2500-12-31 00:00:00.0</v>
      </c>
      <c r="V2298" t="s">
        <v>837</v>
      </c>
      <c r="W2298" t="str">
        <f>"048314-004796-**-**"</f>
        <v>048314-004796-**-**</v>
      </c>
      <c r="X2298" t="s">
        <v>838</v>
      </c>
      <c r="Y2298">
        <v>1254.5</v>
      </c>
      <c r="Z2298">
        <v>1254.5</v>
      </c>
      <c r="AA2298" t="str">
        <f t="shared" ref="AA2298:AA2361" si="633">"06/08/2016"</f>
        <v>06/08/2016</v>
      </c>
    </row>
    <row r="2299" spans="1:27" x14ac:dyDescent="0.3">
      <c r="A2299" t="str">
        <f t="shared" si="620"/>
        <v>048314</v>
      </c>
      <c r="B2299" t="str">
        <f t="shared" si="626"/>
        <v>070417</v>
      </c>
      <c r="C2299" t="s">
        <v>2339</v>
      </c>
      <c r="D2299" t="s">
        <v>3839</v>
      </c>
      <c r="E2299" t="s">
        <v>3840</v>
      </c>
      <c r="F2299" t="s">
        <v>3841</v>
      </c>
      <c r="G2299" t="s">
        <v>3842</v>
      </c>
      <c r="H2299" t="str">
        <f>"048314"</f>
        <v>048314</v>
      </c>
      <c r="I2299" t="s">
        <v>833</v>
      </c>
      <c r="J2299" t="str">
        <f t="shared" si="632"/>
        <v>2015-07-01 00:00:00.0</v>
      </c>
      <c r="K2299" t="s">
        <v>834</v>
      </c>
      <c r="L2299" t="s">
        <v>0</v>
      </c>
      <c r="M2299" t="str">
        <f t="shared" si="625"/>
        <v>048314</v>
      </c>
      <c r="N2299">
        <v>1</v>
      </c>
      <c r="O2299">
        <v>1</v>
      </c>
      <c r="P2299" t="str">
        <f>"07"</f>
        <v>07</v>
      </c>
      <c r="Q2299" t="s">
        <v>835</v>
      </c>
      <c r="S2299" t="s">
        <v>836</v>
      </c>
      <c r="T2299" t="s">
        <v>836</v>
      </c>
      <c r="U2299" t="str">
        <f t="shared" si="630"/>
        <v>2500-12-31 00:00:00.0</v>
      </c>
      <c r="V2299" t="s">
        <v>837</v>
      </c>
      <c r="W2299" t="str">
        <f>"048314-070417-**-**"</f>
        <v>048314-070417-**-**</v>
      </c>
      <c r="X2299" t="s">
        <v>838</v>
      </c>
      <c r="Y2299">
        <v>1125</v>
      </c>
      <c r="Z2299">
        <v>1125</v>
      </c>
      <c r="AA2299" t="str">
        <f t="shared" si="633"/>
        <v>06/08/2016</v>
      </c>
    </row>
    <row r="2300" spans="1:27" x14ac:dyDescent="0.3">
      <c r="A2300" t="str">
        <f t="shared" si="620"/>
        <v>048314</v>
      </c>
      <c r="B2300" t="str">
        <f t="shared" si="626"/>
        <v>070417</v>
      </c>
      <c r="C2300" t="s">
        <v>2094</v>
      </c>
      <c r="D2300" t="s">
        <v>3839</v>
      </c>
      <c r="E2300" t="s">
        <v>3840</v>
      </c>
      <c r="F2300" t="s">
        <v>3841</v>
      </c>
      <c r="G2300" t="s">
        <v>3842</v>
      </c>
      <c r="H2300" t="str">
        <f>"048314"</f>
        <v>048314</v>
      </c>
      <c r="I2300" t="s">
        <v>833</v>
      </c>
      <c r="J2300" t="str">
        <f t="shared" si="632"/>
        <v>2015-07-01 00:00:00.0</v>
      </c>
      <c r="K2300" t="s">
        <v>834</v>
      </c>
      <c r="L2300" t="s">
        <v>0</v>
      </c>
      <c r="M2300" t="str">
        <f t="shared" si="625"/>
        <v>048314</v>
      </c>
      <c r="N2300">
        <v>1</v>
      </c>
      <c r="O2300">
        <v>1</v>
      </c>
      <c r="P2300" t="str">
        <f>"08"</f>
        <v>08</v>
      </c>
      <c r="Q2300" t="s">
        <v>835</v>
      </c>
      <c r="S2300" t="s">
        <v>836</v>
      </c>
      <c r="T2300" t="s">
        <v>836</v>
      </c>
      <c r="U2300" t="str">
        <f t="shared" si="630"/>
        <v>2500-12-31 00:00:00.0</v>
      </c>
      <c r="V2300" t="s">
        <v>837</v>
      </c>
      <c r="W2300" t="str">
        <f>"048314-070417-**-**"</f>
        <v>048314-070417-**-**</v>
      </c>
      <c r="X2300" t="s">
        <v>838</v>
      </c>
      <c r="Y2300">
        <v>1125</v>
      </c>
      <c r="Z2300">
        <v>1125</v>
      </c>
      <c r="AA2300" t="str">
        <f t="shared" si="633"/>
        <v>06/08/2016</v>
      </c>
    </row>
    <row r="2301" spans="1:27" x14ac:dyDescent="0.3">
      <c r="A2301" t="str">
        <f t="shared" si="620"/>
        <v>048314</v>
      </c>
      <c r="B2301" t="str">
        <f t="shared" si="626"/>
        <v>070417</v>
      </c>
      <c r="C2301" t="s">
        <v>2172</v>
      </c>
      <c r="D2301" t="s">
        <v>3839</v>
      </c>
      <c r="E2301" t="s">
        <v>3840</v>
      </c>
      <c r="F2301" t="s">
        <v>3841</v>
      </c>
      <c r="G2301" t="s">
        <v>3842</v>
      </c>
      <c r="H2301" t="str">
        <f>"048314"</f>
        <v>048314</v>
      </c>
      <c r="I2301" t="s">
        <v>833</v>
      </c>
      <c r="J2301" t="str">
        <f t="shared" si="632"/>
        <v>2015-07-01 00:00:00.0</v>
      </c>
      <c r="K2301" t="s">
        <v>834</v>
      </c>
      <c r="L2301" t="s">
        <v>0</v>
      </c>
      <c r="M2301" t="str">
        <f t="shared" si="625"/>
        <v>048314</v>
      </c>
      <c r="N2301">
        <v>1</v>
      </c>
      <c r="O2301">
        <v>1</v>
      </c>
      <c r="P2301" t="str">
        <f>"09"</f>
        <v>09</v>
      </c>
      <c r="Q2301" t="str">
        <f>"10"</f>
        <v>10</v>
      </c>
      <c r="R2301" t="str">
        <f>"2"</f>
        <v>2</v>
      </c>
      <c r="S2301" t="s">
        <v>836</v>
      </c>
      <c r="T2301" t="s">
        <v>836</v>
      </c>
      <c r="U2301" t="str">
        <f t="shared" si="630"/>
        <v>2500-12-31 00:00:00.0</v>
      </c>
      <c r="V2301" t="s">
        <v>837</v>
      </c>
      <c r="W2301" t="str">
        <f>"048314-004796-**-**"</f>
        <v>048314-004796-**-**</v>
      </c>
      <c r="X2301" t="s">
        <v>838</v>
      </c>
      <c r="Y2301">
        <v>1254.5</v>
      </c>
      <c r="Z2301">
        <v>1254.5</v>
      </c>
      <c r="AA2301" t="str">
        <f t="shared" si="633"/>
        <v>06/08/2016</v>
      </c>
    </row>
    <row r="2302" spans="1:27" x14ac:dyDescent="0.3">
      <c r="A2302" t="str">
        <f t="shared" si="620"/>
        <v>048314</v>
      </c>
      <c r="B2302" t="str">
        <f t="shared" si="626"/>
        <v>070417</v>
      </c>
      <c r="C2302" t="s">
        <v>2633</v>
      </c>
      <c r="D2302" t="s">
        <v>3839</v>
      </c>
      <c r="E2302" t="s">
        <v>3840</v>
      </c>
      <c r="F2302" t="s">
        <v>3841</v>
      </c>
      <c r="G2302" t="s">
        <v>3842</v>
      </c>
      <c r="H2302" t="str">
        <f>"048397"</f>
        <v>048397</v>
      </c>
      <c r="I2302" t="s">
        <v>833</v>
      </c>
      <c r="J2302" t="str">
        <f t="shared" si="632"/>
        <v>2015-07-01 00:00:00.0</v>
      </c>
      <c r="K2302" t="s">
        <v>834</v>
      </c>
      <c r="L2302" t="s">
        <v>1</v>
      </c>
      <c r="M2302" t="str">
        <f t="shared" si="625"/>
        <v>048314</v>
      </c>
      <c r="N2302">
        <v>1</v>
      </c>
      <c r="O2302">
        <v>1</v>
      </c>
      <c r="P2302" t="str">
        <f>"06"</f>
        <v>06</v>
      </c>
      <c r="Q2302" t="str">
        <f>"10"</f>
        <v>10</v>
      </c>
      <c r="R2302" t="str">
        <f>"2"</f>
        <v>2</v>
      </c>
      <c r="S2302" t="s">
        <v>836</v>
      </c>
      <c r="T2302" t="s">
        <v>836</v>
      </c>
      <c r="U2302" t="str">
        <f t="shared" si="630"/>
        <v>2500-12-31 00:00:00.0</v>
      </c>
      <c r="V2302" t="s">
        <v>837</v>
      </c>
      <c r="W2302" t="str">
        <f>"048397-002444-**-**"</f>
        <v>048397-002444-**-**</v>
      </c>
      <c r="X2302" t="s">
        <v>838</v>
      </c>
      <c r="Y2302">
        <v>1113.0999999999999</v>
      </c>
      <c r="Z2302">
        <v>1113.0999999999999</v>
      </c>
      <c r="AA2302" t="str">
        <f t="shared" si="633"/>
        <v>06/08/2016</v>
      </c>
    </row>
    <row r="2303" spans="1:27" x14ac:dyDescent="0.3">
      <c r="A2303" t="str">
        <f t="shared" si="620"/>
        <v>048314</v>
      </c>
      <c r="B2303" t="str">
        <f t="shared" si="626"/>
        <v>070417</v>
      </c>
      <c r="C2303" t="s">
        <v>2769</v>
      </c>
      <c r="D2303" t="s">
        <v>3839</v>
      </c>
      <c r="E2303" t="s">
        <v>3840</v>
      </c>
      <c r="F2303" t="s">
        <v>3841</v>
      </c>
      <c r="G2303" t="s">
        <v>3842</v>
      </c>
      <c r="H2303" t="str">
        <f>"048314"</f>
        <v>048314</v>
      </c>
      <c r="I2303" t="s">
        <v>833</v>
      </c>
      <c r="J2303" t="str">
        <f t="shared" si="632"/>
        <v>2015-07-01 00:00:00.0</v>
      </c>
      <c r="K2303" t="s">
        <v>834</v>
      </c>
      <c r="L2303" t="s">
        <v>0</v>
      </c>
      <c r="M2303" t="str">
        <f t="shared" si="625"/>
        <v>048314</v>
      </c>
      <c r="N2303">
        <v>1</v>
      </c>
      <c r="O2303">
        <v>1</v>
      </c>
      <c r="P2303" t="str">
        <f>"08"</f>
        <v>08</v>
      </c>
      <c r="Q2303" t="s">
        <v>835</v>
      </c>
      <c r="S2303" t="s">
        <v>836</v>
      </c>
      <c r="T2303" t="s">
        <v>836</v>
      </c>
      <c r="U2303" t="str">
        <f t="shared" si="630"/>
        <v>2500-12-31 00:00:00.0</v>
      </c>
      <c r="V2303" t="s">
        <v>837</v>
      </c>
      <c r="W2303" t="str">
        <f>"048314-070417-**-**"</f>
        <v>048314-070417-**-**</v>
      </c>
      <c r="X2303" t="s">
        <v>838</v>
      </c>
      <c r="Y2303">
        <v>1125</v>
      </c>
      <c r="Z2303">
        <v>1125</v>
      </c>
      <c r="AA2303" t="str">
        <f t="shared" si="633"/>
        <v>06/08/2016</v>
      </c>
    </row>
    <row r="2304" spans="1:27" x14ac:dyDescent="0.3">
      <c r="A2304" t="str">
        <f t="shared" si="620"/>
        <v>048314</v>
      </c>
      <c r="B2304" t="str">
        <f t="shared" si="626"/>
        <v>070417</v>
      </c>
      <c r="C2304" t="s">
        <v>2413</v>
      </c>
      <c r="D2304" t="s">
        <v>3839</v>
      </c>
      <c r="E2304" t="s">
        <v>3840</v>
      </c>
      <c r="F2304" t="s">
        <v>3841</v>
      </c>
      <c r="G2304" t="s">
        <v>3842</v>
      </c>
      <c r="H2304" t="str">
        <f>"048397"</f>
        <v>048397</v>
      </c>
      <c r="I2304" t="s">
        <v>833</v>
      </c>
      <c r="J2304" t="str">
        <f t="shared" si="632"/>
        <v>2015-07-01 00:00:00.0</v>
      </c>
      <c r="K2304" t="s">
        <v>834</v>
      </c>
      <c r="L2304" t="s">
        <v>1</v>
      </c>
      <c r="M2304" t="str">
        <f t="shared" si="625"/>
        <v>048314</v>
      </c>
      <c r="N2304">
        <v>1</v>
      </c>
      <c r="O2304">
        <v>1</v>
      </c>
      <c r="P2304" t="str">
        <f>"08"</f>
        <v>08</v>
      </c>
      <c r="Q2304" t="s">
        <v>835</v>
      </c>
      <c r="S2304" t="s">
        <v>836</v>
      </c>
      <c r="T2304" t="s">
        <v>836</v>
      </c>
      <c r="U2304" t="str">
        <f t="shared" si="630"/>
        <v>2500-12-31 00:00:00.0</v>
      </c>
      <c r="V2304" t="s">
        <v>837</v>
      </c>
      <c r="W2304" t="str">
        <f>"048397-002444-**-**"</f>
        <v>048397-002444-**-**</v>
      </c>
      <c r="X2304" t="s">
        <v>838</v>
      </c>
      <c r="Y2304">
        <v>1113.0999999999999</v>
      </c>
      <c r="Z2304">
        <v>1113.0999999999999</v>
      </c>
      <c r="AA2304" t="str">
        <f t="shared" si="633"/>
        <v>06/08/2016</v>
      </c>
    </row>
    <row r="2305" spans="1:27" x14ac:dyDescent="0.3">
      <c r="A2305" t="str">
        <f t="shared" si="620"/>
        <v>048314</v>
      </c>
      <c r="B2305" t="str">
        <f t="shared" si="626"/>
        <v>070417</v>
      </c>
      <c r="C2305" t="s">
        <v>1927</v>
      </c>
      <c r="D2305" t="s">
        <v>3839</v>
      </c>
      <c r="E2305" t="s">
        <v>3840</v>
      </c>
      <c r="F2305" t="s">
        <v>3841</v>
      </c>
      <c r="G2305" t="s">
        <v>3842</v>
      </c>
      <c r="H2305" t="str">
        <f t="shared" ref="H2305:H2368" si="634">"048314"</f>
        <v>048314</v>
      </c>
      <c r="I2305" t="s">
        <v>833</v>
      </c>
      <c r="J2305" t="str">
        <f t="shared" si="632"/>
        <v>2015-07-01 00:00:00.0</v>
      </c>
      <c r="K2305" t="s">
        <v>834</v>
      </c>
      <c r="L2305" t="s">
        <v>0</v>
      </c>
      <c r="M2305" t="str">
        <f t="shared" si="625"/>
        <v>048314</v>
      </c>
      <c r="N2305">
        <v>1</v>
      </c>
      <c r="O2305">
        <v>1</v>
      </c>
      <c r="P2305" t="str">
        <f>"09"</f>
        <v>09</v>
      </c>
      <c r="Q2305" t="str">
        <f>"15"</f>
        <v>15</v>
      </c>
      <c r="R2305" t="str">
        <f>"2"</f>
        <v>2</v>
      </c>
      <c r="S2305" t="s">
        <v>836</v>
      </c>
      <c r="T2305" t="s">
        <v>836</v>
      </c>
      <c r="U2305" t="str">
        <f t="shared" si="630"/>
        <v>2500-12-31 00:00:00.0</v>
      </c>
      <c r="V2305" t="s">
        <v>837</v>
      </c>
      <c r="W2305" t="str">
        <f>"048314-004796-**-**"</f>
        <v>048314-004796-**-**</v>
      </c>
      <c r="X2305" t="s">
        <v>838</v>
      </c>
      <c r="Y2305">
        <v>1254.5</v>
      </c>
      <c r="Z2305">
        <v>1254.5</v>
      </c>
      <c r="AA2305" t="str">
        <f t="shared" si="633"/>
        <v>06/08/2016</v>
      </c>
    </row>
    <row r="2306" spans="1:27" x14ac:dyDescent="0.3">
      <c r="A2306" t="str">
        <f t="shared" ref="A2306:A2369" si="635">"048314"</f>
        <v>048314</v>
      </c>
      <c r="B2306" t="str">
        <f t="shared" si="626"/>
        <v>070417</v>
      </c>
      <c r="C2306" t="s">
        <v>1637</v>
      </c>
      <c r="D2306" t="s">
        <v>3839</v>
      </c>
      <c r="E2306" t="s">
        <v>3840</v>
      </c>
      <c r="F2306" t="s">
        <v>3841</v>
      </c>
      <c r="G2306" t="s">
        <v>3842</v>
      </c>
      <c r="H2306" t="str">
        <f t="shared" si="634"/>
        <v>048314</v>
      </c>
      <c r="I2306" t="s">
        <v>833</v>
      </c>
      <c r="J2306" t="str">
        <f t="shared" si="632"/>
        <v>2015-07-01 00:00:00.0</v>
      </c>
      <c r="K2306" t="s">
        <v>834</v>
      </c>
      <c r="L2306" t="s">
        <v>0</v>
      </c>
      <c r="M2306" t="str">
        <f t="shared" si="625"/>
        <v>048314</v>
      </c>
      <c r="N2306">
        <v>1</v>
      </c>
      <c r="O2306">
        <v>1</v>
      </c>
      <c r="P2306" t="str">
        <f>"09"</f>
        <v>09</v>
      </c>
      <c r="Q2306" t="s">
        <v>835</v>
      </c>
      <c r="S2306" t="s">
        <v>836</v>
      </c>
      <c r="T2306" t="s">
        <v>836</v>
      </c>
      <c r="U2306" t="str">
        <f t="shared" si="630"/>
        <v>2500-12-31 00:00:00.0</v>
      </c>
      <c r="V2306" t="s">
        <v>837</v>
      </c>
      <c r="W2306" t="str">
        <f>"048314-004796-**-**"</f>
        <v>048314-004796-**-**</v>
      </c>
      <c r="X2306" t="s">
        <v>838</v>
      </c>
      <c r="Y2306">
        <v>1254.5</v>
      </c>
      <c r="Z2306">
        <v>1254.5</v>
      </c>
      <c r="AA2306" t="str">
        <f t="shared" si="633"/>
        <v>06/08/2016</v>
      </c>
    </row>
    <row r="2307" spans="1:27" x14ac:dyDescent="0.3">
      <c r="A2307" t="str">
        <f t="shared" si="635"/>
        <v>048314</v>
      </c>
      <c r="B2307" t="str">
        <f t="shared" si="626"/>
        <v>070417</v>
      </c>
      <c r="C2307" t="s">
        <v>2022</v>
      </c>
      <c r="D2307" t="s">
        <v>3839</v>
      </c>
      <c r="E2307" t="s">
        <v>3840</v>
      </c>
      <c r="F2307" t="s">
        <v>3841</v>
      </c>
      <c r="G2307" t="s">
        <v>3842</v>
      </c>
      <c r="H2307" t="str">
        <f t="shared" si="634"/>
        <v>048314</v>
      </c>
      <c r="I2307" t="s">
        <v>833</v>
      </c>
      <c r="J2307" t="str">
        <f t="shared" si="632"/>
        <v>2015-07-01 00:00:00.0</v>
      </c>
      <c r="K2307" t="s">
        <v>834</v>
      </c>
      <c r="L2307" t="s">
        <v>0</v>
      </c>
      <c r="M2307" t="str">
        <f t="shared" si="625"/>
        <v>048314</v>
      </c>
      <c r="N2307">
        <v>1</v>
      </c>
      <c r="O2307">
        <v>1</v>
      </c>
      <c r="P2307" t="str">
        <f>"09"</f>
        <v>09</v>
      </c>
      <c r="Q2307" t="str">
        <f>"10"</f>
        <v>10</v>
      </c>
      <c r="R2307" t="str">
        <f>"2"</f>
        <v>2</v>
      </c>
      <c r="S2307" t="s">
        <v>836</v>
      </c>
      <c r="T2307" t="s">
        <v>836</v>
      </c>
      <c r="U2307" t="str">
        <f t="shared" si="630"/>
        <v>2500-12-31 00:00:00.0</v>
      </c>
      <c r="V2307" t="s">
        <v>837</v>
      </c>
      <c r="W2307" t="str">
        <f>"048314-004796-**-**"</f>
        <v>048314-004796-**-**</v>
      </c>
      <c r="X2307" t="s">
        <v>838</v>
      </c>
      <c r="Y2307">
        <v>1254.5</v>
      </c>
      <c r="Z2307">
        <v>1254.5</v>
      </c>
      <c r="AA2307" t="str">
        <f t="shared" si="633"/>
        <v>06/08/2016</v>
      </c>
    </row>
    <row r="2308" spans="1:27" x14ac:dyDescent="0.3">
      <c r="A2308" t="str">
        <f t="shared" si="635"/>
        <v>048314</v>
      </c>
      <c r="B2308" t="str">
        <f t="shared" si="626"/>
        <v>070417</v>
      </c>
      <c r="C2308" t="s">
        <v>2843</v>
      </c>
      <c r="D2308" t="s">
        <v>3839</v>
      </c>
      <c r="E2308" t="s">
        <v>3840</v>
      </c>
      <c r="F2308" t="s">
        <v>3841</v>
      </c>
      <c r="G2308" t="s">
        <v>3842</v>
      </c>
      <c r="H2308" t="str">
        <f t="shared" si="634"/>
        <v>048314</v>
      </c>
      <c r="I2308" t="s">
        <v>833</v>
      </c>
      <c r="J2308" t="str">
        <f t="shared" si="632"/>
        <v>2015-07-01 00:00:00.0</v>
      </c>
      <c r="K2308" t="s">
        <v>834</v>
      </c>
      <c r="L2308" t="s">
        <v>0</v>
      </c>
      <c r="M2308" t="str">
        <f t="shared" si="625"/>
        <v>048314</v>
      </c>
      <c r="N2308">
        <v>1</v>
      </c>
      <c r="O2308">
        <v>1</v>
      </c>
      <c r="P2308" t="str">
        <f>"06"</f>
        <v>06</v>
      </c>
      <c r="Q2308" t="s">
        <v>835</v>
      </c>
      <c r="S2308" t="s">
        <v>836</v>
      </c>
      <c r="T2308" t="s">
        <v>836</v>
      </c>
      <c r="U2308" t="str">
        <f t="shared" si="630"/>
        <v>2500-12-31 00:00:00.0</v>
      </c>
      <c r="V2308" t="s">
        <v>837</v>
      </c>
      <c r="W2308" t="str">
        <f>"048314-070417-**-**"</f>
        <v>048314-070417-**-**</v>
      </c>
      <c r="X2308" t="s">
        <v>838</v>
      </c>
      <c r="Y2308">
        <v>1125</v>
      </c>
      <c r="Z2308">
        <v>1125</v>
      </c>
      <c r="AA2308" t="str">
        <f t="shared" si="633"/>
        <v>06/08/2016</v>
      </c>
    </row>
    <row r="2309" spans="1:27" x14ac:dyDescent="0.3">
      <c r="A2309" t="str">
        <f t="shared" si="635"/>
        <v>048314</v>
      </c>
      <c r="B2309" t="str">
        <f t="shared" si="626"/>
        <v>070417</v>
      </c>
      <c r="C2309" t="s">
        <v>2095</v>
      </c>
      <c r="D2309" t="s">
        <v>3839</v>
      </c>
      <c r="E2309" t="s">
        <v>3840</v>
      </c>
      <c r="F2309" t="s">
        <v>3841</v>
      </c>
      <c r="G2309" t="s">
        <v>3842</v>
      </c>
      <c r="H2309" t="str">
        <f t="shared" si="634"/>
        <v>048314</v>
      </c>
      <c r="I2309" t="s">
        <v>833</v>
      </c>
      <c r="J2309" t="str">
        <f t="shared" si="632"/>
        <v>2015-07-01 00:00:00.0</v>
      </c>
      <c r="K2309" t="s">
        <v>834</v>
      </c>
      <c r="L2309" t="s">
        <v>0</v>
      </c>
      <c r="M2309" t="str">
        <f t="shared" si="625"/>
        <v>048314</v>
      </c>
      <c r="N2309">
        <v>1</v>
      </c>
      <c r="O2309">
        <v>1</v>
      </c>
      <c r="P2309" t="str">
        <f>"08"</f>
        <v>08</v>
      </c>
      <c r="Q2309" t="s">
        <v>835</v>
      </c>
      <c r="S2309" t="s">
        <v>836</v>
      </c>
      <c r="T2309" t="s">
        <v>836</v>
      </c>
      <c r="U2309" t="str">
        <f t="shared" si="630"/>
        <v>2500-12-31 00:00:00.0</v>
      </c>
      <c r="V2309" t="s">
        <v>837</v>
      </c>
      <c r="W2309" t="str">
        <f>"048314-070417-**-**"</f>
        <v>048314-070417-**-**</v>
      </c>
      <c r="X2309" t="s">
        <v>838</v>
      </c>
      <c r="Y2309">
        <v>1125</v>
      </c>
      <c r="Z2309">
        <v>1125</v>
      </c>
      <c r="AA2309" t="str">
        <f t="shared" si="633"/>
        <v>06/08/2016</v>
      </c>
    </row>
    <row r="2310" spans="1:27" x14ac:dyDescent="0.3">
      <c r="A2310" t="str">
        <f t="shared" si="635"/>
        <v>048314</v>
      </c>
      <c r="B2310" t="str">
        <f t="shared" si="626"/>
        <v>070417</v>
      </c>
      <c r="C2310" t="s">
        <v>2634</v>
      </c>
      <c r="D2310" t="s">
        <v>3839</v>
      </c>
      <c r="E2310" t="s">
        <v>3840</v>
      </c>
      <c r="F2310" t="s">
        <v>3841</v>
      </c>
      <c r="G2310" t="s">
        <v>3842</v>
      </c>
      <c r="H2310" t="str">
        <f t="shared" si="634"/>
        <v>048314</v>
      </c>
      <c r="I2310" t="s">
        <v>833</v>
      </c>
      <c r="J2310" t="str">
        <f t="shared" si="632"/>
        <v>2015-07-01 00:00:00.0</v>
      </c>
      <c r="K2310" t="s">
        <v>834</v>
      </c>
      <c r="L2310" t="s">
        <v>0</v>
      </c>
      <c r="M2310" t="str">
        <f t="shared" si="625"/>
        <v>048314</v>
      </c>
      <c r="N2310">
        <v>1</v>
      </c>
      <c r="O2310">
        <v>1</v>
      </c>
      <c r="P2310" t="str">
        <f>"06"</f>
        <v>06</v>
      </c>
      <c r="Q2310" t="s">
        <v>835</v>
      </c>
      <c r="S2310" t="s">
        <v>836</v>
      </c>
      <c r="T2310" t="s">
        <v>836</v>
      </c>
      <c r="U2310" t="str">
        <f t="shared" si="630"/>
        <v>2500-12-31 00:00:00.0</v>
      </c>
      <c r="V2310" t="s">
        <v>837</v>
      </c>
      <c r="W2310" t="str">
        <f>"048314-070417-**-**"</f>
        <v>048314-070417-**-**</v>
      </c>
      <c r="X2310" t="s">
        <v>838</v>
      </c>
      <c r="Y2310">
        <v>1125</v>
      </c>
      <c r="Z2310">
        <v>1125</v>
      </c>
      <c r="AA2310" t="str">
        <f t="shared" si="633"/>
        <v>06/08/2016</v>
      </c>
    </row>
    <row r="2311" spans="1:27" x14ac:dyDescent="0.3">
      <c r="A2311" t="str">
        <f t="shared" si="635"/>
        <v>048314</v>
      </c>
      <c r="B2311" t="str">
        <f t="shared" si="626"/>
        <v>070417</v>
      </c>
      <c r="C2311" t="s">
        <v>2844</v>
      </c>
      <c r="D2311" t="s">
        <v>3839</v>
      </c>
      <c r="E2311" t="s">
        <v>3840</v>
      </c>
      <c r="F2311" t="s">
        <v>3841</v>
      </c>
      <c r="G2311" t="s">
        <v>3842</v>
      </c>
      <c r="H2311" t="str">
        <f t="shared" si="634"/>
        <v>048314</v>
      </c>
      <c r="I2311" t="s">
        <v>833</v>
      </c>
      <c r="J2311" t="str">
        <f t="shared" si="632"/>
        <v>2015-07-01 00:00:00.0</v>
      </c>
      <c r="K2311" t="s">
        <v>834</v>
      </c>
      <c r="L2311" t="s">
        <v>0</v>
      </c>
      <c r="M2311" t="str">
        <f t="shared" si="625"/>
        <v>048314</v>
      </c>
      <c r="N2311">
        <v>1</v>
      </c>
      <c r="O2311">
        <v>1</v>
      </c>
      <c r="P2311" t="str">
        <f>"06"</f>
        <v>06</v>
      </c>
      <c r="Q2311" t="s">
        <v>835</v>
      </c>
      <c r="S2311" t="s">
        <v>836</v>
      </c>
      <c r="T2311" t="s">
        <v>836</v>
      </c>
      <c r="U2311" t="str">
        <f t="shared" si="630"/>
        <v>2500-12-31 00:00:00.0</v>
      </c>
      <c r="V2311" t="s">
        <v>837</v>
      </c>
      <c r="W2311" t="str">
        <f>"048314-070417-**-**"</f>
        <v>048314-070417-**-**</v>
      </c>
      <c r="X2311" t="s">
        <v>838</v>
      </c>
      <c r="Y2311">
        <v>1125</v>
      </c>
      <c r="Z2311">
        <v>1125</v>
      </c>
      <c r="AA2311" t="str">
        <f t="shared" si="633"/>
        <v>06/08/2016</v>
      </c>
    </row>
    <row r="2312" spans="1:27" x14ac:dyDescent="0.3">
      <c r="A2312" t="str">
        <f t="shared" si="635"/>
        <v>048314</v>
      </c>
      <c r="B2312" t="str">
        <f t="shared" si="626"/>
        <v>070417</v>
      </c>
      <c r="C2312" t="s">
        <v>2805</v>
      </c>
      <c r="D2312" t="s">
        <v>3839</v>
      </c>
      <c r="E2312" t="s">
        <v>3840</v>
      </c>
      <c r="F2312" t="s">
        <v>3841</v>
      </c>
      <c r="G2312" t="s">
        <v>3842</v>
      </c>
      <c r="H2312" t="str">
        <f t="shared" si="634"/>
        <v>048314</v>
      </c>
      <c r="I2312" t="s">
        <v>833</v>
      </c>
      <c r="J2312" t="str">
        <f t="shared" si="632"/>
        <v>2015-07-01 00:00:00.0</v>
      </c>
      <c r="K2312" t="s">
        <v>834</v>
      </c>
      <c r="L2312" t="s">
        <v>0</v>
      </c>
      <c r="M2312" t="str">
        <f t="shared" si="625"/>
        <v>048314</v>
      </c>
      <c r="N2312">
        <v>1</v>
      </c>
      <c r="O2312">
        <v>1</v>
      </c>
      <c r="P2312" t="str">
        <f>"06"</f>
        <v>06</v>
      </c>
      <c r="Q2312" t="s">
        <v>835</v>
      </c>
      <c r="S2312" t="s">
        <v>836</v>
      </c>
      <c r="T2312" t="s">
        <v>836</v>
      </c>
      <c r="U2312" t="str">
        <f t="shared" si="630"/>
        <v>2500-12-31 00:00:00.0</v>
      </c>
      <c r="V2312" t="s">
        <v>837</v>
      </c>
      <c r="W2312" t="str">
        <f>"048314-070417-**-**"</f>
        <v>048314-070417-**-**</v>
      </c>
      <c r="X2312" t="s">
        <v>838</v>
      </c>
      <c r="Y2312">
        <v>1125</v>
      </c>
      <c r="Z2312">
        <v>1125</v>
      </c>
      <c r="AA2312" t="str">
        <f t="shared" si="633"/>
        <v>06/08/2016</v>
      </c>
    </row>
    <row r="2313" spans="1:27" x14ac:dyDescent="0.3">
      <c r="A2313" t="str">
        <f t="shared" si="635"/>
        <v>048314</v>
      </c>
      <c r="B2313" t="str">
        <f t="shared" si="626"/>
        <v>070417</v>
      </c>
      <c r="C2313" t="s">
        <v>1825</v>
      </c>
      <c r="D2313" t="s">
        <v>3839</v>
      </c>
      <c r="E2313" t="s">
        <v>3840</v>
      </c>
      <c r="F2313" t="s">
        <v>3841</v>
      </c>
      <c r="G2313" t="s">
        <v>3842</v>
      </c>
      <c r="H2313" t="str">
        <f t="shared" si="634"/>
        <v>048314</v>
      </c>
      <c r="I2313" t="s">
        <v>833</v>
      </c>
      <c r="J2313" t="str">
        <f t="shared" si="632"/>
        <v>2015-07-01 00:00:00.0</v>
      </c>
      <c r="K2313" t="s">
        <v>834</v>
      </c>
      <c r="L2313" t="s">
        <v>0</v>
      </c>
      <c r="M2313" t="str">
        <f t="shared" si="625"/>
        <v>048314</v>
      </c>
      <c r="N2313">
        <v>1</v>
      </c>
      <c r="O2313">
        <v>1</v>
      </c>
      <c r="P2313" t="str">
        <f>"09"</f>
        <v>09</v>
      </c>
      <c r="Q2313" t="s">
        <v>835</v>
      </c>
      <c r="S2313" t="s">
        <v>836</v>
      </c>
      <c r="T2313" t="s">
        <v>836</v>
      </c>
      <c r="U2313" t="str">
        <f t="shared" si="630"/>
        <v>2500-12-31 00:00:00.0</v>
      </c>
      <c r="V2313" t="s">
        <v>837</v>
      </c>
      <c r="W2313" t="str">
        <f>"048314-004796-**-**"</f>
        <v>048314-004796-**-**</v>
      </c>
      <c r="X2313" t="s">
        <v>838</v>
      </c>
      <c r="Y2313">
        <v>1254.5</v>
      </c>
      <c r="Z2313">
        <v>1254.5</v>
      </c>
      <c r="AA2313" t="str">
        <f t="shared" si="633"/>
        <v>06/08/2016</v>
      </c>
    </row>
    <row r="2314" spans="1:27" x14ac:dyDescent="0.3">
      <c r="A2314" t="str">
        <f t="shared" si="635"/>
        <v>048314</v>
      </c>
      <c r="B2314" t="str">
        <f t="shared" si="626"/>
        <v>070417</v>
      </c>
      <c r="C2314" t="s">
        <v>1829</v>
      </c>
      <c r="D2314" t="s">
        <v>3839</v>
      </c>
      <c r="E2314" t="s">
        <v>3840</v>
      </c>
      <c r="F2314" t="s">
        <v>3841</v>
      </c>
      <c r="G2314" t="s">
        <v>3842</v>
      </c>
      <c r="H2314" t="str">
        <f t="shared" si="634"/>
        <v>048314</v>
      </c>
      <c r="I2314" t="s">
        <v>833</v>
      </c>
      <c r="J2314" t="str">
        <f t="shared" si="632"/>
        <v>2015-07-01 00:00:00.0</v>
      </c>
      <c r="K2314" t="s">
        <v>834</v>
      </c>
      <c r="L2314" t="s">
        <v>0</v>
      </c>
      <c r="M2314" t="str">
        <f t="shared" si="625"/>
        <v>048314</v>
      </c>
      <c r="N2314">
        <v>1</v>
      </c>
      <c r="O2314">
        <v>1</v>
      </c>
      <c r="P2314" t="str">
        <f>"07"</f>
        <v>07</v>
      </c>
      <c r="Q2314" t="s">
        <v>835</v>
      </c>
      <c r="S2314" t="s">
        <v>836</v>
      </c>
      <c r="T2314" t="s">
        <v>836</v>
      </c>
      <c r="U2314" t="str">
        <f t="shared" si="630"/>
        <v>2500-12-31 00:00:00.0</v>
      </c>
      <c r="V2314" t="s">
        <v>837</v>
      </c>
      <c r="W2314" t="str">
        <f>"048314-070417-**-**"</f>
        <v>048314-070417-**-**</v>
      </c>
      <c r="X2314" t="s">
        <v>838</v>
      </c>
      <c r="Y2314">
        <v>1125</v>
      </c>
      <c r="Z2314">
        <v>1125</v>
      </c>
      <c r="AA2314" t="str">
        <f t="shared" si="633"/>
        <v>06/08/2016</v>
      </c>
    </row>
    <row r="2315" spans="1:27" x14ac:dyDescent="0.3">
      <c r="A2315" t="str">
        <f t="shared" si="635"/>
        <v>048314</v>
      </c>
      <c r="B2315" t="str">
        <f t="shared" si="626"/>
        <v>070417</v>
      </c>
      <c r="C2315" t="s">
        <v>2096</v>
      </c>
      <c r="D2315" t="s">
        <v>3839</v>
      </c>
      <c r="E2315" t="s">
        <v>3840</v>
      </c>
      <c r="F2315" t="s">
        <v>3841</v>
      </c>
      <c r="G2315" t="s">
        <v>3842</v>
      </c>
      <c r="H2315" t="str">
        <f t="shared" si="634"/>
        <v>048314</v>
      </c>
      <c r="I2315" t="s">
        <v>833</v>
      </c>
      <c r="J2315" t="str">
        <f t="shared" si="632"/>
        <v>2015-07-01 00:00:00.0</v>
      </c>
      <c r="K2315" t="s">
        <v>834</v>
      </c>
      <c r="L2315" t="s">
        <v>0</v>
      </c>
      <c r="M2315" t="str">
        <f t="shared" si="625"/>
        <v>048314</v>
      </c>
      <c r="N2315">
        <v>1</v>
      </c>
      <c r="O2315">
        <v>1</v>
      </c>
      <c r="P2315" t="str">
        <f>"08"</f>
        <v>08</v>
      </c>
      <c r="Q2315" t="s">
        <v>835</v>
      </c>
      <c r="S2315" t="s">
        <v>836</v>
      </c>
      <c r="T2315" t="s">
        <v>836</v>
      </c>
      <c r="U2315" t="str">
        <f t="shared" si="630"/>
        <v>2500-12-31 00:00:00.0</v>
      </c>
      <c r="V2315" t="s">
        <v>837</v>
      </c>
      <c r="W2315" t="str">
        <f>"048314-070417-**-**"</f>
        <v>048314-070417-**-**</v>
      </c>
      <c r="X2315" t="s">
        <v>838</v>
      </c>
      <c r="Y2315">
        <v>1125</v>
      </c>
      <c r="Z2315">
        <v>1125</v>
      </c>
      <c r="AA2315" t="str">
        <f t="shared" si="633"/>
        <v>06/08/2016</v>
      </c>
    </row>
    <row r="2316" spans="1:27" x14ac:dyDescent="0.3">
      <c r="A2316" t="str">
        <f t="shared" si="635"/>
        <v>048314</v>
      </c>
      <c r="B2316" t="str">
        <f t="shared" si="626"/>
        <v>070417</v>
      </c>
      <c r="C2316" t="s">
        <v>2340</v>
      </c>
      <c r="D2316" t="s">
        <v>3839</v>
      </c>
      <c r="E2316" t="s">
        <v>3840</v>
      </c>
      <c r="F2316" t="s">
        <v>3841</v>
      </c>
      <c r="G2316" t="s">
        <v>3842</v>
      </c>
      <c r="H2316" t="str">
        <f t="shared" si="634"/>
        <v>048314</v>
      </c>
      <c r="I2316" t="s">
        <v>833</v>
      </c>
      <c r="J2316" t="str">
        <f t="shared" si="632"/>
        <v>2015-07-01 00:00:00.0</v>
      </c>
      <c r="K2316" t="s">
        <v>834</v>
      </c>
      <c r="L2316" t="s">
        <v>0</v>
      </c>
      <c r="M2316" t="str">
        <f t="shared" si="625"/>
        <v>048314</v>
      </c>
      <c r="N2316">
        <v>1</v>
      </c>
      <c r="O2316">
        <v>1</v>
      </c>
      <c r="P2316" t="str">
        <f>"07"</f>
        <v>07</v>
      </c>
      <c r="Q2316" t="s">
        <v>835</v>
      </c>
      <c r="S2316" t="s">
        <v>860</v>
      </c>
      <c r="T2316" t="s">
        <v>836</v>
      </c>
      <c r="U2316" t="str">
        <f t="shared" si="630"/>
        <v>2500-12-31 00:00:00.0</v>
      </c>
      <c r="V2316" t="s">
        <v>837</v>
      </c>
      <c r="W2316" t="str">
        <f>"048314-070417-**-**"</f>
        <v>048314-070417-**-**</v>
      </c>
      <c r="X2316" t="s">
        <v>838</v>
      </c>
      <c r="Y2316">
        <v>1125</v>
      </c>
      <c r="Z2316">
        <v>1125</v>
      </c>
      <c r="AA2316" t="str">
        <f t="shared" si="633"/>
        <v>06/08/2016</v>
      </c>
    </row>
    <row r="2317" spans="1:27" x14ac:dyDescent="0.3">
      <c r="A2317" t="str">
        <f t="shared" si="635"/>
        <v>048314</v>
      </c>
      <c r="B2317" t="str">
        <f t="shared" si="626"/>
        <v>070417</v>
      </c>
      <c r="C2317" t="s">
        <v>2204</v>
      </c>
      <c r="D2317" t="s">
        <v>3839</v>
      </c>
      <c r="E2317" t="s">
        <v>3840</v>
      </c>
      <c r="F2317" t="s">
        <v>3841</v>
      </c>
      <c r="G2317" t="s">
        <v>3842</v>
      </c>
      <c r="H2317" t="str">
        <f t="shared" si="634"/>
        <v>048314</v>
      </c>
      <c r="I2317" t="s">
        <v>833</v>
      </c>
      <c r="J2317" t="str">
        <f t="shared" si="632"/>
        <v>2015-07-01 00:00:00.0</v>
      </c>
      <c r="K2317" t="s">
        <v>834</v>
      </c>
      <c r="L2317" t="s">
        <v>0</v>
      </c>
      <c r="M2317" t="str">
        <f t="shared" si="625"/>
        <v>048314</v>
      </c>
      <c r="N2317">
        <v>1</v>
      </c>
      <c r="O2317">
        <v>1</v>
      </c>
      <c r="P2317" t="str">
        <f>"08"</f>
        <v>08</v>
      </c>
      <c r="Q2317" t="s">
        <v>835</v>
      </c>
      <c r="S2317" t="s">
        <v>836</v>
      </c>
      <c r="T2317" t="s">
        <v>836</v>
      </c>
      <c r="U2317" t="str">
        <f t="shared" si="630"/>
        <v>2500-12-31 00:00:00.0</v>
      </c>
      <c r="V2317" t="s">
        <v>837</v>
      </c>
      <c r="W2317" t="str">
        <f>"048314-070417-**-**"</f>
        <v>048314-070417-**-**</v>
      </c>
      <c r="X2317" t="s">
        <v>838</v>
      </c>
      <c r="Y2317">
        <v>1125</v>
      </c>
      <c r="Z2317">
        <v>1125</v>
      </c>
      <c r="AA2317" t="str">
        <f t="shared" si="633"/>
        <v>06/08/2016</v>
      </c>
    </row>
    <row r="2318" spans="1:27" x14ac:dyDescent="0.3">
      <c r="A2318" t="str">
        <f t="shared" si="635"/>
        <v>048314</v>
      </c>
      <c r="B2318" t="str">
        <f t="shared" si="626"/>
        <v>070417</v>
      </c>
      <c r="C2318" t="s">
        <v>2097</v>
      </c>
      <c r="D2318" t="s">
        <v>3839</v>
      </c>
      <c r="E2318" t="s">
        <v>3840</v>
      </c>
      <c r="F2318" t="s">
        <v>3841</v>
      </c>
      <c r="G2318" t="s">
        <v>3842</v>
      </c>
      <c r="H2318" t="str">
        <f t="shared" si="634"/>
        <v>048314</v>
      </c>
      <c r="I2318" t="s">
        <v>833</v>
      </c>
      <c r="J2318" t="str">
        <f t="shared" si="632"/>
        <v>2015-07-01 00:00:00.0</v>
      </c>
      <c r="K2318" t="s">
        <v>834</v>
      </c>
      <c r="L2318" t="s">
        <v>0</v>
      </c>
      <c r="M2318" t="str">
        <f t="shared" si="625"/>
        <v>048314</v>
      </c>
      <c r="N2318">
        <v>1</v>
      </c>
      <c r="O2318">
        <v>1</v>
      </c>
      <c r="P2318" t="str">
        <f>"08"</f>
        <v>08</v>
      </c>
      <c r="Q2318" t="s">
        <v>835</v>
      </c>
      <c r="S2318" t="s">
        <v>836</v>
      </c>
      <c r="T2318" t="s">
        <v>836</v>
      </c>
      <c r="U2318" t="str">
        <f t="shared" si="630"/>
        <v>2500-12-31 00:00:00.0</v>
      </c>
      <c r="V2318" t="s">
        <v>837</v>
      </c>
      <c r="W2318" t="str">
        <f>"048314-070417-**-**"</f>
        <v>048314-070417-**-**</v>
      </c>
      <c r="X2318" t="s">
        <v>838</v>
      </c>
      <c r="Y2318">
        <v>1125</v>
      </c>
      <c r="Z2318">
        <v>1125</v>
      </c>
      <c r="AA2318" t="str">
        <f t="shared" si="633"/>
        <v>06/08/2016</v>
      </c>
    </row>
    <row r="2319" spans="1:27" x14ac:dyDescent="0.3">
      <c r="A2319" t="str">
        <f t="shared" si="635"/>
        <v>048314</v>
      </c>
      <c r="B2319" t="str">
        <f t="shared" si="626"/>
        <v>070417</v>
      </c>
      <c r="C2319" t="s">
        <v>920</v>
      </c>
      <c r="D2319" t="s">
        <v>3839</v>
      </c>
      <c r="E2319" t="s">
        <v>3840</v>
      </c>
      <c r="F2319" t="s">
        <v>3841</v>
      </c>
      <c r="G2319" t="s">
        <v>3842</v>
      </c>
      <c r="H2319" t="str">
        <f t="shared" si="634"/>
        <v>048314</v>
      </c>
      <c r="I2319" t="s">
        <v>833</v>
      </c>
      <c r="J2319" t="str">
        <f t="shared" si="632"/>
        <v>2015-07-01 00:00:00.0</v>
      </c>
      <c r="K2319" t="s">
        <v>834</v>
      </c>
      <c r="L2319" t="s">
        <v>0</v>
      </c>
      <c r="M2319" t="str">
        <f t="shared" si="625"/>
        <v>048314</v>
      </c>
      <c r="N2319">
        <v>1</v>
      </c>
      <c r="O2319">
        <v>1</v>
      </c>
      <c r="P2319" t="str">
        <f>"09"</f>
        <v>09</v>
      </c>
      <c r="Q2319" t="s">
        <v>835</v>
      </c>
      <c r="S2319" t="s">
        <v>860</v>
      </c>
      <c r="T2319" t="s">
        <v>836</v>
      </c>
      <c r="U2319" t="str">
        <f t="shared" si="630"/>
        <v>2500-12-31 00:00:00.0</v>
      </c>
      <c r="V2319" t="s">
        <v>837</v>
      </c>
      <c r="W2319" t="str">
        <f>"048314-004796-**-**"</f>
        <v>048314-004796-**-**</v>
      </c>
      <c r="X2319" t="s">
        <v>838</v>
      </c>
      <c r="Y2319">
        <v>1254.5</v>
      </c>
      <c r="Z2319">
        <v>1254.5</v>
      </c>
      <c r="AA2319" t="str">
        <f t="shared" si="633"/>
        <v>06/08/2016</v>
      </c>
    </row>
    <row r="2320" spans="1:27" x14ac:dyDescent="0.3">
      <c r="A2320" t="str">
        <f t="shared" si="635"/>
        <v>048314</v>
      </c>
      <c r="B2320" t="str">
        <f t="shared" si="626"/>
        <v>070417</v>
      </c>
      <c r="C2320" t="s">
        <v>2098</v>
      </c>
      <c r="D2320" t="s">
        <v>3839</v>
      </c>
      <c r="E2320" t="s">
        <v>3840</v>
      </c>
      <c r="F2320" t="s">
        <v>3841</v>
      </c>
      <c r="G2320" t="s">
        <v>3842</v>
      </c>
      <c r="H2320" t="str">
        <f t="shared" si="634"/>
        <v>048314</v>
      </c>
      <c r="I2320" t="s">
        <v>833</v>
      </c>
      <c r="J2320" t="str">
        <f t="shared" si="632"/>
        <v>2015-07-01 00:00:00.0</v>
      </c>
      <c r="K2320" t="s">
        <v>834</v>
      </c>
      <c r="L2320" t="s">
        <v>0</v>
      </c>
      <c r="M2320" t="str">
        <f t="shared" si="625"/>
        <v>048314</v>
      </c>
      <c r="N2320">
        <v>1</v>
      </c>
      <c r="O2320">
        <v>1</v>
      </c>
      <c r="P2320" t="str">
        <f>"08"</f>
        <v>08</v>
      </c>
      <c r="Q2320" t="s">
        <v>835</v>
      </c>
      <c r="S2320" t="s">
        <v>836</v>
      </c>
      <c r="T2320" t="s">
        <v>836</v>
      </c>
      <c r="U2320" t="str">
        <f t="shared" si="630"/>
        <v>2500-12-31 00:00:00.0</v>
      </c>
      <c r="V2320" t="s">
        <v>837</v>
      </c>
      <c r="W2320" t="str">
        <f>"048314-070417-**-**"</f>
        <v>048314-070417-**-**</v>
      </c>
      <c r="X2320" t="s">
        <v>838</v>
      </c>
      <c r="Y2320">
        <v>1125</v>
      </c>
      <c r="Z2320">
        <v>1125</v>
      </c>
      <c r="AA2320" t="str">
        <f t="shared" si="633"/>
        <v>06/08/2016</v>
      </c>
    </row>
    <row r="2321" spans="1:27" x14ac:dyDescent="0.3">
      <c r="A2321" t="str">
        <f t="shared" si="635"/>
        <v>048314</v>
      </c>
      <c r="B2321" t="str">
        <f t="shared" si="626"/>
        <v>070417</v>
      </c>
      <c r="C2321" t="s">
        <v>1864</v>
      </c>
      <c r="D2321" t="s">
        <v>3839</v>
      </c>
      <c r="E2321" t="s">
        <v>3840</v>
      </c>
      <c r="F2321" t="s">
        <v>3841</v>
      </c>
      <c r="G2321" t="s">
        <v>3842</v>
      </c>
      <c r="H2321" t="str">
        <f t="shared" si="634"/>
        <v>048314</v>
      </c>
      <c r="I2321" t="s">
        <v>833</v>
      </c>
      <c r="J2321" t="str">
        <f t="shared" si="632"/>
        <v>2015-07-01 00:00:00.0</v>
      </c>
      <c r="K2321" t="s">
        <v>834</v>
      </c>
      <c r="L2321" t="s">
        <v>0</v>
      </c>
      <c r="M2321" t="str">
        <f t="shared" si="625"/>
        <v>048314</v>
      </c>
      <c r="N2321">
        <v>1</v>
      </c>
      <c r="O2321">
        <v>1</v>
      </c>
      <c r="P2321" t="str">
        <f>"09"</f>
        <v>09</v>
      </c>
      <c r="Q2321" t="s">
        <v>835</v>
      </c>
      <c r="S2321" t="s">
        <v>836</v>
      </c>
      <c r="T2321" t="s">
        <v>836</v>
      </c>
      <c r="U2321" t="str">
        <f t="shared" si="630"/>
        <v>2500-12-31 00:00:00.0</v>
      </c>
      <c r="V2321" t="s">
        <v>837</v>
      </c>
      <c r="W2321" t="str">
        <f>"048314-004796-**-**"</f>
        <v>048314-004796-**-**</v>
      </c>
      <c r="X2321" t="s">
        <v>838</v>
      </c>
      <c r="Y2321">
        <v>1254.5</v>
      </c>
      <c r="Z2321">
        <v>1254.5</v>
      </c>
      <c r="AA2321" t="str">
        <f t="shared" si="633"/>
        <v>06/08/2016</v>
      </c>
    </row>
    <row r="2322" spans="1:27" x14ac:dyDescent="0.3">
      <c r="A2322" t="str">
        <f t="shared" si="635"/>
        <v>048314</v>
      </c>
      <c r="B2322" t="str">
        <f t="shared" si="626"/>
        <v>070417</v>
      </c>
      <c r="C2322" t="s">
        <v>2341</v>
      </c>
      <c r="D2322" t="s">
        <v>3839</v>
      </c>
      <c r="E2322" t="s">
        <v>3840</v>
      </c>
      <c r="F2322" t="s">
        <v>3841</v>
      </c>
      <c r="G2322" t="s">
        <v>3842</v>
      </c>
      <c r="H2322" t="str">
        <f t="shared" si="634"/>
        <v>048314</v>
      </c>
      <c r="I2322" t="s">
        <v>833</v>
      </c>
      <c r="J2322" t="str">
        <f t="shared" si="632"/>
        <v>2015-07-01 00:00:00.0</v>
      </c>
      <c r="K2322" t="s">
        <v>834</v>
      </c>
      <c r="L2322" t="s">
        <v>0</v>
      </c>
      <c r="M2322" t="str">
        <f t="shared" si="625"/>
        <v>048314</v>
      </c>
      <c r="N2322">
        <v>1</v>
      </c>
      <c r="O2322">
        <v>1</v>
      </c>
      <c r="P2322" t="str">
        <f>"07"</f>
        <v>07</v>
      </c>
      <c r="Q2322" t="s">
        <v>835</v>
      </c>
      <c r="S2322" t="s">
        <v>836</v>
      </c>
      <c r="T2322" t="s">
        <v>836</v>
      </c>
      <c r="U2322" t="str">
        <f t="shared" si="630"/>
        <v>2500-12-31 00:00:00.0</v>
      </c>
      <c r="V2322" t="s">
        <v>837</v>
      </c>
      <c r="W2322" t="str">
        <f>"048314-070417-**-**"</f>
        <v>048314-070417-**-**</v>
      </c>
      <c r="X2322" t="s">
        <v>838</v>
      </c>
      <c r="Y2322">
        <v>1125</v>
      </c>
      <c r="Z2322">
        <v>1125</v>
      </c>
      <c r="AA2322" t="str">
        <f t="shared" si="633"/>
        <v>06/08/2016</v>
      </c>
    </row>
    <row r="2323" spans="1:27" x14ac:dyDescent="0.3">
      <c r="A2323" t="str">
        <f t="shared" si="635"/>
        <v>048314</v>
      </c>
      <c r="B2323" t="str">
        <f t="shared" si="626"/>
        <v>070417</v>
      </c>
      <c r="C2323" t="s">
        <v>1865</v>
      </c>
      <c r="D2323" t="s">
        <v>3839</v>
      </c>
      <c r="E2323" t="s">
        <v>3840</v>
      </c>
      <c r="F2323" t="s">
        <v>3841</v>
      </c>
      <c r="G2323" t="s">
        <v>3842</v>
      </c>
      <c r="H2323" t="str">
        <f t="shared" si="634"/>
        <v>048314</v>
      </c>
      <c r="I2323" t="s">
        <v>833</v>
      </c>
      <c r="J2323" t="str">
        <f t="shared" si="632"/>
        <v>2015-07-01 00:00:00.0</v>
      </c>
      <c r="K2323" t="s">
        <v>834</v>
      </c>
      <c r="L2323" t="s">
        <v>0</v>
      </c>
      <c r="M2323" t="str">
        <f t="shared" si="625"/>
        <v>048314</v>
      </c>
      <c r="N2323">
        <v>1</v>
      </c>
      <c r="O2323">
        <v>1</v>
      </c>
      <c r="P2323" t="str">
        <f>"09"</f>
        <v>09</v>
      </c>
      <c r="Q2323" t="str">
        <f>"10"</f>
        <v>10</v>
      </c>
      <c r="R2323" t="str">
        <f>"2"</f>
        <v>2</v>
      </c>
      <c r="S2323" t="s">
        <v>836</v>
      </c>
      <c r="T2323" t="s">
        <v>836</v>
      </c>
      <c r="U2323" t="str">
        <f t="shared" si="630"/>
        <v>2500-12-31 00:00:00.0</v>
      </c>
      <c r="V2323" t="s">
        <v>837</v>
      </c>
      <c r="W2323" t="str">
        <f>"048314-004796-**-**"</f>
        <v>048314-004796-**-**</v>
      </c>
      <c r="X2323" t="s">
        <v>838</v>
      </c>
      <c r="Y2323">
        <v>1254.5</v>
      </c>
      <c r="Z2323">
        <v>1254.5</v>
      </c>
      <c r="AA2323" t="str">
        <f t="shared" si="633"/>
        <v>06/08/2016</v>
      </c>
    </row>
    <row r="2324" spans="1:27" x14ac:dyDescent="0.3">
      <c r="A2324" t="str">
        <f t="shared" si="635"/>
        <v>048314</v>
      </c>
      <c r="B2324" t="str">
        <f t="shared" si="626"/>
        <v>070417</v>
      </c>
      <c r="C2324" t="s">
        <v>2770</v>
      </c>
      <c r="D2324" t="s">
        <v>3839</v>
      </c>
      <c r="E2324" t="s">
        <v>3840</v>
      </c>
      <c r="F2324" t="s">
        <v>3841</v>
      </c>
      <c r="G2324" t="s">
        <v>3842</v>
      </c>
      <c r="H2324" t="str">
        <f t="shared" si="634"/>
        <v>048314</v>
      </c>
      <c r="I2324" t="s">
        <v>833</v>
      </c>
      <c r="J2324" t="str">
        <f t="shared" si="632"/>
        <v>2015-07-01 00:00:00.0</v>
      </c>
      <c r="K2324" t="s">
        <v>834</v>
      </c>
      <c r="L2324" t="s">
        <v>0</v>
      </c>
      <c r="M2324" t="str">
        <f t="shared" si="625"/>
        <v>048314</v>
      </c>
      <c r="N2324">
        <v>1</v>
      </c>
      <c r="O2324">
        <v>1</v>
      </c>
      <c r="P2324" t="str">
        <f>"06"</f>
        <v>06</v>
      </c>
      <c r="Q2324" t="s">
        <v>835</v>
      </c>
      <c r="S2324" t="s">
        <v>836</v>
      </c>
      <c r="T2324" t="s">
        <v>836</v>
      </c>
      <c r="U2324" t="str">
        <f t="shared" si="630"/>
        <v>2500-12-31 00:00:00.0</v>
      </c>
      <c r="V2324" t="s">
        <v>837</v>
      </c>
      <c r="W2324" t="str">
        <f>"048314-070417-**-**"</f>
        <v>048314-070417-**-**</v>
      </c>
      <c r="X2324" t="s">
        <v>838</v>
      </c>
      <c r="Y2324">
        <v>1125</v>
      </c>
      <c r="Z2324">
        <v>1125</v>
      </c>
      <c r="AA2324" t="str">
        <f t="shared" si="633"/>
        <v>06/08/2016</v>
      </c>
    </row>
    <row r="2325" spans="1:27" x14ac:dyDescent="0.3">
      <c r="A2325" t="str">
        <f t="shared" si="635"/>
        <v>048314</v>
      </c>
      <c r="B2325" t="str">
        <f t="shared" si="626"/>
        <v>070417</v>
      </c>
      <c r="C2325" t="s">
        <v>2342</v>
      </c>
      <c r="D2325" t="s">
        <v>3839</v>
      </c>
      <c r="E2325" t="s">
        <v>3840</v>
      </c>
      <c r="F2325" t="s">
        <v>3841</v>
      </c>
      <c r="G2325" t="s">
        <v>3842</v>
      </c>
      <c r="H2325" t="str">
        <f t="shared" si="634"/>
        <v>048314</v>
      </c>
      <c r="I2325" t="s">
        <v>833</v>
      </c>
      <c r="J2325" t="str">
        <f t="shared" si="632"/>
        <v>2015-07-01 00:00:00.0</v>
      </c>
      <c r="K2325" t="s">
        <v>834</v>
      </c>
      <c r="L2325" t="s">
        <v>0</v>
      </c>
      <c r="M2325" t="str">
        <f t="shared" si="625"/>
        <v>048314</v>
      </c>
      <c r="N2325">
        <v>1</v>
      </c>
      <c r="O2325">
        <v>1</v>
      </c>
      <c r="P2325" t="str">
        <f>"07"</f>
        <v>07</v>
      </c>
      <c r="Q2325" t="s">
        <v>835</v>
      </c>
      <c r="S2325" t="s">
        <v>836</v>
      </c>
      <c r="T2325" t="s">
        <v>836</v>
      </c>
      <c r="U2325" t="str">
        <f t="shared" si="630"/>
        <v>2500-12-31 00:00:00.0</v>
      </c>
      <c r="V2325" t="s">
        <v>837</v>
      </c>
      <c r="W2325" t="str">
        <f>"048314-070417-**-**"</f>
        <v>048314-070417-**-**</v>
      </c>
      <c r="X2325" t="s">
        <v>838</v>
      </c>
      <c r="Y2325">
        <v>1125</v>
      </c>
      <c r="Z2325">
        <v>1125</v>
      </c>
      <c r="AA2325" t="str">
        <f t="shared" si="633"/>
        <v>06/08/2016</v>
      </c>
    </row>
    <row r="2326" spans="1:27" x14ac:dyDescent="0.3">
      <c r="A2326" t="str">
        <f t="shared" si="635"/>
        <v>048314</v>
      </c>
      <c r="B2326" t="str">
        <f t="shared" si="626"/>
        <v>070417</v>
      </c>
      <c r="C2326" t="s">
        <v>2636</v>
      </c>
      <c r="D2326" t="s">
        <v>3839</v>
      </c>
      <c r="E2326" t="s">
        <v>3840</v>
      </c>
      <c r="F2326" t="s">
        <v>3841</v>
      </c>
      <c r="G2326" t="s">
        <v>3842</v>
      </c>
      <c r="H2326" t="str">
        <f t="shared" si="634"/>
        <v>048314</v>
      </c>
      <c r="I2326" t="s">
        <v>833</v>
      </c>
      <c r="J2326" t="str">
        <f t="shared" si="632"/>
        <v>2015-07-01 00:00:00.0</v>
      </c>
      <c r="K2326" t="s">
        <v>834</v>
      </c>
      <c r="L2326" t="s">
        <v>0</v>
      </c>
      <c r="M2326" t="str">
        <f t="shared" si="625"/>
        <v>048314</v>
      </c>
      <c r="N2326">
        <v>1</v>
      </c>
      <c r="O2326">
        <v>1</v>
      </c>
      <c r="P2326" t="str">
        <f>"09"</f>
        <v>09</v>
      </c>
      <c r="Q2326" t="s">
        <v>835</v>
      </c>
      <c r="S2326" t="s">
        <v>836</v>
      </c>
      <c r="T2326" t="s">
        <v>836</v>
      </c>
      <c r="U2326" t="str">
        <f t="shared" si="630"/>
        <v>2500-12-31 00:00:00.0</v>
      </c>
      <c r="V2326" t="s">
        <v>837</v>
      </c>
      <c r="W2326" t="str">
        <f>"048314-004796-**-**"</f>
        <v>048314-004796-**-**</v>
      </c>
      <c r="X2326" t="s">
        <v>838</v>
      </c>
      <c r="Y2326">
        <v>1254.5</v>
      </c>
      <c r="Z2326">
        <v>1254.5</v>
      </c>
      <c r="AA2326" t="str">
        <f t="shared" si="633"/>
        <v>06/08/2016</v>
      </c>
    </row>
    <row r="2327" spans="1:27" x14ac:dyDescent="0.3">
      <c r="A2327" t="str">
        <f t="shared" si="635"/>
        <v>048314</v>
      </c>
      <c r="B2327" t="str">
        <f t="shared" si="626"/>
        <v>070417</v>
      </c>
      <c r="C2327" t="s">
        <v>2637</v>
      </c>
      <c r="D2327" t="s">
        <v>3839</v>
      </c>
      <c r="E2327" t="s">
        <v>3840</v>
      </c>
      <c r="F2327" t="s">
        <v>3841</v>
      </c>
      <c r="G2327" t="s">
        <v>3842</v>
      </c>
      <c r="H2327" t="str">
        <f t="shared" si="634"/>
        <v>048314</v>
      </c>
      <c r="I2327" t="s">
        <v>833</v>
      </c>
      <c r="J2327" t="str">
        <f t="shared" si="632"/>
        <v>2015-07-01 00:00:00.0</v>
      </c>
      <c r="K2327" t="s">
        <v>834</v>
      </c>
      <c r="L2327" t="s">
        <v>0</v>
      </c>
      <c r="M2327" t="str">
        <f t="shared" si="625"/>
        <v>048314</v>
      </c>
      <c r="N2327">
        <v>1</v>
      </c>
      <c r="O2327">
        <v>1</v>
      </c>
      <c r="P2327" t="str">
        <f>"09"</f>
        <v>09</v>
      </c>
      <c r="Q2327" t="s">
        <v>835</v>
      </c>
      <c r="S2327" t="s">
        <v>836</v>
      </c>
      <c r="T2327" t="s">
        <v>836</v>
      </c>
      <c r="U2327" t="str">
        <f t="shared" si="630"/>
        <v>2500-12-31 00:00:00.0</v>
      </c>
      <c r="V2327" t="s">
        <v>837</v>
      </c>
      <c r="W2327" t="str">
        <f>"048314-004796-**-**"</f>
        <v>048314-004796-**-**</v>
      </c>
      <c r="X2327" t="s">
        <v>838</v>
      </c>
      <c r="Y2327">
        <v>1254.5</v>
      </c>
      <c r="Z2327">
        <v>1254.5</v>
      </c>
      <c r="AA2327" t="str">
        <f t="shared" si="633"/>
        <v>06/08/2016</v>
      </c>
    </row>
    <row r="2328" spans="1:27" x14ac:dyDescent="0.3">
      <c r="A2328" t="str">
        <f t="shared" si="635"/>
        <v>048314</v>
      </c>
      <c r="B2328" t="str">
        <f t="shared" si="626"/>
        <v>070417</v>
      </c>
      <c r="C2328" t="s">
        <v>2099</v>
      </c>
      <c r="D2328" t="s">
        <v>3839</v>
      </c>
      <c r="E2328" t="s">
        <v>3840</v>
      </c>
      <c r="F2328" t="s">
        <v>3841</v>
      </c>
      <c r="G2328" t="s">
        <v>3842</v>
      </c>
      <c r="H2328" t="str">
        <f t="shared" si="634"/>
        <v>048314</v>
      </c>
      <c r="I2328" t="s">
        <v>833</v>
      </c>
      <c r="J2328" t="str">
        <f t="shared" si="632"/>
        <v>2015-07-01 00:00:00.0</v>
      </c>
      <c r="K2328" t="s">
        <v>834</v>
      </c>
      <c r="L2328" t="s">
        <v>0</v>
      </c>
      <c r="M2328" t="str">
        <f t="shared" si="625"/>
        <v>048314</v>
      </c>
      <c r="N2328">
        <v>1</v>
      </c>
      <c r="O2328">
        <v>1</v>
      </c>
      <c r="P2328" t="str">
        <f>"08"</f>
        <v>08</v>
      </c>
      <c r="Q2328" t="s">
        <v>835</v>
      </c>
      <c r="S2328" t="s">
        <v>836</v>
      </c>
      <c r="T2328" t="s">
        <v>836</v>
      </c>
      <c r="U2328" t="str">
        <f t="shared" si="630"/>
        <v>2500-12-31 00:00:00.0</v>
      </c>
      <c r="V2328" t="s">
        <v>837</v>
      </c>
      <c r="W2328" t="str">
        <f t="shared" ref="W2328:W2336" si="636">"048314-070417-**-**"</f>
        <v>048314-070417-**-**</v>
      </c>
      <c r="X2328" t="s">
        <v>838</v>
      </c>
      <c r="Y2328">
        <v>1125</v>
      </c>
      <c r="Z2328">
        <v>1125</v>
      </c>
      <c r="AA2328" t="str">
        <f t="shared" si="633"/>
        <v>06/08/2016</v>
      </c>
    </row>
    <row r="2329" spans="1:27" x14ac:dyDescent="0.3">
      <c r="A2329" t="str">
        <f t="shared" si="635"/>
        <v>048314</v>
      </c>
      <c r="B2329" t="str">
        <f t="shared" si="626"/>
        <v>070417</v>
      </c>
      <c r="C2329" t="s">
        <v>2638</v>
      </c>
      <c r="D2329" t="s">
        <v>3839</v>
      </c>
      <c r="E2329" t="s">
        <v>3840</v>
      </c>
      <c r="F2329" t="s">
        <v>3841</v>
      </c>
      <c r="G2329" t="s">
        <v>3842</v>
      </c>
      <c r="H2329" t="str">
        <f t="shared" si="634"/>
        <v>048314</v>
      </c>
      <c r="I2329" t="s">
        <v>833</v>
      </c>
      <c r="J2329" t="str">
        <f t="shared" si="632"/>
        <v>2015-07-01 00:00:00.0</v>
      </c>
      <c r="K2329" t="s">
        <v>834</v>
      </c>
      <c r="L2329" t="s">
        <v>0</v>
      </c>
      <c r="M2329" t="str">
        <f t="shared" ref="M2329:M2392" si="637">"048314"</f>
        <v>048314</v>
      </c>
      <c r="N2329">
        <v>1</v>
      </c>
      <c r="O2329">
        <v>1</v>
      </c>
      <c r="P2329" t="str">
        <f>"06"</f>
        <v>06</v>
      </c>
      <c r="Q2329" t="s">
        <v>835</v>
      </c>
      <c r="S2329" t="s">
        <v>836</v>
      </c>
      <c r="T2329" t="s">
        <v>836</v>
      </c>
      <c r="U2329" t="str">
        <f t="shared" si="630"/>
        <v>2500-12-31 00:00:00.0</v>
      </c>
      <c r="V2329" t="s">
        <v>837</v>
      </c>
      <c r="W2329" t="str">
        <f t="shared" si="636"/>
        <v>048314-070417-**-**</v>
      </c>
      <c r="X2329" t="s">
        <v>838</v>
      </c>
      <c r="Y2329">
        <v>1125</v>
      </c>
      <c r="Z2329">
        <v>1125</v>
      </c>
      <c r="AA2329" t="str">
        <f t="shared" si="633"/>
        <v>06/08/2016</v>
      </c>
    </row>
    <row r="2330" spans="1:27" x14ac:dyDescent="0.3">
      <c r="A2330" t="str">
        <f t="shared" si="635"/>
        <v>048314</v>
      </c>
      <c r="B2330" t="str">
        <f t="shared" si="626"/>
        <v>070417</v>
      </c>
      <c r="C2330" t="s">
        <v>2516</v>
      </c>
      <c r="D2330" t="s">
        <v>3839</v>
      </c>
      <c r="E2330" t="s">
        <v>3840</v>
      </c>
      <c r="F2330" t="s">
        <v>3841</v>
      </c>
      <c r="G2330" t="s">
        <v>3842</v>
      </c>
      <c r="H2330" t="str">
        <f t="shared" si="634"/>
        <v>048314</v>
      </c>
      <c r="I2330" t="s">
        <v>833</v>
      </c>
      <c r="J2330" t="str">
        <f t="shared" si="632"/>
        <v>2015-07-01 00:00:00.0</v>
      </c>
      <c r="K2330" t="s">
        <v>834</v>
      </c>
      <c r="L2330" t="s">
        <v>0</v>
      </c>
      <c r="M2330" t="str">
        <f t="shared" si="637"/>
        <v>048314</v>
      </c>
      <c r="N2330">
        <v>1</v>
      </c>
      <c r="O2330">
        <v>1</v>
      </c>
      <c r="P2330" t="str">
        <f>"07"</f>
        <v>07</v>
      </c>
      <c r="Q2330" t="s">
        <v>835</v>
      </c>
      <c r="S2330" t="s">
        <v>836</v>
      </c>
      <c r="T2330" t="s">
        <v>836</v>
      </c>
      <c r="U2330" t="str">
        <f t="shared" si="630"/>
        <v>2500-12-31 00:00:00.0</v>
      </c>
      <c r="V2330" t="s">
        <v>837</v>
      </c>
      <c r="W2330" t="str">
        <f t="shared" si="636"/>
        <v>048314-070417-**-**</v>
      </c>
      <c r="X2330" t="s">
        <v>838</v>
      </c>
      <c r="Y2330">
        <v>1125</v>
      </c>
      <c r="Z2330">
        <v>1125</v>
      </c>
      <c r="AA2330" t="str">
        <f t="shared" si="633"/>
        <v>06/08/2016</v>
      </c>
    </row>
    <row r="2331" spans="1:27" x14ac:dyDescent="0.3">
      <c r="A2331" t="str">
        <f t="shared" si="635"/>
        <v>048314</v>
      </c>
      <c r="B2331" t="str">
        <f t="shared" si="626"/>
        <v>070417</v>
      </c>
      <c r="C2331" t="s">
        <v>2414</v>
      </c>
      <c r="D2331" t="s">
        <v>3839</v>
      </c>
      <c r="E2331" t="s">
        <v>3840</v>
      </c>
      <c r="F2331" t="s">
        <v>3841</v>
      </c>
      <c r="G2331" t="s">
        <v>3842</v>
      </c>
      <c r="H2331" t="str">
        <f t="shared" si="634"/>
        <v>048314</v>
      </c>
      <c r="I2331" t="s">
        <v>833</v>
      </c>
      <c r="J2331" t="str">
        <f t="shared" si="632"/>
        <v>2015-07-01 00:00:00.0</v>
      </c>
      <c r="K2331" t="s">
        <v>834</v>
      </c>
      <c r="L2331" t="s">
        <v>0</v>
      </c>
      <c r="M2331" t="str">
        <f t="shared" si="637"/>
        <v>048314</v>
      </c>
      <c r="N2331">
        <v>1</v>
      </c>
      <c r="O2331">
        <v>1</v>
      </c>
      <c r="P2331" t="str">
        <f>"08"</f>
        <v>08</v>
      </c>
      <c r="Q2331" t="s">
        <v>835</v>
      </c>
      <c r="S2331" t="s">
        <v>836</v>
      </c>
      <c r="T2331" t="s">
        <v>836</v>
      </c>
      <c r="U2331" t="str">
        <f t="shared" si="630"/>
        <v>2500-12-31 00:00:00.0</v>
      </c>
      <c r="V2331" t="s">
        <v>837</v>
      </c>
      <c r="W2331" t="str">
        <f t="shared" si="636"/>
        <v>048314-070417-**-**</v>
      </c>
      <c r="X2331" t="s">
        <v>838</v>
      </c>
      <c r="Y2331">
        <v>1125</v>
      </c>
      <c r="Z2331">
        <v>1125</v>
      </c>
      <c r="AA2331" t="str">
        <f t="shared" si="633"/>
        <v>06/08/2016</v>
      </c>
    </row>
    <row r="2332" spans="1:27" x14ac:dyDescent="0.3">
      <c r="A2332" t="str">
        <f t="shared" si="635"/>
        <v>048314</v>
      </c>
      <c r="B2332" t="str">
        <f t="shared" si="626"/>
        <v>070417</v>
      </c>
      <c r="C2332" t="s">
        <v>2639</v>
      </c>
      <c r="D2332" t="s">
        <v>3839</v>
      </c>
      <c r="E2332" t="s">
        <v>3840</v>
      </c>
      <c r="F2332" t="s">
        <v>3841</v>
      </c>
      <c r="G2332" t="s">
        <v>3842</v>
      </c>
      <c r="H2332" t="str">
        <f t="shared" si="634"/>
        <v>048314</v>
      </c>
      <c r="I2332" t="s">
        <v>833</v>
      </c>
      <c r="J2332" t="str">
        <f t="shared" si="632"/>
        <v>2015-07-01 00:00:00.0</v>
      </c>
      <c r="K2332" t="s">
        <v>834</v>
      </c>
      <c r="L2332" t="s">
        <v>0</v>
      </c>
      <c r="M2332" t="str">
        <f t="shared" si="637"/>
        <v>048314</v>
      </c>
      <c r="N2332">
        <v>1</v>
      </c>
      <c r="O2332">
        <v>1</v>
      </c>
      <c r="P2332" t="str">
        <f>"07"</f>
        <v>07</v>
      </c>
      <c r="Q2332" t="s">
        <v>835</v>
      </c>
      <c r="S2332" t="s">
        <v>836</v>
      </c>
      <c r="T2332" t="s">
        <v>836</v>
      </c>
      <c r="U2332" t="str">
        <f t="shared" si="630"/>
        <v>2500-12-31 00:00:00.0</v>
      </c>
      <c r="V2332" t="s">
        <v>837</v>
      </c>
      <c r="W2332" t="str">
        <f t="shared" si="636"/>
        <v>048314-070417-**-**</v>
      </c>
      <c r="X2332" t="s">
        <v>838</v>
      </c>
      <c r="Y2332">
        <v>1125</v>
      </c>
      <c r="Z2332">
        <v>1125</v>
      </c>
      <c r="AA2332" t="str">
        <f t="shared" si="633"/>
        <v>06/08/2016</v>
      </c>
    </row>
    <row r="2333" spans="1:27" x14ac:dyDescent="0.3">
      <c r="A2333" t="str">
        <f t="shared" si="635"/>
        <v>048314</v>
      </c>
      <c r="B2333" t="str">
        <f t="shared" si="626"/>
        <v>070417</v>
      </c>
      <c r="C2333" t="s">
        <v>3484</v>
      </c>
      <c r="D2333" t="s">
        <v>3839</v>
      </c>
      <c r="E2333" t="s">
        <v>3840</v>
      </c>
      <c r="F2333" t="s">
        <v>3841</v>
      </c>
      <c r="G2333" t="s">
        <v>3842</v>
      </c>
      <c r="H2333" t="str">
        <f t="shared" si="634"/>
        <v>048314</v>
      </c>
      <c r="I2333" t="s">
        <v>833</v>
      </c>
      <c r="J2333" t="str">
        <f t="shared" si="632"/>
        <v>2015-07-01 00:00:00.0</v>
      </c>
      <c r="K2333" t="s">
        <v>834</v>
      </c>
      <c r="L2333" t="s">
        <v>0</v>
      </c>
      <c r="M2333" t="str">
        <f t="shared" si="637"/>
        <v>048314</v>
      </c>
      <c r="N2333">
        <v>1</v>
      </c>
      <c r="O2333">
        <v>1</v>
      </c>
      <c r="P2333" t="str">
        <f>"08"</f>
        <v>08</v>
      </c>
      <c r="Q2333" t="s">
        <v>835</v>
      </c>
      <c r="S2333" t="s">
        <v>836</v>
      </c>
      <c r="T2333" t="s">
        <v>836</v>
      </c>
      <c r="U2333" t="str">
        <f t="shared" si="630"/>
        <v>2500-12-31 00:00:00.0</v>
      </c>
      <c r="V2333" t="s">
        <v>837</v>
      </c>
      <c r="W2333" t="str">
        <f t="shared" si="636"/>
        <v>048314-070417-**-**</v>
      </c>
      <c r="X2333" t="s">
        <v>838</v>
      </c>
      <c r="Y2333">
        <v>1125</v>
      </c>
      <c r="Z2333">
        <v>1125</v>
      </c>
      <c r="AA2333" t="str">
        <f t="shared" si="633"/>
        <v>06/08/2016</v>
      </c>
    </row>
    <row r="2334" spans="1:27" x14ac:dyDescent="0.3">
      <c r="A2334" t="str">
        <f t="shared" si="635"/>
        <v>048314</v>
      </c>
      <c r="B2334" t="str">
        <f t="shared" si="626"/>
        <v>070417</v>
      </c>
      <c r="C2334" t="s">
        <v>2415</v>
      </c>
      <c r="D2334" t="s">
        <v>3839</v>
      </c>
      <c r="E2334" t="s">
        <v>3840</v>
      </c>
      <c r="F2334" t="s">
        <v>3841</v>
      </c>
      <c r="G2334" t="s">
        <v>3842</v>
      </c>
      <c r="H2334" t="str">
        <f t="shared" si="634"/>
        <v>048314</v>
      </c>
      <c r="I2334" t="s">
        <v>833</v>
      </c>
      <c r="J2334" t="str">
        <f t="shared" si="632"/>
        <v>2015-07-01 00:00:00.0</v>
      </c>
      <c r="K2334" t="s">
        <v>834</v>
      </c>
      <c r="L2334" t="s">
        <v>0</v>
      </c>
      <c r="M2334" t="str">
        <f t="shared" si="637"/>
        <v>048314</v>
      </c>
      <c r="N2334">
        <v>1</v>
      </c>
      <c r="O2334">
        <v>1</v>
      </c>
      <c r="P2334" t="str">
        <f>"07"</f>
        <v>07</v>
      </c>
      <c r="Q2334" t="str">
        <f>"10"</f>
        <v>10</v>
      </c>
      <c r="R2334" t="str">
        <f>"2"</f>
        <v>2</v>
      </c>
      <c r="S2334" t="s">
        <v>860</v>
      </c>
      <c r="T2334" t="s">
        <v>836</v>
      </c>
      <c r="U2334" t="str">
        <f t="shared" si="630"/>
        <v>2500-12-31 00:00:00.0</v>
      </c>
      <c r="V2334" t="s">
        <v>837</v>
      </c>
      <c r="W2334" t="str">
        <f t="shared" si="636"/>
        <v>048314-070417-**-**</v>
      </c>
      <c r="X2334" t="s">
        <v>838</v>
      </c>
      <c r="Y2334">
        <v>1125</v>
      </c>
      <c r="Z2334">
        <v>1125</v>
      </c>
      <c r="AA2334" t="str">
        <f t="shared" si="633"/>
        <v>06/08/2016</v>
      </c>
    </row>
    <row r="2335" spans="1:27" x14ac:dyDescent="0.3">
      <c r="A2335" t="str">
        <f t="shared" si="635"/>
        <v>048314</v>
      </c>
      <c r="B2335" t="str">
        <f t="shared" si="626"/>
        <v>070417</v>
      </c>
      <c r="C2335" t="s">
        <v>2347</v>
      </c>
      <c r="D2335" t="s">
        <v>3839</v>
      </c>
      <c r="E2335" t="s">
        <v>3840</v>
      </c>
      <c r="F2335" t="s">
        <v>3841</v>
      </c>
      <c r="G2335" t="s">
        <v>3842</v>
      </c>
      <c r="H2335" t="str">
        <f t="shared" si="634"/>
        <v>048314</v>
      </c>
      <c r="I2335" t="s">
        <v>833</v>
      </c>
      <c r="J2335" t="str">
        <f t="shared" si="632"/>
        <v>2015-07-01 00:00:00.0</v>
      </c>
      <c r="K2335" t="s">
        <v>834</v>
      </c>
      <c r="L2335" t="s">
        <v>0</v>
      </c>
      <c r="M2335" t="str">
        <f t="shared" si="637"/>
        <v>048314</v>
      </c>
      <c r="N2335">
        <v>1</v>
      </c>
      <c r="O2335">
        <v>1</v>
      </c>
      <c r="P2335" t="str">
        <f>"07"</f>
        <v>07</v>
      </c>
      <c r="Q2335" t="s">
        <v>835</v>
      </c>
      <c r="S2335" t="s">
        <v>860</v>
      </c>
      <c r="T2335" t="s">
        <v>836</v>
      </c>
      <c r="U2335" t="str">
        <f t="shared" si="630"/>
        <v>2500-12-31 00:00:00.0</v>
      </c>
      <c r="V2335" t="s">
        <v>837</v>
      </c>
      <c r="W2335" t="str">
        <f t="shared" si="636"/>
        <v>048314-070417-**-**</v>
      </c>
      <c r="X2335" t="s">
        <v>838</v>
      </c>
      <c r="Y2335">
        <v>1125</v>
      </c>
      <c r="Z2335">
        <v>1125</v>
      </c>
      <c r="AA2335" t="str">
        <f t="shared" si="633"/>
        <v>06/08/2016</v>
      </c>
    </row>
    <row r="2336" spans="1:27" x14ac:dyDescent="0.3">
      <c r="A2336" t="str">
        <f t="shared" si="635"/>
        <v>048314</v>
      </c>
      <c r="B2336" t="str">
        <f t="shared" si="626"/>
        <v>070417</v>
      </c>
      <c r="C2336" t="s">
        <v>2100</v>
      </c>
      <c r="D2336" t="s">
        <v>3839</v>
      </c>
      <c r="E2336" t="s">
        <v>3840</v>
      </c>
      <c r="F2336" t="s">
        <v>3841</v>
      </c>
      <c r="G2336" t="s">
        <v>3842</v>
      </c>
      <c r="H2336" t="str">
        <f t="shared" si="634"/>
        <v>048314</v>
      </c>
      <c r="I2336" t="s">
        <v>833</v>
      </c>
      <c r="J2336" t="str">
        <f t="shared" si="632"/>
        <v>2015-07-01 00:00:00.0</v>
      </c>
      <c r="K2336" t="s">
        <v>834</v>
      </c>
      <c r="L2336" t="s">
        <v>0</v>
      </c>
      <c r="M2336" t="str">
        <f t="shared" si="637"/>
        <v>048314</v>
      </c>
      <c r="N2336">
        <v>1</v>
      </c>
      <c r="O2336">
        <v>1</v>
      </c>
      <c r="P2336" t="str">
        <f>"08"</f>
        <v>08</v>
      </c>
      <c r="Q2336" t="s">
        <v>835</v>
      </c>
      <c r="S2336" t="s">
        <v>836</v>
      </c>
      <c r="T2336" t="s">
        <v>836</v>
      </c>
      <c r="U2336" t="str">
        <f t="shared" si="630"/>
        <v>2500-12-31 00:00:00.0</v>
      </c>
      <c r="V2336" t="s">
        <v>837</v>
      </c>
      <c r="W2336" t="str">
        <f t="shared" si="636"/>
        <v>048314-070417-**-**</v>
      </c>
      <c r="X2336" t="s">
        <v>838</v>
      </c>
      <c r="Y2336">
        <v>1125</v>
      </c>
      <c r="Z2336">
        <v>1125</v>
      </c>
      <c r="AA2336" t="str">
        <f t="shared" si="633"/>
        <v>06/08/2016</v>
      </c>
    </row>
    <row r="2337" spans="1:27" x14ac:dyDescent="0.3">
      <c r="A2337" t="str">
        <f t="shared" si="635"/>
        <v>048314</v>
      </c>
      <c r="B2337" t="str">
        <f t="shared" si="626"/>
        <v>070417</v>
      </c>
      <c r="C2337" t="s">
        <v>2205</v>
      </c>
      <c r="D2337" t="s">
        <v>3839</v>
      </c>
      <c r="E2337" t="s">
        <v>3840</v>
      </c>
      <c r="F2337" t="s">
        <v>3841</v>
      </c>
      <c r="G2337" t="s">
        <v>3842</v>
      </c>
      <c r="H2337" t="str">
        <f t="shared" si="634"/>
        <v>048314</v>
      </c>
      <c r="I2337" t="s">
        <v>833</v>
      </c>
      <c r="J2337" t="str">
        <f t="shared" si="632"/>
        <v>2015-07-01 00:00:00.0</v>
      </c>
      <c r="K2337" t="s">
        <v>834</v>
      </c>
      <c r="L2337" t="s">
        <v>0</v>
      </c>
      <c r="M2337" t="str">
        <f t="shared" si="637"/>
        <v>048314</v>
      </c>
      <c r="N2337">
        <v>1</v>
      </c>
      <c r="O2337">
        <v>1</v>
      </c>
      <c r="P2337" t="str">
        <f>"09"</f>
        <v>09</v>
      </c>
      <c r="Q2337" t="s">
        <v>835</v>
      </c>
      <c r="S2337" t="s">
        <v>836</v>
      </c>
      <c r="T2337" t="s">
        <v>836</v>
      </c>
      <c r="U2337" t="str">
        <f t="shared" si="630"/>
        <v>2500-12-31 00:00:00.0</v>
      </c>
      <c r="V2337" t="s">
        <v>837</v>
      </c>
      <c r="W2337" t="str">
        <f>"048314-004796-**-**"</f>
        <v>048314-004796-**-**</v>
      </c>
      <c r="X2337" t="s">
        <v>838</v>
      </c>
      <c r="Y2337">
        <v>1254.5</v>
      </c>
      <c r="Z2337">
        <v>1254.5</v>
      </c>
      <c r="AA2337" t="str">
        <f t="shared" si="633"/>
        <v>06/08/2016</v>
      </c>
    </row>
    <row r="2338" spans="1:27" x14ac:dyDescent="0.3">
      <c r="A2338" t="str">
        <f t="shared" si="635"/>
        <v>048314</v>
      </c>
      <c r="B2338" t="str">
        <f t="shared" si="626"/>
        <v>070417</v>
      </c>
      <c r="C2338" t="s">
        <v>2206</v>
      </c>
      <c r="D2338" t="s">
        <v>3839</v>
      </c>
      <c r="E2338" t="s">
        <v>3840</v>
      </c>
      <c r="F2338" t="s">
        <v>3841</v>
      </c>
      <c r="G2338" t="s">
        <v>3842</v>
      </c>
      <c r="H2338" t="str">
        <f t="shared" si="634"/>
        <v>048314</v>
      </c>
      <c r="I2338" t="s">
        <v>833</v>
      </c>
      <c r="J2338" t="str">
        <f t="shared" si="632"/>
        <v>2015-07-01 00:00:00.0</v>
      </c>
      <c r="K2338" t="s">
        <v>834</v>
      </c>
      <c r="L2338" t="s">
        <v>0</v>
      </c>
      <c r="M2338" t="str">
        <f t="shared" si="637"/>
        <v>048314</v>
      </c>
      <c r="N2338">
        <v>1</v>
      </c>
      <c r="O2338">
        <v>1</v>
      </c>
      <c r="P2338" t="str">
        <f>"09"</f>
        <v>09</v>
      </c>
      <c r="Q2338" t="s">
        <v>835</v>
      </c>
      <c r="S2338" t="s">
        <v>836</v>
      </c>
      <c r="T2338" t="s">
        <v>836</v>
      </c>
      <c r="U2338" t="str">
        <f t="shared" si="630"/>
        <v>2500-12-31 00:00:00.0</v>
      </c>
      <c r="V2338" t="s">
        <v>837</v>
      </c>
      <c r="W2338" t="str">
        <f>"048314-004796-**-**"</f>
        <v>048314-004796-**-**</v>
      </c>
      <c r="X2338" t="s">
        <v>838</v>
      </c>
      <c r="Y2338">
        <v>1254.5</v>
      </c>
      <c r="Z2338">
        <v>1254.5</v>
      </c>
      <c r="AA2338" t="str">
        <f t="shared" si="633"/>
        <v>06/08/2016</v>
      </c>
    </row>
    <row r="2339" spans="1:27" x14ac:dyDescent="0.3">
      <c r="A2339" t="str">
        <f t="shared" si="635"/>
        <v>048314</v>
      </c>
      <c r="B2339" t="str">
        <f t="shared" si="626"/>
        <v>070417</v>
      </c>
      <c r="C2339" t="s">
        <v>2416</v>
      </c>
      <c r="D2339" t="s">
        <v>3839</v>
      </c>
      <c r="E2339" t="s">
        <v>3840</v>
      </c>
      <c r="F2339" t="s">
        <v>3841</v>
      </c>
      <c r="G2339" t="s">
        <v>3842</v>
      </c>
      <c r="H2339" t="str">
        <f t="shared" si="634"/>
        <v>048314</v>
      </c>
      <c r="I2339" t="s">
        <v>833</v>
      </c>
      <c r="J2339" t="str">
        <f t="shared" si="632"/>
        <v>2015-07-01 00:00:00.0</v>
      </c>
      <c r="K2339" t="s">
        <v>834</v>
      </c>
      <c r="L2339" t="s">
        <v>0</v>
      </c>
      <c r="M2339" t="str">
        <f t="shared" si="637"/>
        <v>048314</v>
      </c>
      <c r="N2339">
        <v>1</v>
      </c>
      <c r="O2339">
        <v>1</v>
      </c>
      <c r="P2339" t="str">
        <f>"08"</f>
        <v>08</v>
      </c>
      <c r="Q2339" t="s">
        <v>835</v>
      </c>
      <c r="S2339" t="s">
        <v>836</v>
      </c>
      <c r="T2339" t="s">
        <v>836</v>
      </c>
      <c r="U2339" t="str">
        <f t="shared" si="630"/>
        <v>2500-12-31 00:00:00.0</v>
      </c>
      <c r="V2339" t="s">
        <v>837</v>
      </c>
      <c r="W2339" t="str">
        <f>"048314-070417-**-**"</f>
        <v>048314-070417-**-**</v>
      </c>
      <c r="X2339" t="s">
        <v>838</v>
      </c>
      <c r="Y2339">
        <v>1125</v>
      </c>
      <c r="Z2339">
        <v>1125</v>
      </c>
      <c r="AA2339" t="str">
        <f t="shared" si="633"/>
        <v>06/08/2016</v>
      </c>
    </row>
    <row r="2340" spans="1:27" x14ac:dyDescent="0.3">
      <c r="A2340" t="str">
        <f t="shared" si="635"/>
        <v>048314</v>
      </c>
      <c r="B2340" t="str">
        <f t="shared" ref="B2340:B2403" si="638">"070417"</f>
        <v>070417</v>
      </c>
      <c r="C2340" t="s">
        <v>2101</v>
      </c>
      <c r="D2340" t="s">
        <v>3839</v>
      </c>
      <c r="E2340" t="s">
        <v>3840</v>
      </c>
      <c r="F2340" t="s">
        <v>3841</v>
      </c>
      <c r="G2340" t="s">
        <v>3842</v>
      </c>
      <c r="H2340" t="str">
        <f t="shared" si="634"/>
        <v>048314</v>
      </c>
      <c r="I2340" t="s">
        <v>833</v>
      </c>
      <c r="J2340" t="str">
        <f t="shared" si="632"/>
        <v>2015-07-01 00:00:00.0</v>
      </c>
      <c r="K2340" t="s">
        <v>834</v>
      </c>
      <c r="L2340" t="s">
        <v>0</v>
      </c>
      <c r="M2340" t="str">
        <f t="shared" si="637"/>
        <v>048314</v>
      </c>
      <c r="N2340">
        <v>1</v>
      </c>
      <c r="O2340">
        <v>1</v>
      </c>
      <c r="P2340" t="str">
        <f>"08"</f>
        <v>08</v>
      </c>
      <c r="Q2340" t="s">
        <v>835</v>
      </c>
      <c r="S2340" t="s">
        <v>836</v>
      </c>
      <c r="T2340" t="s">
        <v>836</v>
      </c>
      <c r="U2340" t="str">
        <f t="shared" si="630"/>
        <v>2500-12-31 00:00:00.0</v>
      </c>
      <c r="V2340" t="s">
        <v>837</v>
      </c>
      <c r="W2340" t="str">
        <f>"048314-070417-**-**"</f>
        <v>048314-070417-**-**</v>
      </c>
      <c r="X2340" t="s">
        <v>838</v>
      </c>
      <c r="Y2340">
        <v>1125</v>
      </c>
      <c r="Z2340">
        <v>1125</v>
      </c>
      <c r="AA2340" t="str">
        <f t="shared" si="633"/>
        <v>06/08/2016</v>
      </c>
    </row>
    <row r="2341" spans="1:27" x14ac:dyDescent="0.3">
      <c r="A2341" t="str">
        <f t="shared" si="635"/>
        <v>048314</v>
      </c>
      <c r="B2341" t="str">
        <f t="shared" si="638"/>
        <v>070417</v>
      </c>
      <c r="C2341" t="s">
        <v>2207</v>
      </c>
      <c r="D2341" t="s">
        <v>3839</v>
      </c>
      <c r="E2341" t="s">
        <v>3840</v>
      </c>
      <c r="F2341" t="s">
        <v>3841</v>
      </c>
      <c r="G2341" t="s">
        <v>3842</v>
      </c>
      <c r="H2341" t="str">
        <f t="shared" si="634"/>
        <v>048314</v>
      </c>
      <c r="I2341" t="s">
        <v>833</v>
      </c>
      <c r="J2341" t="str">
        <f t="shared" si="632"/>
        <v>2015-07-01 00:00:00.0</v>
      </c>
      <c r="K2341" t="s">
        <v>834</v>
      </c>
      <c r="L2341" t="s">
        <v>0</v>
      </c>
      <c r="M2341" t="str">
        <f t="shared" si="637"/>
        <v>048314</v>
      </c>
      <c r="N2341">
        <v>1</v>
      </c>
      <c r="O2341">
        <v>1</v>
      </c>
      <c r="P2341" t="str">
        <f>"09"</f>
        <v>09</v>
      </c>
      <c r="Q2341" t="s">
        <v>835</v>
      </c>
      <c r="S2341" t="s">
        <v>836</v>
      </c>
      <c r="T2341" t="s">
        <v>836</v>
      </c>
      <c r="U2341" t="str">
        <f t="shared" si="630"/>
        <v>2500-12-31 00:00:00.0</v>
      </c>
      <c r="V2341" t="s">
        <v>837</v>
      </c>
      <c r="W2341" t="str">
        <f>"048314-004796-**-**"</f>
        <v>048314-004796-**-**</v>
      </c>
      <c r="X2341" t="s">
        <v>838</v>
      </c>
      <c r="Y2341">
        <v>1254.5</v>
      </c>
      <c r="Z2341">
        <v>1254.5</v>
      </c>
      <c r="AA2341" t="str">
        <f t="shared" si="633"/>
        <v>06/08/2016</v>
      </c>
    </row>
    <row r="2342" spans="1:27" x14ac:dyDescent="0.3">
      <c r="A2342" t="str">
        <f t="shared" si="635"/>
        <v>048314</v>
      </c>
      <c r="B2342" t="str">
        <f t="shared" si="638"/>
        <v>070417</v>
      </c>
      <c r="C2342" t="s">
        <v>2208</v>
      </c>
      <c r="D2342" t="s">
        <v>3839</v>
      </c>
      <c r="E2342" t="s">
        <v>3840</v>
      </c>
      <c r="F2342" t="s">
        <v>3841</v>
      </c>
      <c r="G2342" t="s">
        <v>3842</v>
      </c>
      <c r="H2342" t="str">
        <f t="shared" si="634"/>
        <v>048314</v>
      </c>
      <c r="I2342" t="s">
        <v>833</v>
      </c>
      <c r="J2342" t="str">
        <f t="shared" si="632"/>
        <v>2015-07-01 00:00:00.0</v>
      </c>
      <c r="K2342" t="s">
        <v>834</v>
      </c>
      <c r="L2342" t="s">
        <v>0</v>
      </c>
      <c r="M2342" t="str">
        <f t="shared" si="637"/>
        <v>048314</v>
      </c>
      <c r="N2342">
        <v>1</v>
      </c>
      <c r="O2342">
        <v>1</v>
      </c>
      <c r="P2342" t="str">
        <f>"09"</f>
        <v>09</v>
      </c>
      <c r="Q2342" t="s">
        <v>835</v>
      </c>
      <c r="S2342" t="s">
        <v>836</v>
      </c>
      <c r="T2342" t="s">
        <v>836</v>
      </c>
      <c r="U2342" t="str">
        <f t="shared" ref="U2342:U2357" si="639">"2500-12-31 00:00:00.0"</f>
        <v>2500-12-31 00:00:00.0</v>
      </c>
      <c r="V2342" t="s">
        <v>837</v>
      </c>
      <c r="W2342" t="str">
        <f>"048314-004796-**-**"</f>
        <v>048314-004796-**-**</v>
      </c>
      <c r="X2342" t="s">
        <v>838</v>
      </c>
      <c r="Y2342">
        <v>1254.5</v>
      </c>
      <c r="Z2342">
        <v>1254.5</v>
      </c>
      <c r="AA2342" t="str">
        <f t="shared" si="633"/>
        <v>06/08/2016</v>
      </c>
    </row>
    <row r="2343" spans="1:27" x14ac:dyDescent="0.3">
      <c r="A2343" t="str">
        <f t="shared" si="635"/>
        <v>048314</v>
      </c>
      <c r="B2343" t="str">
        <f t="shared" si="638"/>
        <v>070417</v>
      </c>
      <c r="C2343" t="s">
        <v>1928</v>
      </c>
      <c r="D2343" t="s">
        <v>3839</v>
      </c>
      <c r="E2343" t="s">
        <v>3840</v>
      </c>
      <c r="F2343" t="s">
        <v>3841</v>
      </c>
      <c r="G2343" t="s">
        <v>3842</v>
      </c>
      <c r="H2343" t="str">
        <f t="shared" si="634"/>
        <v>048314</v>
      </c>
      <c r="I2343" t="s">
        <v>833</v>
      </c>
      <c r="J2343" t="str">
        <f t="shared" si="632"/>
        <v>2015-07-01 00:00:00.0</v>
      </c>
      <c r="K2343" t="s">
        <v>834</v>
      </c>
      <c r="L2343" t="s">
        <v>0</v>
      </c>
      <c r="M2343" t="str">
        <f t="shared" si="637"/>
        <v>048314</v>
      </c>
      <c r="N2343">
        <v>1</v>
      </c>
      <c r="O2343">
        <v>1</v>
      </c>
      <c r="P2343" t="str">
        <f>"09"</f>
        <v>09</v>
      </c>
      <c r="Q2343" t="s">
        <v>835</v>
      </c>
      <c r="S2343" t="s">
        <v>836</v>
      </c>
      <c r="T2343" t="s">
        <v>836</v>
      </c>
      <c r="U2343" t="str">
        <f t="shared" si="639"/>
        <v>2500-12-31 00:00:00.0</v>
      </c>
      <c r="V2343" t="s">
        <v>837</v>
      </c>
      <c r="W2343" t="str">
        <f>"048314-004796-**-**"</f>
        <v>048314-004796-**-**</v>
      </c>
      <c r="X2343" t="s">
        <v>838</v>
      </c>
      <c r="Y2343">
        <v>1254.5</v>
      </c>
      <c r="Z2343">
        <v>1254.5</v>
      </c>
      <c r="AA2343" t="str">
        <f t="shared" si="633"/>
        <v>06/08/2016</v>
      </c>
    </row>
    <row r="2344" spans="1:27" x14ac:dyDescent="0.3">
      <c r="A2344" t="str">
        <f t="shared" si="635"/>
        <v>048314</v>
      </c>
      <c r="B2344" t="str">
        <f t="shared" si="638"/>
        <v>070417</v>
      </c>
      <c r="C2344" t="s">
        <v>857</v>
      </c>
      <c r="D2344" t="s">
        <v>3839</v>
      </c>
      <c r="E2344" t="s">
        <v>3840</v>
      </c>
      <c r="F2344" t="s">
        <v>3841</v>
      </c>
      <c r="G2344" t="s">
        <v>3842</v>
      </c>
      <c r="H2344" t="str">
        <f t="shared" si="634"/>
        <v>048314</v>
      </c>
      <c r="I2344" t="s">
        <v>833</v>
      </c>
      <c r="J2344" t="str">
        <f t="shared" si="632"/>
        <v>2015-07-01 00:00:00.0</v>
      </c>
      <c r="K2344" t="s">
        <v>834</v>
      </c>
      <c r="L2344" t="s">
        <v>0</v>
      </c>
      <c r="M2344" t="str">
        <f t="shared" si="637"/>
        <v>048314</v>
      </c>
      <c r="N2344">
        <v>1</v>
      </c>
      <c r="O2344">
        <v>1</v>
      </c>
      <c r="P2344" t="str">
        <f>"09"</f>
        <v>09</v>
      </c>
      <c r="Q2344" t="s">
        <v>835</v>
      </c>
      <c r="S2344" t="s">
        <v>836</v>
      </c>
      <c r="T2344" t="s">
        <v>836</v>
      </c>
      <c r="U2344" t="str">
        <f t="shared" si="639"/>
        <v>2500-12-31 00:00:00.0</v>
      </c>
      <c r="V2344" t="s">
        <v>837</v>
      </c>
      <c r="W2344" t="str">
        <f>"048314-004796-**-**"</f>
        <v>048314-004796-**-**</v>
      </c>
      <c r="X2344" t="s">
        <v>838</v>
      </c>
      <c r="Y2344">
        <v>1254.5</v>
      </c>
      <c r="Z2344">
        <v>1254.5</v>
      </c>
      <c r="AA2344" t="str">
        <f t="shared" si="633"/>
        <v>06/08/2016</v>
      </c>
    </row>
    <row r="2345" spans="1:27" x14ac:dyDescent="0.3">
      <c r="A2345" t="str">
        <f t="shared" si="635"/>
        <v>048314</v>
      </c>
      <c r="B2345" t="str">
        <f t="shared" si="638"/>
        <v>070417</v>
      </c>
      <c r="C2345" t="s">
        <v>1723</v>
      </c>
      <c r="D2345" t="s">
        <v>3839</v>
      </c>
      <c r="E2345" t="s">
        <v>3840</v>
      </c>
      <c r="F2345" t="s">
        <v>3841</v>
      </c>
      <c r="G2345" t="s">
        <v>3842</v>
      </c>
      <c r="H2345" t="str">
        <f t="shared" si="634"/>
        <v>048314</v>
      </c>
      <c r="I2345" t="s">
        <v>833</v>
      </c>
      <c r="J2345" t="str">
        <f t="shared" si="632"/>
        <v>2015-07-01 00:00:00.0</v>
      </c>
      <c r="K2345" t="s">
        <v>834</v>
      </c>
      <c r="L2345" t="s">
        <v>0</v>
      </c>
      <c r="M2345" t="str">
        <f t="shared" si="637"/>
        <v>048314</v>
      </c>
      <c r="N2345">
        <v>1</v>
      </c>
      <c r="O2345">
        <v>1</v>
      </c>
      <c r="P2345" t="str">
        <f>"07"</f>
        <v>07</v>
      </c>
      <c r="Q2345" t="s">
        <v>835</v>
      </c>
      <c r="S2345" t="s">
        <v>836</v>
      </c>
      <c r="T2345" t="s">
        <v>836</v>
      </c>
      <c r="U2345" t="str">
        <f t="shared" si="639"/>
        <v>2500-12-31 00:00:00.0</v>
      </c>
      <c r="V2345" t="s">
        <v>837</v>
      </c>
      <c r="W2345" t="str">
        <f>"048314-070417-**-**"</f>
        <v>048314-070417-**-**</v>
      </c>
      <c r="X2345" t="s">
        <v>838</v>
      </c>
      <c r="Y2345">
        <v>1125</v>
      </c>
      <c r="Z2345">
        <v>1125</v>
      </c>
      <c r="AA2345" t="str">
        <f t="shared" si="633"/>
        <v>06/08/2016</v>
      </c>
    </row>
    <row r="2346" spans="1:27" x14ac:dyDescent="0.3">
      <c r="A2346" t="str">
        <f t="shared" si="635"/>
        <v>048314</v>
      </c>
      <c r="B2346" t="str">
        <f t="shared" si="638"/>
        <v>070417</v>
      </c>
      <c r="C2346" t="s">
        <v>2848</v>
      </c>
      <c r="D2346" t="s">
        <v>3839</v>
      </c>
      <c r="E2346" t="s">
        <v>3840</v>
      </c>
      <c r="F2346" t="s">
        <v>3841</v>
      </c>
      <c r="G2346" t="s">
        <v>3842</v>
      </c>
      <c r="H2346" t="str">
        <f t="shared" si="634"/>
        <v>048314</v>
      </c>
      <c r="I2346" t="s">
        <v>833</v>
      </c>
      <c r="J2346" t="str">
        <f t="shared" si="632"/>
        <v>2015-07-01 00:00:00.0</v>
      </c>
      <c r="K2346" t="s">
        <v>834</v>
      </c>
      <c r="L2346" t="s">
        <v>0</v>
      </c>
      <c r="M2346" t="str">
        <f t="shared" si="637"/>
        <v>048314</v>
      </c>
      <c r="N2346">
        <v>1</v>
      </c>
      <c r="O2346">
        <v>1</v>
      </c>
      <c r="P2346" t="str">
        <f>"06"</f>
        <v>06</v>
      </c>
      <c r="Q2346" t="s">
        <v>835</v>
      </c>
      <c r="S2346" t="s">
        <v>836</v>
      </c>
      <c r="T2346" t="s">
        <v>836</v>
      </c>
      <c r="U2346" t="str">
        <f t="shared" si="639"/>
        <v>2500-12-31 00:00:00.0</v>
      </c>
      <c r="V2346" t="s">
        <v>837</v>
      </c>
      <c r="W2346" t="str">
        <f>"048314-070417-**-**"</f>
        <v>048314-070417-**-**</v>
      </c>
      <c r="X2346" t="s">
        <v>838</v>
      </c>
      <c r="Y2346">
        <v>1125</v>
      </c>
      <c r="Z2346">
        <v>1125</v>
      </c>
      <c r="AA2346" t="str">
        <f t="shared" si="633"/>
        <v>06/08/2016</v>
      </c>
    </row>
    <row r="2347" spans="1:27" x14ac:dyDescent="0.3">
      <c r="A2347" t="str">
        <f t="shared" si="635"/>
        <v>048314</v>
      </c>
      <c r="B2347" t="str">
        <f t="shared" si="638"/>
        <v>070417</v>
      </c>
      <c r="C2347" t="s">
        <v>2640</v>
      </c>
      <c r="D2347" t="s">
        <v>3839</v>
      </c>
      <c r="E2347" t="s">
        <v>3840</v>
      </c>
      <c r="F2347" t="s">
        <v>3841</v>
      </c>
      <c r="G2347" t="s">
        <v>3842</v>
      </c>
      <c r="H2347" t="str">
        <f t="shared" si="634"/>
        <v>048314</v>
      </c>
      <c r="I2347" t="s">
        <v>833</v>
      </c>
      <c r="J2347" t="str">
        <f t="shared" ref="J2347:J2358" si="640">"2015-07-01 00:00:00.0"</f>
        <v>2015-07-01 00:00:00.0</v>
      </c>
      <c r="K2347" t="s">
        <v>834</v>
      </c>
      <c r="L2347" t="s">
        <v>0</v>
      </c>
      <c r="M2347" t="str">
        <f t="shared" si="637"/>
        <v>048314</v>
      </c>
      <c r="N2347">
        <v>1</v>
      </c>
      <c r="O2347">
        <v>1</v>
      </c>
      <c r="P2347" t="str">
        <f>"06"</f>
        <v>06</v>
      </c>
      <c r="Q2347" t="s">
        <v>835</v>
      </c>
      <c r="S2347" t="s">
        <v>836</v>
      </c>
      <c r="T2347" t="s">
        <v>836</v>
      </c>
      <c r="U2347" t="str">
        <f t="shared" si="639"/>
        <v>2500-12-31 00:00:00.0</v>
      </c>
      <c r="V2347" t="s">
        <v>837</v>
      </c>
      <c r="W2347" t="str">
        <f>"048314-070417-**-**"</f>
        <v>048314-070417-**-**</v>
      </c>
      <c r="X2347" t="s">
        <v>838</v>
      </c>
      <c r="Y2347">
        <v>1125</v>
      </c>
      <c r="Z2347">
        <v>1125</v>
      </c>
      <c r="AA2347" t="str">
        <f t="shared" si="633"/>
        <v>06/08/2016</v>
      </c>
    </row>
    <row r="2348" spans="1:27" x14ac:dyDescent="0.3">
      <c r="A2348" t="str">
        <f t="shared" si="635"/>
        <v>048314</v>
      </c>
      <c r="B2348" t="str">
        <f t="shared" si="638"/>
        <v>070417</v>
      </c>
      <c r="C2348" t="s">
        <v>2102</v>
      </c>
      <c r="D2348" t="s">
        <v>3839</v>
      </c>
      <c r="E2348" t="s">
        <v>3840</v>
      </c>
      <c r="F2348" t="s">
        <v>3841</v>
      </c>
      <c r="G2348" t="s">
        <v>3842</v>
      </c>
      <c r="H2348" t="str">
        <f t="shared" si="634"/>
        <v>048314</v>
      </c>
      <c r="I2348" t="s">
        <v>833</v>
      </c>
      <c r="J2348" t="str">
        <f t="shared" si="640"/>
        <v>2015-07-01 00:00:00.0</v>
      </c>
      <c r="K2348" t="s">
        <v>834</v>
      </c>
      <c r="L2348" t="s">
        <v>0</v>
      </c>
      <c r="M2348" t="str">
        <f t="shared" si="637"/>
        <v>048314</v>
      </c>
      <c r="N2348">
        <v>1</v>
      </c>
      <c r="O2348">
        <v>1</v>
      </c>
      <c r="P2348" t="str">
        <f>"08"</f>
        <v>08</v>
      </c>
      <c r="Q2348" t="s">
        <v>835</v>
      </c>
      <c r="S2348" t="s">
        <v>836</v>
      </c>
      <c r="T2348" t="s">
        <v>836</v>
      </c>
      <c r="U2348" t="str">
        <f t="shared" si="639"/>
        <v>2500-12-31 00:00:00.0</v>
      </c>
      <c r="V2348" t="s">
        <v>837</v>
      </c>
      <c r="W2348" t="str">
        <f>"048314-070417-**-**"</f>
        <v>048314-070417-**-**</v>
      </c>
      <c r="X2348" t="s">
        <v>838</v>
      </c>
      <c r="Y2348">
        <v>1125</v>
      </c>
      <c r="Z2348">
        <v>1125</v>
      </c>
      <c r="AA2348" t="str">
        <f t="shared" si="633"/>
        <v>06/08/2016</v>
      </c>
    </row>
    <row r="2349" spans="1:27" x14ac:dyDescent="0.3">
      <c r="A2349" t="str">
        <f t="shared" si="635"/>
        <v>048314</v>
      </c>
      <c r="B2349" t="str">
        <f t="shared" si="638"/>
        <v>070417</v>
      </c>
      <c r="C2349" t="s">
        <v>2348</v>
      </c>
      <c r="D2349" t="s">
        <v>3839</v>
      </c>
      <c r="E2349" t="s">
        <v>3840</v>
      </c>
      <c r="F2349" t="s">
        <v>3841</v>
      </c>
      <c r="G2349" t="s">
        <v>3842</v>
      </c>
      <c r="H2349" t="str">
        <f t="shared" si="634"/>
        <v>048314</v>
      </c>
      <c r="I2349" t="s">
        <v>833</v>
      </c>
      <c r="J2349" t="str">
        <f t="shared" si="640"/>
        <v>2015-07-01 00:00:00.0</v>
      </c>
      <c r="K2349" t="s">
        <v>834</v>
      </c>
      <c r="L2349" t="s">
        <v>0</v>
      </c>
      <c r="M2349" t="str">
        <f t="shared" si="637"/>
        <v>048314</v>
      </c>
      <c r="N2349">
        <v>1</v>
      </c>
      <c r="O2349">
        <v>1</v>
      </c>
      <c r="P2349" t="str">
        <f>"07"</f>
        <v>07</v>
      </c>
      <c r="Q2349" t="s">
        <v>835</v>
      </c>
      <c r="S2349" t="s">
        <v>836</v>
      </c>
      <c r="T2349" t="s">
        <v>836</v>
      </c>
      <c r="U2349" t="str">
        <f t="shared" si="639"/>
        <v>2500-12-31 00:00:00.0</v>
      </c>
      <c r="V2349" t="s">
        <v>837</v>
      </c>
      <c r="W2349" t="str">
        <f>"048314-070417-**-**"</f>
        <v>048314-070417-**-**</v>
      </c>
      <c r="X2349" t="s">
        <v>838</v>
      </c>
      <c r="Y2349">
        <v>1125</v>
      </c>
      <c r="Z2349">
        <v>1125</v>
      </c>
      <c r="AA2349" t="str">
        <f t="shared" si="633"/>
        <v>06/08/2016</v>
      </c>
    </row>
    <row r="2350" spans="1:27" x14ac:dyDescent="0.3">
      <c r="A2350" t="str">
        <f t="shared" si="635"/>
        <v>048314</v>
      </c>
      <c r="B2350" t="str">
        <f t="shared" si="638"/>
        <v>070417</v>
      </c>
      <c r="C2350" t="s">
        <v>1866</v>
      </c>
      <c r="D2350" t="s">
        <v>3839</v>
      </c>
      <c r="E2350" t="s">
        <v>3840</v>
      </c>
      <c r="F2350" t="s">
        <v>3841</v>
      </c>
      <c r="G2350" t="s">
        <v>3842</v>
      </c>
      <c r="H2350" t="str">
        <f t="shared" si="634"/>
        <v>048314</v>
      </c>
      <c r="I2350" t="s">
        <v>833</v>
      </c>
      <c r="J2350" t="str">
        <f t="shared" si="640"/>
        <v>2015-07-01 00:00:00.0</v>
      </c>
      <c r="K2350" t="s">
        <v>834</v>
      </c>
      <c r="L2350" t="s">
        <v>0</v>
      </c>
      <c r="M2350" t="str">
        <f t="shared" si="637"/>
        <v>048314</v>
      </c>
      <c r="N2350">
        <v>1</v>
      </c>
      <c r="O2350">
        <v>1</v>
      </c>
      <c r="P2350" t="str">
        <f>"09"</f>
        <v>09</v>
      </c>
      <c r="Q2350" t="s">
        <v>835</v>
      </c>
      <c r="S2350" t="s">
        <v>836</v>
      </c>
      <c r="T2350" t="s">
        <v>836</v>
      </c>
      <c r="U2350" t="str">
        <f t="shared" si="639"/>
        <v>2500-12-31 00:00:00.0</v>
      </c>
      <c r="V2350" t="s">
        <v>837</v>
      </c>
      <c r="W2350" t="str">
        <f>"048314-004796-**-**"</f>
        <v>048314-004796-**-**</v>
      </c>
      <c r="X2350" t="s">
        <v>838</v>
      </c>
      <c r="Y2350">
        <v>1254.5</v>
      </c>
      <c r="Z2350">
        <v>1254.5</v>
      </c>
      <c r="AA2350" t="str">
        <f t="shared" si="633"/>
        <v>06/08/2016</v>
      </c>
    </row>
    <row r="2351" spans="1:27" x14ac:dyDescent="0.3">
      <c r="A2351" t="str">
        <f t="shared" si="635"/>
        <v>048314</v>
      </c>
      <c r="B2351" t="str">
        <f t="shared" si="638"/>
        <v>070417</v>
      </c>
      <c r="C2351" t="s">
        <v>2417</v>
      </c>
      <c r="D2351" t="s">
        <v>3839</v>
      </c>
      <c r="E2351" t="s">
        <v>3840</v>
      </c>
      <c r="F2351" t="s">
        <v>3841</v>
      </c>
      <c r="G2351" t="s">
        <v>3842</v>
      </c>
      <c r="H2351" t="str">
        <f t="shared" si="634"/>
        <v>048314</v>
      </c>
      <c r="I2351" t="s">
        <v>833</v>
      </c>
      <c r="J2351" t="str">
        <f t="shared" si="640"/>
        <v>2015-07-01 00:00:00.0</v>
      </c>
      <c r="K2351" t="s">
        <v>834</v>
      </c>
      <c r="L2351" t="s">
        <v>0</v>
      </c>
      <c r="M2351" t="str">
        <f t="shared" si="637"/>
        <v>048314</v>
      </c>
      <c r="N2351">
        <v>1</v>
      </c>
      <c r="O2351">
        <v>1</v>
      </c>
      <c r="P2351" t="str">
        <f>"07"</f>
        <v>07</v>
      </c>
      <c r="Q2351" t="s">
        <v>835</v>
      </c>
      <c r="S2351" t="s">
        <v>836</v>
      </c>
      <c r="T2351" t="s">
        <v>836</v>
      </c>
      <c r="U2351" t="str">
        <f t="shared" si="639"/>
        <v>2500-12-31 00:00:00.0</v>
      </c>
      <c r="V2351" t="s">
        <v>837</v>
      </c>
      <c r="W2351" t="str">
        <f>"048314-070417-**-**"</f>
        <v>048314-070417-**-**</v>
      </c>
      <c r="X2351" t="s">
        <v>838</v>
      </c>
      <c r="Y2351">
        <v>1125</v>
      </c>
      <c r="Z2351">
        <v>1125</v>
      </c>
      <c r="AA2351" t="str">
        <f t="shared" si="633"/>
        <v>06/08/2016</v>
      </c>
    </row>
    <row r="2352" spans="1:27" x14ac:dyDescent="0.3">
      <c r="A2352" t="str">
        <f t="shared" si="635"/>
        <v>048314</v>
      </c>
      <c r="B2352" t="str">
        <f t="shared" si="638"/>
        <v>070417</v>
      </c>
      <c r="C2352" t="s">
        <v>2418</v>
      </c>
      <c r="D2352" t="s">
        <v>3839</v>
      </c>
      <c r="E2352" t="s">
        <v>3840</v>
      </c>
      <c r="F2352" t="s">
        <v>3841</v>
      </c>
      <c r="G2352" t="s">
        <v>3842</v>
      </c>
      <c r="H2352" t="str">
        <f t="shared" si="634"/>
        <v>048314</v>
      </c>
      <c r="I2352" t="s">
        <v>833</v>
      </c>
      <c r="J2352" t="str">
        <f t="shared" si="640"/>
        <v>2015-07-01 00:00:00.0</v>
      </c>
      <c r="K2352" t="s">
        <v>834</v>
      </c>
      <c r="L2352" t="s">
        <v>0</v>
      </c>
      <c r="M2352" t="str">
        <f t="shared" si="637"/>
        <v>048314</v>
      </c>
      <c r="N2352">
        <v>1</v>
      </c>
      <c r="O2352">
        <v>1</v>
      </c>
      <c r="P2352" t="str">
        <f>"07"</f>
        <v>07</v>
      </c>
      <c r="Q2352" t="s">
        <v>835</v>
      </c>
      <c r="S2352" t="s">
        <v>836</v>
      </c>
      <c r="T2352" t="s">
        <v>836</v>
      </c>
      <c r="U2352" t="str">
        <f t="shared" si="639"/>
        <v>2500-12-31 00:00:00.0</v>
      </c>
      <c r="V2352" t="s">
        <v>837</v>
      </c>
      <c r="W2352" t="str">
        <f>"048314-070417-**-**"</f>
        <v>048314-070417-**-**</v>
      </c>
      <c r="X2352" t="s">
        <v>838</v>
      </c>
      <c r="Y2352">
        <v>1125</v>
      </c>
      <c r="Z2352">
        <v>1125</v>
      </c>
      <c r="AA2352" t="str">
        <f t="shared" si="633"/>
        <v>06/08/2016</v>
      </c>
    </row>
    <row r="2353" spans="1:27" x14ac:dyDescent="0.3">
      <c r="A2353" t="str">
        <f t="shared" si="635"/>
        <v>048314</v>
      </c>
      <c r="B2353" t="str">
        <f t="shared" si="638"/>
        <v>070417</v>
      </c>
      <c r="C2353" t="s">
        <v>2419</v>
      </c>
      <c r="D2353" t="s">
        <v>3839</v>
      </c>
      <c r="E2353" t="s">
        <v>3840</v>
      </c>
      <c r="F2353" t="s">
        <v>3841</v>
      </c>
      <c r="G2353" t="s">
        <v>3842</v>
      </c>
      <c r="H2353" t="str">
        <f t="shared" si="634"/>
        <v>048314</v>
      </c>
      <c r="I2353" t="s">
        <v>833</v>
      </c>
      <c r="J2353" t="str">
        <f t="shared" si="640"/>
        <v>2015-07-01 00:00:00.0</v>
      </c>
      <c r="K2353" t="s">
        <v>834</v>
      </c>
      <c r="L2353" t="s">
        <v>0</v>
      </c>
      <c r="M2353" t="str">
        <f t="shared" si="637"/>
        <v>048314</v>
      </c>
      <c r="N2353">
        <v>1</v>
      </c>
      <c r="O2353">
        <v>1</v>
      </c>
      <c r="P2353" t="str">
        <f>"07"</f>
        <v>07</v>
      </c>
      <c r="Q2353" t="s">
        <v>835</v>
      </c>
      <c r="S2353" t="s">
        <v>836</v>
      </c>
      <c r="T2353" t="s">
        <v>836</v>
      </c>
      <c r="U2353" t="str">
        <f t="shared" si="639"/>
        <v>2500-12-31 00:00:00.0</v>
      </c>
      <c r="V2353" t="s">
        <v>837</v>
      </c>
      <c r="W2353" t="str">
        <f>"048314-070417-**-**"</f>
        <v>048314-070417-**-**</v>
      </c>
      <c r="X2353" t="s">
        <v>838</v>
      </c>
      <c r="Y2353">
        <v>1125</v>
      </c>
      <c r="Z2353">
        <v>1125</v>
      </c>
      <c r="AA2353" t="str">
        <f t="shared" si="633"/>
        <v>06/08/2016</v>
      </c>
    </row>
    <row r="2354" spans="1:27" x14ac:dyDescent="0.3">
      <c r="A2354" t="str">
        <f t="shared" si="635"/>
        <v>048314</v>
      </c>
      <c r="B2354" t="str">
        <f t="shared" si="638"/>
        <v>070417</v>
      </c>
      <c r="C2354" t="s">
        <v>1867</v>
      </c>
      <c r="D2354" t="s">
        <v>3839</v>
      </c>
      <c r="E2354" t="s">
        <v>3840</v>
      </c>
      <c r="F2354" t="s">
        <v>3841</v>
      </c>
      <c r="G2354" t="s">
        <v>3842</v>
      </c>
      <c r="H2354" t="str">
        <f t="shared" si="634"/>
        <v>048314</v>
      </c>
      <c r="I2354" t="s">
        <v>833</v>
      </c>
      <c r="J2354" t="str">
        <f t="shared" si="640"/>
        <v>2015-07-01 00:00:00.0</v>
      </c>
      <c r="K2354" t="s">
        <v>834</v>
      </c>
      <c r="L2354" t="s">
        <v>0</v>
      </c>
      <c r="M2354" t="str">
        <f t="shared" si="637"/>
        <v>048314</v>
      </c>
      <c r="N2354">
        <v>1</v>
      </c>
      <c r="O2354">
        <v>1</v>
      </c>
      <c r="P2354" t="str">
        <f>"09"</f>
        <v>09</v>
      </c>
      <c r="Q2354" t="s">
        <v>835</v>
      </c>
      <c r="S2354" t="s">
        <v>860</v>
      </c>
      <c r="T2354" t="s">
        <v>836</v>
      </c>
      <c r="U2354" t="str">
        <f t="shared" si="639"/>
        <v>2500-12-31 00:00:00.0</v>
      </c>
      <c r="V2354" t="s">
        <v>837</v>
      </c>
      <c r="W2354" t="str">
        <f>"048314-004796-**-**"</f>
        <v>048314-004796-**-**</v>
      </c>
      <c r="X2354" t="s">
        <v>838</v>
      </c>
      <c r="Y2354">
        <v>1254.5</v>
      </c>
      <c r="Z2354">
        <v>1254.5</v>
      </c>
      <c r="AA2354" t="str">
        <f t="shared" si="633"/>
        <v>06/08/2016</v>
      </c>
    </row>
    <row r="2355" spans="1:27" x14ac:dyDescent="0.3">
      <c r="A2355" t="str">
        <f t="shared" si="635"/>
        <v>048314</v>
      </c>
      <c r="B2355" t="str">
        <f t="shared" si="638"/>
        <v>070417</v>
      </c>
      <c r="C2355" t="s">
        <v>2420</v>
      </c>
      <c r="D2355" t="s">
        <v>3839</v>
      </c>
      <c r="E2355" t="s">
        <v>3840</v>
      </c>
      <c r="F2355" t="s">
        <v>3841</v>
      </c>
      <c r="G2355" t="s">
        <v>3842</v>
      </c>
      <c r="H2355" t="str">
        <f t="shared" si="634"/>
        <v>048314</v>
      </c>
      <c r="I2355" t="s">
        <v>833</v>
      </c>
      <c r="J2355" t="str">
        <f t="shared" si="640"/>
        <v>2015-07-01 00:00:00.0</v>
      </c>
      <c r="K2355" t="s">
        <v>834</v>
      </c>
      <c r="L2355" t="s">
        <v>0</v>
      </c>
      <c r="M2355" t="str">
        <f t="shared" si="637"/>
        <v>048314</v>
      </c>
      <c r="N2355">
        <v>1</v>
      </c>
      <c r="O2355">
        <v>1</v>
      </c>
      <c r="P2355" t="str">
        <f>"07"</f>
        <v>07</v>
      </c>
      <c r="Q2355" t="s">
        <v>835</v>
      </c>
      <c r="S2355" t="s">
        <v>836</v>
      </c>
      <c r="T2355" t="s">
        <v>836</v>
      </c>
      <c r="U2355" t="str">
        <f t="shared" si="639"/>
        <v>2500-12-31 00:00:00.0</v>
      </c>
      <c r="V2355" t="s">
        <v>837</v>
      </c>
      <c r="W2355" t="str">
        <f>"048314-070417-**-**"</f>
        <v>048314-070417-**-**</v>
      </c>
      <c r="X2355" t="s">
        <v>838</v>
      </c>
      <c r="Y2355">
        <v>1125</v>
      </c>
      <c r="Z2355">
        <v>1125</v>
      </c>
      <c r="AA2355" t="str">
        <f t="shared" si="633"/>
        <v>06/08/2016</v>
      </c>
    </row>
    <row r="2356" spans="1:27" x14ac:dyDescent="0.3">
      <c r="A2356" t="str">
        <f t="shared" si="635"/>
        <v>048314</v>
      </c>
      <c r="B2356" t="str">
        <f t="shared" si="638"/>
        <v>070417</v>
      </c>
      <c r="C2356" t="s">
        <v>3662</v>
      </c>
      <c r="D2356" t="s">
        <v>3839</v>
      </c>
      <c r="E2356" t="s">
        <v>3840</v>
      </c>
      <c r="F2356" t="s">
        <v>3841</v>
      </c>
      <c r="G2356" t="s">
        <v>3842</v>
      </c>
      <c r="H2356" t="str">
        <f t="shared" si="634"/>
        <v>048314</v>
      </c>
      <c r="I2356" t="s">
        <v>833</v>
      </c>
      <c r="J2356" t="str">
        <f t="shared" si="640"/>
        <v>2015-07-01 00:00:00.0</v>
      </c>
      <c r="K2356" t="s">
        <v>834</v>
      </c>
      <c r="L2356" t="s">
        <v>0</v>
      </c>
      <c r="M2356" t="str">
        <f t="shared" si="637"/>
        <v>048314</v>
      </c>
      <c r="N2356">
        <v>1</v>
      </c>
      <c r="O2356">
        <v>1</v>
      </c>
      <c r="P2356" t="str">
        <f>"06"</f>
        <v>06</v>
      </c>
      <c r="Q2356" t="s">
        <v>835</v>
      </c>
      <c r="S2356" t="s">
        <v>836</v>
      </c>
      <c r="T2356" t="s">
        <v>836</v>
      </c>
      <c r="U2356" t="str">
        <f t="shared" si="639"/>
        <v>2500-12-31 00:00:00.0</v>
      </c>
      <c r="V2356" t="s">
        <v>837</v>
      </c>
      <c r="W2356" t="str">
        <f>"048314-070417-**-**"</f>
        <v>048314-070417-**-**</v>
      </c>
      <c r="X2356" t="s">
        <v>838</v>
      </c>
      <c r="Y2356">
        <v>1125</v>
      </c>
      <c r="Z2356">
        <v>1125</v>
      </c>
      <c r="AA2356" t="str">
        <f t="shared" si="633"/>
        <v>06/08/2016</v>
      </c>
    </row>
    <row r="2357" spans="1:27" x14ac:dyDescent="0.3">
      <c r="A2357" t="str">
        <f t="shared" si="635"/>
        <v>048314</v>
      </c>
      <c r="B2357" t="str">
        <f t="shared" si="638"/>
        <v>070417</v>
      </c>
      <c r="C2357" t="s">
        <v>2103</v>
      </c>
      <c r="D2357" t="s">
        <v>3839</v>
      </c>
      <c r="E2357" t="s">
        <v>3840</v>
      </c>
      <c r="F2357" t="s">
        <v>3841</v>
      </c>
      <c r="G2357" t="s">
        <v>3842</v>
      </c>
      <c r="H2357" t="str">
        <f t="shared" si="634"/>
        <v>048314</v>
      </c>
      <c r="I2357" t="s">
        <v>833</v>
      </c>
      <c r="J2357" t="str">
        <f t="shared" si="640"/>
        <v>2015-07-01 00:00:00.0</v>
      </c>
      <c r="K2357" t="s">
        <v>834</v>
      </c>
      <c r="L2357" t="s">
        <v>0</v>
      </c>
      <c r="M2357" t="str">
        <f t="shared" si="637"/>
        <v>048314</v>
      </c>
      <c r="N2357">
        <v>1</v>
      </c>
      <c r="O2357">
        <v>1</v>
      </c>
      <c r="P2357" t="str">
        <f>"08"</f>
        <v>08</v>
      </c>
      <c r="Q2357" t="s">
        <v>835</v>
      </c>
      <c r="S2357" t="s">
        <v>836</v>
      </c>
      <c r="T2357" t="s">
        <v>836</v>
      </c>
      <c r="U2357" t="str">
        <f t="shared" si="639"/>
        <v>2500-12-31 00:00:00.0</v>
      </c>
      <c r="V2357" t="s">
        <v>837</v>
      </c>
      <c r="W2357" t="str">
        <f>"048314-070417-**-**"</f>
        <v>048314-070417-**-**</v>
      </c>
      <c r="X2357" t="s">
        <v>838</v>
      </c>
      <c r="Y2357">
        <v>1125</v>
      </c>
      <c r="Z2357">
        <v>1125</v>
      </c>
      <c r="AA2357" t="str">
        <f t="shared" si="633"/>
        <v>06/08/2016</v>
      </c>
    </row>
    <row r="2358" spans="1:27" x14ac:dyDescent="0.3">
      <c r="A2358" t="str">
        <f t="shared" si="635"/>
        <v>048314</v>
      </c>
      <c r="B2358" t="str">
        <f t="shared" si="638"/>
        <v>070417</v>
      </c>
      <c r="C2358" t="s">
        <v>2324</v>
      </c>
      <c r="D2358" t="s">
        <v>3839</v>
      </c>
      <c r="E2358" t="s">
        <v>3840</v>
      </c>
      <c r="F2358" t="s">
        <v>3841</v>
      </c>
      <c r="G2358" t="s">
        <v>3842</v>
      </c>
      <c r="H2358" t="str">
        <f t="shared" si="634"/>
        <v>048314</v>
      </c>
      <c r="I2358" t="s">
        <v>833</v>
      </c>
      <c r="J2358" t="str">
        <f t="shared" si="640"/>
        <v>2015-07-01 00:00:00.0</v>
      </c>
      <c r="K2358" t="s">
        <v>834</v>
      </c>
      <c r="L2358" t="s">
        <v>0</v>
      </c>
      <c r="M2358" t="str">
        <f t="shared" si="637"/>
        <v>048314</v>
      </c>
      <c r="N2358">
        <v>0.29444399999999998</v>
      </c>
      <c r="O2358">
        <v>0.29444399999999998</v>
      </c>
      <c r="P2358" t="str">
        <f>"07"</f>
        <v>07</v>
      </c>
      <c r="Q2358" t="s">
        <v>835</v>
      </c>
      <c r="S2358" t="s">
        <v>860</v>
      </c>
      <c r="T2358" t="s">
        <v>836</v>
      </c>
      <c r="U2358" t="str">
        <f>"2015-11-12 00:00:00.0"</f>
        <v>2015-11-12 00:00:00.0</v>
      </c>
      <c r="V2358" t="s">
        <v>837</v>
      </c>
      <c r="W2358" t="str">
        <f>"048314-070417-**-**"</f>
        <v>048314-070417-**-**</v>
      </c>
      <c r="X2358" t="s">
        <v>838</v>
      </c>
      <c r="Y2358">
        <v>331.25</v>
      </c>
      <c r="Z2358">
        <v>1125</v>
      </c>
      <c r="AA2358" t="str">
        <f t="shared" si="633"/>
        <v>06/08/2016</v>
      </c>
    </row>
    <row r="2359" spans="1:27" x14ac:dyDescent="0.3">
      <c r="A2359" t="str">
        <f t="shared" si="635"/>
        <v>048314</v>
      </c>
      <c r="B2359" t="str">
        <f t="shared" si="638"/>
        <v>070417</v>
      </c>
      <c r="C2359" t="s">
        <v>2324</v>
      </c>
      <c r="D2359" t="s">
        <v>3839</v>
      </c>
      <c r="E2359" t="s">
        <v>3840</v>
      </c>
      <c r="F2359" t="s">
        <v>3841</v>
      </c>
      <c r="G2359" t="s">
        <v>3842</v>
      </c>
      <c r="H2359" t="str">
        <f t="shared" si="634"/>
        <v>048314</v>
      </c>
      <c r="I2359" t="s">
        <v>833</v>
      </c>
      <c r="J2359" t="str">
        <f>"2015-11-13 00:00:00.0"</f>
        <v>2015-11-13 00:00:00.0</v>
      </c>
      <c r="K2359" t="s">
        <v>834</v>
      </c>
      <c r="L2359" t="s">
        <v>0</v>
      </c>
      <c r="M2359" t="str">
        <f t="shared" si="637"/>
        <v>048314</v>
      </c>
      <c r="N2359">
        <v>0.70555599999999996</v>
      </c>
      <c r="O2359">
        <v>0.70555599999999996</v>
      </c>
      <c r="P2359" t="str">
        <f>"07"</f>
        <v>07</v>
      </c>
      <c r="Q2359" t="s">
        <v>835</v>
      </c>
      <c r="S2359" t="s">
        <v>860</v>
      </c>
      <c r="T2359" t="s">
        <v>836</v>
      </c>
      <c r="U2359" t="str">
        <f t="shared" ref="U2359:U2383" si="641">"2500-12-31 00:00:00.0"</f>
        <v>2500-12-31 00:00:00.0</v>
      </c>
      <c r="V2359" t="s">
        <v>837</v>
      </c>
      <c r="W2359" t="str">
        <f>"048314-070417-**-**"</f>
        <v>048314-070417-**-**</v>
      </c>
      <c r="X2359" t="s">
        <v>838</v>
      </c>
      <c r="Y2359">
        <v>793.75</v>
      </c>
      <c r="Z2359">
        <v>1125</v>
      </c>
      <c r="AA2359" t="str">
        <f t="shared" si="633"/>
        <v>06/08/2016</v>
      </c>
    </row>
    <row r="2360" spans="1:27" x14ac:dyDescent="0.3">
      <c r="A2360" t="str">
        <f t="shared" si="635"/>
        <v>048314</v>
      </c>
      <c r="B2360" t="str">
        <f t="shared" si="638"/>
        <v>070417</v>
      </c>
      <c r="C2360" t="s">
        <v>1929</v>
      </c>
      <c r="D2360" t="s">
        <v>3839</v>
      </c>
      <c r="E2360" t="s">
        <v>3840</v>
      </c>
      <c r="F2360" t="s">
        <v>3841</v>
      </c>
      <c r="G2360" t="s">
        <v>3842</v>
      </c>
      <c r="H2360" t="str">
        <f t="shared" si="634"/>
        <v>048314</v>
      </c>
      <c r="I2360" t="s">
        <v>833</v>
      </c>
      <c r="J2360" t="str">
        <f t="shared" ref="J2360:J2374" si="642">"2015-07-01 00:00:00.0"</f>
        <v>2015-07-01 00:00:00.0</v>
      </c>
      <c r="K2360" t="s">
        <v>834</v>
      </c>
      <c r="L2360" t="s">
        <v>0</v>
      </c>
      <c r="M2360" t="str">
        <f t="shared" si="637"/>
        <v>048314</v>
      </c>
      <c r="N2360">
        <v>1</v>
      </c>
      <c r="O2360">
        <v>1</v>
      </c>
      <c r="P2360" t="str">
        <f>"09"</f>
        <v>09</v>
      </c>
      <c r="Q2360" t="s">
        <v>835</v>
      </c>
      <c r="S2360" t="s">
        <v>836</v>
      </c>
      <c r="T2360" t="s">
        <v>836</v>
      </c>
      <c r="U2360" t="str">
        <f t="shared" si="641"/>
        <v>2500-12-31 00:00:00.0</v>
      </c>
      <c r="V2360" t="s">
        <v>837</v>
      </c>
      <c r="W2360" t="str">
        <f>"048314-004796-**-**"</f>
        <v>048314-004796-**-**</v>
      </c>
      <c r="X2360" t="s">
        <v>838</v>
      </c>
      <c r="Y2360">
        <v>1254.5</v>
      </c>
      <c r="Z2360">
        <v>1254.5</v>
      </c>
      <c r="AA2360" t="str">
        <f t="shared" si="633"/>
        <v>06/08/2016</v>
      </c>
    </row>
    <row r="2361" spans="1:27" x14ac:dyDescent="0.3">
      <c r="A2361" t="str">
        <f t="shared" si="635"/>
        <v>048314</v>
      </c>
      <c r="B2361" t="str">
        <f t="shared" si="638"/>
        <v>070417</v>
      </c>
      <c r="C2361" t="s">
        <v>2251</v>
      </c>
      <c r="D2361" t="s">
        <v>3839</v>
      </c>
      <c r="E2361" t="s">
        <v>3840</v>
      </c>
      <c r="F2361" t="s">
        <v>3841</v>
      </c>
      <c r="G2361" t="s">
        <v>3842</v>
      </c>
      <c r="H2361" t="str">
        <f t="shared" si="634"/>
        <v>048314</v>
      </c>
      <c r="I2361" t="s">
        <v>833</v>
      </c>
      <c r="J2361" t="str">
        <f t="shared" si="642"/>
        <v>2015-07-01 00:00:00.0</v>
      </c>
      <c r="K2361" t="s">
        <v>834</v>
      </c>
      <c r="L2361" t="s">
        <v>0</v>
      </c>
      <c r="M2361" t="str">
        <f t="shared" si="637"/>
        <v>048314</v>
      </c>
      <c r="N2361">
        <v>1</v>
      </c>
      <c r="O2361">
        <v>1</v>
      </c>
      <c r="P2361" t="str">
        <f>"08"</f>
        <v>08</v>
      </c>
      <c r="Q2361" t="str">
        <f>"10"</f>
        <v>10</v>
      </c>
      <c r="R2361" t="str">
        <f>"2"</f>
        <v>2</v>
      </c>
      <c r="S2361" t="s">
        <v>836</v>
      </c>
      <c r="T2361" t="s">
        <v>836</v>
      </c>
      <c r="U2361" t="str">
        <f t="shared" si="641"/>
        <v>2500-12-31 00:00:00.0</v>
      </c>
      <c r="V2361" t="s">
        <v>837</v>
      </c>
      <c r="W2361" t="str">
        <f>"048314-070417-**-**"</f>
        <v>048314-070417-**-**</v>
      </c>
      <c r="X2361" t="s">
        <v>838</v>
      </c>
      <c r="Y2361">
        <v>1125</v>
      </c>
      <c r="Z2361">
        <v>1125</v>
      </c>
      <c r="AA2361" t="str">
        <f t="shared" si="633"/>
        <v>06/08/2016</v>
      </c>
    </row>
    <row r="2362" spans="1:27" x14ac:dyDescent="0.3">
      <c r="A2362" t="str">
        <f t="shared" si="635"/>
        <v>048314</v>
      </c>
      <c r="B2362" t="str">
        <f t="shared" si="638"/>
        <v>070417</v>
      </c>
      <c r="C2362" t="s">
        <v>2758</v>
      </c>
      <c r="D2362" t="s">
        <v>3839</v>
      </c>
      <c r="E2362" t="s">
        <v>3840</v>
      </c>
      <c r="F2362" t="s">
        <v>3841</v>
      </c>
      <c r="G2362" t="s">
        <v>3842</v>
      </c>
      <c r="H2362" t="str">
        <f t="shared" si="634"/>
        <v>048314</v>
      </c>
      <c r="I2362" t="s">
        <v>833</v>
      </c>
      <c r="J2362" t="str">
        <f t="shared" si="642"/>
        <v>2015-07-01 00:00:00.0</v>
      </c>
      <c r="K2362" t="s">
        <v>834</v>
      </c>
      <c r="L2362" t="s">
        <v>0</v>
      </c>
      <c r="M2362" t="str">
        <f t="shared" si="637"/>
        <v>048314</v>
      </c>
      <c r="N2362">
        <v>1</v>
      </c>
      <c r="O2362">
        <v>1</v>
      </c>
      <c r="P2362" t="str">
        <f>"06"</f>
        <v>06</v>
      </c>
      <c r="Q2362" t="s">
        <v>835</v>
      </c>
      <c r="S2362" t="s">
        <v>836</v>
      </c>
      <c r="T2362" t="s">
        <v>836</v>
      </c>
      <c r="U2362" t="str">
        <f t="shared" si="641"/>
        <v>2500-12-31 00:00:00.0</v>
      </c>
      <c r="V2362" t="s">
        <v>837</v>
      </c>
      <c r="W2362" t="str">
        <f>"048314-070417-**-**"</f>
        <v>048314-070417-**-**</v>
      </c>
      <c r="X2362" t="s">
        <v>838</v>
      </c>
      <c r="Y2362">
        <v>1125</v>
      </c>
      <c r="Z2362">
        <v>1125</v>
      </c>
      <c r="AA2362" t="str">
        <f t="shared" ref="AA2362:AA2405" si="643">"06/08/2016"</f>
        <v>06/08/2016</v>
      </c>
    </row>
    <row r="2363" spans="1:27" x14ac:dyDescent="0.3">
      <c r="A2363" t="str">
        <f t="shared" si="635"/>
        <v>048314</v>
      </c>
      <c r="B2363" t="str">
        <f t="shared" si="638"/>
        <v>070417</v>
      </c>
      <c r="C2363" t="s">
        <v>2641</v>
      </c>
      <c r="D2363" t="s">
        <v>3839</v>
      </c>
      <c r="E2363" t="s">
        <v>3840</v>
      </c>
      <c r="F2363" t="s">
        <v>3841</v>
      </c>
      <c r="G2363" t="s">
        <v>3842</v>
      </c>
      <c r="H2363" t="str">
        <f t="shared" si="634"/>
        <v>048314</v>
      </c>
      <c r="I2363" t="s">
        <v>833</v>
      </c>
      <c r="J2363" t="str">
        <f t="shared" si="642"/>
        <v>2015-07-01 00:00:00.0</v>
      </c>
      <c r="K2363" t="s">
        <v>834</v>
      </c>
      <c r="L2363" t="s">
        <v>0</v>
      </c>
      <c r="M2363" t="str">
        <f t="shared" si="637"/>
        <v>048314</v>
      </c>
      <c r="N2363">
        <v>1</v>
      </c>
      <c r="O2363">
        <v>1</v>
      </c>
      <c r="P2363" t="str">
        <f>"07"</f>
        <v>07</v>
      </c>
      <c r="Q2363" t="s">
        <v>835</v>
      </c>
      <c r="S2363" t="s">
        <v>836</v>
      </c>
      <c r="T2363" t="s">
        <v>836</v>
      </c>
      <c r="U2363" t="str">
        <f t="shared" si="641"/>
        <v>2500-12-31 00:00:00.0</v>
      </c>
      <c r="V2363" t="s">
        <v>837</v>
      </c>
      <c r="W2363" t="str">
        <f>"048314-070417-**-**"</f>
        <v>048314-070417-**-**</v>
      </c>
      <c r="X2363" t="s">
        <v>838</v>
      </c>
      <c r="Y2363">
        <v>1125</v>
      </c>
      <c r="Z2363">
        <v>1125</v>
      </c>
      <c r="AA2363" t="str">
        <f t="shared" si="643"/>
        <v>06/08/2016</v>
      </c>
    </row>
    <row r="2364" spans="1:27" x14ac:dyDescent="0.3">
      <c r="A2364" t="str">
        <f t="shared" si="635"/>
        <v>048314</v>
      </c>
      <c r="B2364" t="str">
        <f t="shared" si="638"/>
        <v>070417</v>
      </c>
      <c r="C2364" t="s">
        <v>2104</v>
      </c>
      <c r="D2364" t="s">
        <v>3839</v>
      </c>
      <c r="E2364" t="s">
        <v>3840</v>
      </c>
      <c r="F2364" t="s">
        <v>3841</v>
      </c>
      <c r="G2364" t="s">
        <v>3842</v>
      </c>
      <c r="H2364" t="str">
        <f t="shared" si="634"/>
        <v>048314</v>
      </c>
      <c r="I2364" t="s">
        <v>833</v>
      </c>
      <c r="J2364" t="str">
        <f t="shared" si="642"/>
        <v>2015-07-01 00:00:00.0</v>
      </c>
      <c r="K2364" t="s">
        <v>834</v>
      </c>
      <c r="L2364" t="s">
        <v>0</v>
      </c>
      <c r="M2364" t="str">
        <f t="shared" si="637"/>
        <v>048314</v>
      </c>
      <c r="N2364">
        <v>1</v>
      </c>
      <c r="O2364">
        <v>1</v>
      </c>
      <c r="P2364" t="str">
        <f>"08"</f>
        <v>08</v>
      </c>
      <c r="Q2364" t="s">
        <v>835</v>
      </c>
      <c r="S2364" t="s">
        <v>836</v>
      </c>
      <c r="T2364" t="s">
        <v>836</v>
      </c>
      <c r="U2364" t="str">
        <f t="shared" si="641"/>
        <v>2500-12-31 00:00:00.0</v>
      </c>
      <c r="V2364" t="s">
        <v>837</v>
      </c>
      <c r="W2364" t="str">
        <f>"048314-070417-**-**"</f>
        <v>048314-070417-**-**</v>
      </c>
      <c r="X2364" t="s">
        <v>838</v>
      </c>
      <c r="Y2364">
        <v>1125</v>
      </c>
      <c r="Z2364">
        <v>1125</v>
      </c>
      <c r="AA2364" t="str">
        <f t="shared" si="643"/>
        <v>06/08/2016</v>
      </c>
    </row>
    <row r="2365" spans="1:27" x14ac:dyDescent="0.3">
      <c r="A2365" t="str">
        <f t="shared" si="635"/>
        <v>048314</v>
      </c>
      <c r="B2365" t="str">
        <f t="shared" si="638"/>
        <v>070417</v>
      </c>
      <c r="C2365" t="s">
        <v>1939</v>
      </c>
      <c r="D2365" t="s">
        <v>3839</v>
      </c>
      <c r="E2365" t="s">
        <v>3840</v>
      </c>
      <c r="F2365" t="s">
        <v>3841</v>
      </c>
      <c r="G2365" t="s">
        <v>3842</v>
      </c>
      <c r="H2365" t="str">
        <f t="shared" si="634"/>
        <v>048314</v>
      </c>
      <c r="I2365" t="s">
        <v>833</v>
      </c>
      <c r="J2365" t="str">
        <f t="shared" si="642"/>
        <v>2015-07-01 00:00:00.0</v>
      </c>
      <c r="K2365" t="s">
        <v>834</v>
      </c>
      <c r="L2365" t="s">
        <v>0</v>
      </c>
      <c r="M2365" t="str">
        <f t="shared" si="637"/>
        <v>048314</v>
      </c>
      <c r="N2365">
        <v>1</v>
      </c>
      <c r="O2365">
        <v>1</v>
      </c>
      <c r="P2365" t="str">
        <f>"08"</f>
        <v>08</v>
      </c>
      <c r="Q2365" t="str">
        <f>"08"</f>
        <v>08</v>
      </c>
      <c r="R2365" t="str">
        <f>"3"</f>
        <v>3</v>
      </c>
      <c r="S2365" t="s">
        <v>836</v>
      </c>
      <c r="T2365" t="s">
        <v>836</v>
      </c>
      <c r="U2365" t="str">
        <f t="shared" si="641"/>
        <v>2500-12-31 00:00:00.0</v>
      </c>
      <c r="V2365" t="s">
        <v>837</v>
      </c>
      <c r="W2365" t="str">
        <f>"048314-070417-**-**"</f>
        <v>048314-070417-**-**</v>
      </c>
      <c r="X2365" t="s">
        <v>838</v>
      </c>
      <c r="Y2365">
        <v>1125</v>
      </c>
      <c r="Z2365">
        <v>1125</v>
      </c>
      <c r="AA2365" t="str">
        <f t="shared" si="643"/>
        <v>06/08/2016</v>
      </c>
    </row>
    <row r="2366" spans="1:27" x14ac:dyDescent="0.3">
      <c r="A2366" t="str">
        <f t="shared" si="635"/>
        <v>048314</v>
      </c>
      <c r="B2366" t="str">
        <f t="shared" si="638"/>
        <v>070417</v>
      </c>
      <c r="C2366" t="s">
        <v>1826</v>
      </c>
      <c r="D2366" t="s">
        <v>3839</v>
      </c>
      <c r="E2366" t="s">
        <v>3840</v>
      </c>
      <c r="F2366" t="s">
        <v>3841</v>
      </c>
      <c r="G2366" t="s">
        <v>3842</v>
      </c>
      <c r="H2366" t="str">
        <f t="shared" si="634"/>
        <v>048314</v>
      </c>
      <c r="I2366" t="s">
        <v>833</v>
      </c>
      <c r="J2366" t="str">
        <f t="shared" si="642"/>
        <v>2015-07-01 00:00:00.0</v>
      </c>
      <c r="K2366" t="s">
        <v>834</v>
      </c>
      <c r="L2366" t="s">
        <v>0</v>
      </c>
      <c r="M2366" t="str">
        <f t="shared" si="637"/>
        <v>048314</v>
      </c>
      <c r="N2366">
        <v>1</v>
      </c>
      <c r="O2366">
        <v>1</v>
      </c>
      <c r="P2366" t="str">
        <f>"09"</f>
        <v>09</v>
      </c>
      <c r="Q2366" t="s">
        <v>835</v>
      </c>
      <c r="S2366" t="s">
        <v>836</v>
      </c>
      <c r="T2366" t="s">
        <v>836</v>
      </c>
      <c r="U2366" t="str">
        <f t="shared" si="641"/>
        <v>2500-12-31 00:00:00.0</v>
      </c>
      <c r="V2366" t="s">
        <v>837</v>
      </c>
      <c r="W2366" t="str">
        <f>"048314-004796-**-**"</f>
        <v>048314-004796-**-**</v>
      </c>
      <c r="X2366" t="s">
        <v>838</v>
      </c>
      <c r="Y2366">
        <v>1254.5</v>
      </c>
      <c r="Z2366">
        <v>1254.5</v>
      </c>
      <c r="AA2366" t="str">
        <f t="shared" si="643"/>
        <v>06/08/2016</v>
      </c>
    </row>
    <row r="2367" spans="1:27" x14ac:dyDescent="0.3">
      <c r="A2367" t="str">
        <f t="shared" si="635"/>
        <v>048314</v>
      </c>
      <c r="B2367" t="str">
        <f t="shared" si="638"/>
        <v>070417</v>
      </c>
      <c r="C2367" t="s">
        <v>2642</v>
      </c>
      <c r="D2367" t="s">
        <v>3839</v>
      </c>
      <c r="E2367" t="s">
        <v>3840</v>
      </c>
      <c r="F2367" t="s">
        <v>3841</v>
      </c>
      <c r="G2367" t="s">
        <v>3842</v>
      </c>
      <c r="H2367" t="str">
        <f t="shared" si="634"/>
        <v>048314</v>
      </c>
      <c r="I2367" t="s">
        <v>833</v>
      </c>
      <c r="J2367" t="str">
        <f t="shared" si="642"/>
        <v>2015-07-01 00:00:00.0</v>
      </c>
      <c r="K2367" t="s">
        <v>834</v>
      </c>
      <c r="L2367" t="s">
        <v>0</v>
      </c>
      <c r="M2367" t="str">
        <f t="shared" si="637"/>
        <v>048314</v>
      </c>
      <c r="N2367">
        <v>1</v>
      </c>
      <c r="O2367">
        <v>1</v>
      </c>
      <c r="P2367" t="str">
        <f>"07"</f>
        <v>07</v>
      </c>
      <c r="Q2367" t="s">
        <v>835</v>
      </c>
      <c r="S2367" t="s">
        <v>836</v>
      </c>
      <c r="T2367" t="s">
        <v>836</v>
      </c>
      <c r="U2367" t="str">
        <f t="shared" si="641"/>
        <v>2500-12-31 00:00:00.0</v>
      </c>
      <c r="V2367" t="s">
        <v>837</v>
      </c>
      <c r="W2367" t="str">
        <f>"048314-070417-**-**"</f>
        <v>048314-070417-**-**</v>
      </c>
      <c r="X2367" t="s">
        <v>838</v>
      </c>
      <c r="Y2367">
        <v>1125</v>
      </c>
      <c r="Z2367">
        <v>1125</v>
      </c>
      <c r="AA2367" t="str">
        <f t="shared" si="643"/>
        <v>06/08/2016</v>
      </c>
    </row>
    <row r="2368" spans="1:27" x14ac:dyDescent="0.3">
      <c r="A2368" t="str">
        <f t="shared" si="635"/>
        <v>048314</v>
      </c>
      <c r="B2368" t="str">
        <f t="shared" si="638"/>
        <v>070417</v>
      </c>
      <c r="C2368" t="s">
        <v>1930</v>
      </c>
      <c r="D2368" t="s">
        <v>3839</v>
      </c>
      <c r="E2368" t="s">
        <v>3840</v>
      </c>
      <c r="F2368" t="s">
        <v>3841</v>
      </c>
      <c r="G2368" t="s">
        <v>3842</v>
      </c>
      <c r="H2368" t="str">
        <f t="shared" si="634"/>
        <v>048314</v>
      </c>
      <c r="I2368" t="s">
        <v>833</v>
      </c>
      <c r="J2368" t="str">
        <f t="shared" si="642"/>
        <v>2015-07-01 00:00:00.0</v>
      </c>
      <c r="K2368" t="s">
        <v>834</v>
      </c>
      <c r="L2368" t="s">
        <v>0</v>
      </c>
      <c r="M2368" t="str">
        <f t="shared" si="637"/>
        <v>048314</v>
      </c>
      <c r="N2368">
        <v>1</v>
      </c>
      <c r="O2368">
        <v>1</v>
      </c>
      <c r="P2368" t="str">
        <f>"09"</f>
        <v>09</v>
      </c>
      <c r="Q2368" t="s">
        <v>835</v>
      </c>
      <c r="S2368" t="s">
        <v>836</v>
      </c>
      <c r="T2368" t="s">
        <v>836</v>
      </c>
      <c r="U2368" t="str">
        <f t="shared" si="641"/>
        <v>2500-12-31 00:00:00.0</v>
      </c>
      <c r="V2368" t="s">
        <v>837</v>
      </c>
      <c r="W2368" t="str">
        <f>"048314-004796-**-**"</f>
        <v>048314-004796-**-**</v>
      </c>
      <c r="X2368" t="s">
        <v>838</v>
      </c>
      <c r="Y2368">
        <v>1254.5</v>
      </c>
      <c r="Z2368">
        <v>1254.5</v>
      </c>
      <c r="AA2368" t="str">
        <f t="shared" si="643"/>
        <v>06/08/2016</v>
      </c>
    </row>
    <row r="2369" spans="1:27" x14ac:dyDescent="0.3">
      <c r="A2369" t="str">
        <f t="shared" si="635"/>
        <v>048314</v>
      </c>
      <c r="B2369" t="str">
        <f t="shared" si="638"/>
        <v>070417</v>
      </c>
      <c r="C2369" t="s">
        <v>1868</v>
      </c>
      <c r="D2369" t="s">
        <v>3839</v>
      </c>
      <c r="E2369" t="s">
        <v>3840</v>
      </c>
      <c r="F2369" t="s">
        <v>3841</v>
      </c>
      <c r="G2369" t="s">
        <v>3842</v>
      </c>
      <c r="H2369" t="str">
        <f t="shared" ref="H2369:H2384" si="644">"048314"</f>
        <v>048314</v>
      </c>
      <c r="I2369" t="s">
        <v>833</v>
      </c>
      <c r="J2369" t="str">
        <f t="shared" si="642"/>
        <v>2015-07-01 00:00:00.0</v>
      </c>
      <c r="K2369" t="s">
        <v>834</v>
      </c>
      <c r="L2369" t="s">
        <v>0</v>
      </c>
      <c r="M2369" t="str">
        <f t="shared" si="637"/>
        <v>048314</v>
      </c>
      <c r="N2369">
        <v>1</v>
      </c>
      <c r="O2369">
        <v>1</v>
      </c>
      <c r="P2369" t="str">
        <f>"09"</f>
        <v>09</v>
      </c>
      <c r="Q2369" t="s">
        <v>835</v>
      </c>
      <c r="S2369" t="s">
        <v>836</v>
      </c>
      <c r="T2369" t="s">
        <v>836</v>
      </c>
      <c r="U2369" t="str">
        <f t="shared" si="641"/>
        <v>2500-12-31 00:00:00.0</v>
      </c>
      <c r="V2369" t="s">
        <v>837</v>
      </c>
      <c r="W2369" t="str">
        <f>"048314-004796-**-**"</f>
        <v>048314-004796-**-**</v>
      </c>
      <c r="X2369" t="s">
        <v>838</v>
      </c>
      <c r="Y2369">
        <v>1254.5</v>
      </c>
      <c r="Z2369">
        <v>1254.5</v>
      </c>
      <c r="AA2369" t="str">
        <f t="shared" si="643"/>
        <v>06/08/2016</v>
      </c>
    </row>
    <row r="2370" spans="1:27" x14ac:dyDescent="0.3">
      <c r="A2370" t="str">
        <f t="shared" ref="A2370:A2433" si="645">"048314"</f>
        <v>048314</v>
      </c>
      <c r="B2370" t="str">
        <f t="shared" si="638"/>
        <v>070417</v>
      </c>
      <c r="C2370" t="s">
        <v>2643</v>
      </c>
      <c r="D2370" t="s">
        <v>3839</v>
      </c>
      <c r="E2370" t="s">
        <v>3840</v>
      </c>
      <c r="F2370" t="s">
        <v>3841</v>
      </c>
      <c r="G2370" t="s">
        <v>3842</v>
      </c>
      <c r="H2370" t="str">
        <f t="shared" si="644"/>
        <v>048314</v>
      </c>
      <c r="I2370" t="s">
        <v>833</v>
      </c>
      <c r="J2370" t="str">
        <f t="shared" si="642"/>
        <v>2015-07-01 00:00:00.0</v>
      </c>
      <c r="K2370" t="s">
        <v>834</v>
      </c>
      <c r="L2370" t="s">
        <v>0</v>
      </c>
      <c r="M2370" t="str">
        <f t="shared" si="637"/>
        <v>048314</v>
      </c>
      <c r="N2370">
        <v>1</v>
      </c>
      <c r="O2370">
        <v>1</v>
      </c>
      <c r="P2370" t="str">
        <f>"07"</f>
        <v>07</v>
      </c>
      <c r="Q2370" t="s">
        <v>835</v>
      </c>
      <c r="S2370" t="s">
        <v>836</v>
      </c>
      <c r="T2370" t="s">
        <v>836</v>
      </c>
      <c r="U2370" t="str">
        <f t="shared" si="641"/>
        <v>2500-12-31 00:00:00.0</v>
      </c>
      <c r="V2370" t="s">
        <v>837</v>
      </c>
      <c r="W2370" t="str">
        <f>"048314-070417-**-**"</f>
        <v>048314-070417-**-**</v>
      </c>
      <c r="X2370" t="s">
        <v>838</v>
      </c>
      <c r="Y2370">
        <v>1125</v>
      </c>
      <c r="Z2370">
        <v>1125</v>
      </c>
      <c r="AA2370" t="str">
        <f t="shared" si="643"/>
        <v>06/08/2016</v>
      </c>
    </row>
    <row r="2371" spans="1:27" x14ac:dyDescent="0.3">
      <c r="A2371" t="str">
        <f t="shared" si="645"/>
        <v>048314</v>
      </c>
      <c r="B2371" t="str">
        <f t="shared" si="638"/>
        <v>070417</v>
      </c>
      <c r="C2371" t="s">
        <v>2058</v>
      </c>
      <c r="D2371" t="s">
        <v>3839</v>
      </c>
      <c r="E2371" t="s">
        <v>3840</v>
      </c>
      <c r="F2371" t="s">
        <v>3841</v>
      </c>
      <c r="G2371" t="s">
        <v>3842</v>
      </c>
      <c r="H2371" t="str">
        <f t="shared" si="644"/>
        <v>048314</v>
      </c>
      <c r="I2371" t="s">
        <v>833</v>
      </c>
      <c r="J2371" t="str">
        <f t="shared" si="642"/>
        <v>2015-07-01 00:00:00.0</v>
      </c>
      <c r="K2371" t="s">
        <v>834</v>
      </c>
      <c r="L2371" t="s">
        <v>0</v>
      </c>
      <c r="M2371" t="str">
        <f t="shared" si="637"/>
        <v>048314</v>
      </c>
      <c r="N2371">
        <v>1</v>
      </c>
      <c r="O2371">
        <v>1</v>
      </c>
      <c r="P2371" t="str">
        <f>"09"</f>
        <v>09</v>
      </c>
      <c r="Q2371" t="s">
        <v>835</v>
      </c>
      <c r="S2371" t="s">
        <v>836</v>
      </c>
      <c r="T2371" t="s">
        <v>836</v>
      </c>
      <c r="U2371" t="str">
        <f t="shared" si="641"/>
        <v>2500-12-31 00:00:00.0</v>
      </c>
      <c r="V2371" t="s">
        <v>837</v>
      </c>
      <c r="W2371" t="str">
        <f>"048314-004796-**-**"</f>
        <v>048314-004796-**-**</v>
      </c>
      <c r="X2371" t="s">
        <v>838</v>
      </c>
      <c r="Y2371">
        <v>1254.5</v>
      </c>
      <c r="Z2371">
        <v>1254.5</v>
      </c>
      <c r="AA2371" t="str">
        <f t="shared" si="643"/>
        <v>06/08/2016</v>
      </c>
    </row>
    <row r="2372" spans="1:27" x14ac:dyDescent="0.3">
      <c r="A2372" t="str">
        <f t="shared" si="645"/>
        <v>048314</v>
      </c>
      <c r="B2372" t="str">
        <f t="shared" si="638"/>
        <v>070417</v>
      </c>
      <c r="C2372" t="s">
        <v>2644</v>
      </c>
      <c r="D2372" t="s">
        <v>3839</v>
      </c>
      <c r="E2372" t="s">
        <v>3840</v>
      </c>
      <c r="F2372" t="s">
        <v>3841</v>
      </c>
      <c r="G2372" t="s">
        <v>3842</v>
      </c>
      <c r="H2372" t="str">
        <f t="shared" si="644"/>
        <v>048314</v>
      </c>
      <c r="I2372" t="s">
        <v>833</v>
      </c>
      <c r="J2372" t="str">
        <f t="shared" si="642"/>
        <v>2015-07-01 00:00:00.0</v>
      </c>
      <c r="K2372" t="s">
        <v>834</v>
      </c>
      <c r="L2372" t="s">
        <v>0</v>
      </c>
      <c r="M2372" t="str">
        <f t="shared" si="637"/>
        <v>048314</v>
      </c>
      <c r="N2372">
        <v>1</v>
      </c>
      <c r="O2372">
        <v>1</v>
      </c>
      <c r="P2372" t="str">
        <f>"06"</f>
        <v>06</v>
      </c>
      <c r="Q2372" t="s">
        <v>835</v>
      </c>
      <c r="S2372" t="s">
        <v>836</v>
      </c>
      <c r="T2372" t="s">
        <v>836</v>
      </c>
      <c r="U2372" t="str">
        <f t="shared" si="641"/>
        <v>2500-12-31 00:00:00.0</v>
      </c>
      <c r="V2372" t="s">
        <v>837</v>
      </c>
      <c r="W2372" t="str">
        <f t="shared" ref="W2372:W2379" si="646">"048314-070417-**-**"</f>
        <v>048314-070417-**-**</v>
      </c>
      <c r="X2372" t="s">
        <v>838</v>
      </c>
      <c r="Y2372">
        <v>1125</v>
      </c>
      <c r="Z2372">
        <v>1125</v>
      </c>
      <c r="AA2372" t="str">
        <f t="shared" si="643"/>
        <v>06/08/2016</v>
      </c>
    </row>
    <row r="2373" spans="1:27" x14ac:dyDescent="0.3">
      <c r="A2373" t="str">
        <f t="shared" si="645"/>
        <v>048314</v>
      </c>
      <c r="B2373" t="str">
        <f t="shared" si="638"/>
        <v>070417</v>
      </c>
      <c r="C2373" t="s">
        <v>3456</v>
      </c>
      <c r="D2373" t="s">
        <v>3839</v>
      </c>
      <c r="E2373" t="s">
        <v>3840</v>
      </c>
      <c r="F2373" t="s">
        <v>3841</v>
      </c>
      <c r="G2373" t="s">
        <v>3842</v>
      </c>
      <c r="H2373" t="str">
        <f t="shared" si="644"/>
        <v>048314</v>
      </c>
      <c r="I2373" t="s">
        <v>833</v>
      </c>
      <c r="J2373" t="str">
        <f t="shared" si="642"/>
        <v>2015-07-01 00:00:00.0</v>
      </c>
      <c r="K2373" t="s">
        <v>834</v>
      </c>
      <c r="L2373" t="s">
        <v>0</v>
      </c>
      <c r="M2373" t="str">
        <f t="shared" si="637"/>
        <v>048314</v>
      </c>
      <c r="N2373">
        <v>1</v>
      </c>
      <c r="O2373">
        <v>1</v>
      </c>
      <c r="P2373" t="str">
        <f>"07"</f>
        <v>07</v>
      </c>
      <c r="Q2373" t="s">
        <v>835</v>
      </c>
      <c r="S2373" t="s">
        <v>836</v>
      </c>
      <c r="T2373" t="s">
        <v>836</v>
      </c>
      <c r="U2373" t="str">
        <f t="shared" si="641"/>
        <v>2500-12-31 00:00:00.0</v>
      </c>
      <c r="V2373" t="s">
        <v>837</v>
      </c>
      <c r="W2373" t="str">
        <f t="shared" si="646"/>
        <v>048314-070417-**-**</v>
      </c>
      <c r="X2373" t="s">
        <v>838</v>
      </c>
      <c r="Y2373">
        <v>1125</v>
      </c>
      <c r="Z2373">
        <v>1125</v>
      </c>
      <c r="AA2373" t="str">
        <f t="shared" si="643"/>
        <v>06/08/2016</v>
      </c>
    </row>
    <row r="2374" spans="1:27" x14ac:dyDescent="0.3">
      <c r="A2374" t="str">
        <f t="shared" si="645"/>
        <v>048314</v>
      </c>
      <c r="B2374" t="str">
        <f t="shared" si="638"/>
        <v>070417</v>
      </c>
      <c r="C2374" t="s">
        <v>2645</v>
      </c>
      <c r="D2374" t="s">
        <v>3839</v>
      </c>
      <c r="E2374" t="s">
        <v>3840</v>
      </c>
      <c r="F2374" t="s">
        <v>3841</v>
      </c>
      <c r="G2374" t="s">
        <v>3842</v>
      </c>
      <c r="H2374" t="str">
        <f t="shared" si="644"/>
        <v>048314</v>
      </c>
      <c r="I2374" t="s">
        <v>833</v>
      </c>
      <c r="J2374" t="str">
        <f t="shared" si="642"/>
        <v>2015-07-01 00:00:00.0</v>
      </c>
      <c r="K2374" t="s">
        <v>834</v>
      </c>
      <c r="L2374" t="s">
        <v>0</v>
      </c>
      <c r="M2374" t="str">
        <f t="shared" si="637"/>
        <v>048314</v>
      </c>
      <c r="N2374">
        <v>1</v>
      </c>
      <c r="O2374">
        <v>1</v>
      </c>
      <c r="P2374" t="str">
        <f>"06"</f>
        <v>06</v>
      </c>
      <c r="Q2374" t="s">
        <v>835</v>
      </c>
      <c r="S2374" t="s">
        <v>836</v>
      </c>
      <c r="T2374" t="s">
        <v>836</v>
      </c>
      <c r="U2374" t="str">
        <f t="shared" si="641"/>
        <v>2500-12-31 00:00:00.0</v>
      </c>
      <c r="V2374" t="s">
        <v>837</v>
      </c>
      <c r="W2374" t="str">
        <f t="shared" si="646"/>
        <v>048314-070417-**-**</v>
      </c>
      <c r="X2374" t="s">
        <v>838</v>
      </c>
      <c r="Y2374">
        <v>1125</v>
      </c>
      <c r="Z2374">
        <v>1125</v>
      </c>
      <c r="AA2374" t="str">
        <f t="shared" si="643"/>
        <v>06/08/2016</v>
      </c>
    </row>
    <row r="2375" spans="1:27" x14ac:dyDescent="0.3">
      <c r="A2375" t="str">
        <f t="shared" si="645"/>
        <v>048314</v>
      </c>
      <c r="B2375" t="str">
        <f t="shared" si="638"/>
        <v>070417</v>
      </c>
      <c r="C2375" t="s">
        <v>2301</v>
      </c>
      <c r="D2375" t="s">
        <v>3839</v>
      </c>
      <c r="E2375" t="s">
        <v>3840</v>
      </c>
      <c r="F2375" t="s">
        <v>3841</v>
      </c>
      <c r="G2375" t="s">
        <v>3842</v>
      </c>
      <c r="H2375" t="str">
        <f t="shared" si="644"/>
        <v>048314</v>
      </c>
      <c r="I2375" t="s">
        <v>833</v>
      </c>
      <c r="J2375" t="str">
        <f>"2015-12-01 00:00:00.0"</f>
        <v>2015-12-01 00:00:00.0</v>
      </c>
      <c r="K2375" t="s">
        <v>834</v>
      </c>
      <c r="L2375" t="s">
        <v>0</v>
      </c>
      <c r="M2375" t="str">
        <f t="shared" si="637"/>
        <v>048314</v>
      </c>
      <c r="N2375">
        <v>0.661111</v>
      </c>
      <c r="O2375">
        <v>0.60258199999999995</v>
      </c>
      <c r="P2375" t="str">
        <f>"08"</f>
        <v>08</v>
      </c>
      <c r="Q2375" t="s">
        <v>835</v>
      </c>
      <c r="S2375" t="s">
        <v>836</v>
      </c>
      <c r="T2375" t="s">
        <v>836</v>
      </c>
      <c r="U2375" t="str">
        <f t="shared" si="641"/>
        <v>2500-12-31 00:00:00.0</v>
      </c>
      <c r="V2375" t="s">
        <v>837</v>
      </c>
      <c r="W2375" t="str">
        <f t="shared" si="646"/>
        <v>048314-070417-**-**</v>
      </c>
      <c r="X2375" t="s">
        <v>838</v>
      </c>
      <c r="Y2375">
        <v>743.75</v>
      </c>
      <c r="Z2375">
        <v>1125</v>
      </c>
      <c r="AA2375" t="str">
        <f t="shared" si="643"/>
        <v>06/08/2016</v>
      </c>
    </row>
    <row r="2376" spans="1:27" x14ac:dyDescent="0.3">
      <c r="A2376" t="str">
        <f t="shared" si="645"/>
        <v>048314</v>
      </c>
      <c r="B2376" t="str">
        <f t="shared" si="638"/>
        <v>070417</v>
      </c>
      <c r="C2376" t="s">
        <v>891</v>
      </c>
      <c r="D2376" t="s">
        <v>3839</v>
      </c>
      <c r="E2376" t="s">
        <v>3840</v>
      </c>
      <c r="F2376" t="s">
        <v>3841</v>
      </c>
      <c r="G2376" t="s">
        <v>3842</v>
      </c>
      <c r="H2376" t="str">
        <f t="shared" si="644"/>
        <v>048314</v>
      </c>
      <c r="I2376" t="s">
        <v>833</v>
      </c>
      <c r="J2376" t="str">
        <f>"2016-03-01 00:00:00.0"</f>
        <v>2016-03-01 00:00:00.0</v>
      </c>
      <c r="K2376" t="s">
        <v>834</v>
      </c>
      <c r="L2376" t="s">
        <v>0</v>
      </c>
      <c r="M2376" t="str">
        <f t="shared" si="637"/>
        <v>048314</v>
      </c>
      <c r="N2376">
        <v>0.36666700000000002</v>
      </c>
      <c r="O2376">
        <v>0.36666700000000002</v>
      </c>
      <c r="P2376" t="str">
        <f>"08"</f>
        <v>08</v>
      </c>
      <c r="Q2376" t="s">
        <v>835</v>
      </c>
      <c r="S2376" t="s">
        <v>836</v>
      </c>
      <c r="T2376" t="s">
        <v>836</v>
      </c>
      <c r="U2376" t="str">
        <f t="shared" si="641"/>
        <v>2500-12-31 00:00:00.0</v>
      </c>
      <c r="V2376" t="s">
        <v>837</v>
      </c>
      <c r="W2376" t="str">
        <f t="shared" si="646"/>
        <v>048314-070417-**-**</v>
      </c>
      <c r="X2376" t="s">
        <v>838</v>
      </c>
      <c r="Y2376">
        <v>412.5</v>
      </c>
      <c r="Z2376">
        <v>1125</v>
      </c>
      <c r="AA2376" t="str">
        <f t="shared" si="643"/>
        <v>06/08/2016</v>
      </c>
    </row>
    <row r="2377" spans="1:27" x14ac:dyDescent="0.3">
      <c r="A2377" t="str">
        <f t="shared" si="645"/>
        <v>048314</v>
      </c>
      <c r="B2377" t="str">
        <f t="shared" si="638"/>
        <v>070417</v>
      </c>
      <c r="C2377" t="s">
        <v>1033</v>
      </c>
      <c r="D2377" t="s">
        <v>3839</v>
      </c>
      <c r="E2377" t="s">
        <v>3840</v>
      </c>
      <c r="F2377" t="s">
        <v>3841</v>
      </c>
      <c r="G2377" t="s">
        <v>3842</v>
      </c>
      <c r="H2377" t="str">
        <f t="shared" si="644"/>
        <v>048314</v>
      </c>
      <c r="I2377" t="s">
        <v>833</v>
      </c>
      <c r="J2377" t="str">
        <f>"2015-08-01 00:00:00.0"</f>
        <v>2015-08-01 00:00:00.0</v>
      </c>
      <c r="K2377" t="s">
        <v>834</v>
      </c>
      <c r="L2377" t="s">
        <v>0</v>
      </c>
      <c r="M2377" t="str">
        <f t="shared" si="637"/>
        <v>048314</v>
      </c>
      <c r="N2377">
        <v>1</v>
      </c>
      <c r="O2377">
        <v>1</v>
      </c>
      <c r="P2377" t="str">
        <f>"07"</f>
        <v>07</v>
      </c>
      <c r="Q2377" t="s">
        <v>835</v>
      </c>
      <c r="S2377" t="s">
        <v>836</v>
      </c>
      <c r="T2377" t="s">
        <v>836</v>
      </c>
      <c r="U2377" t="str">
        <f t="shared" si="641"/>
        <v>2500-12-31 00:00:00.0</v>
      </c>
      <c r="V2377" t="s">
        <v>837</v>
      </c>
      <c r="W2377" t="str">
        <f t="shared" si="646"/>
        <v>048314-070417-**-**</v>
      </c>
      <c r="X2377" t="s">
        <v>838</v>
      </c>
      <c r="Y2377">
        <v>1125</v>
      </c>
      <c r="Z2377">
        <v>1125</v>
      </c>
      <c r="AA2377" t="str">
        <f t="shared" si="643"/>
        <v>06/08/2016</v>
      </c>
    </row>
    <row r="2378" spans="1:27" x14ac:dyDescent="0.3">
      <c r="A2378" t="str">
        <f t="shared" si="645"/>
        <v>048314</v>
      </c>
      <c r="B2378" t="str">
        <f t="shared" si="638"/>
        <v>070417</v>
      </c>
      <c r="C2378" t="s">
        <v>2570</v>
      </c>
      <c r="D2378" t="s">
        <v>3839</v>
      </c>
      <c r="E2378" t="s">
        <v>3840</v>
      </c>
      <c r="F2378" t="s">
        <v>3841</v>
      </c>
      <c r="G2378" t="s">
        <v>3842</v>
      </c>
      <c r="H2378" t="str">
        <f t="shared" si="644"/>
        <v>048314</v>
      </c>
      <c r="I2378" t="s">
        <v>833</v>
      </c>
      <c r="J2378" t="str">
        <f t="shared" ref="J2378:J2417" si="647">"2015-07-01 00:00:00.0"</f>
        <v>2015-07-01 00:00:00.0</v>
      </c>
      <c r="K2378" t="s">
        <v>834</v>
      </c>
      <c r="L2378" t="s">
        <v>0</v>
      </c>
      <c r="M2378" t="str">
        <f t="shared" si="637"/>
        <v>048314</v>
      </c>
      <c r="N2378">
        <v>1</v>
      </c>
      <c r="O2378">
        <v>1</v>
      </c>
      <c r="P2378" t="str">
        <f>"06"</f>
        <v>06</v>
      </c>
      <c r="Q2378" t="s">
        <v>835</v>
      </c>
      <c r="S2378" t="s">
        <v>836</v>
      </c>
      <c r="T2378" t="s">
        <v>836</v>
      </c>
      <c r="U2378" t="str">
        <f t="shared" si="641"/>
        <v>2500-12-31 00:00:00.0</v>
      </c>
      <c r="V2378" t="s">
        <v>837</v>
      </c>
      <c r="W2378" t="str">
        <f t="shared" si="646"/>
        <v>048314-070417-**-**</v>
      </c>
      <c r="X2378" t="s">
        <v>838</v>
      </c>
      <c r="Y2378">
        <v>1125</v>
      </c>
      <c r="Z2378">
        <v>1125</v>
      </c>
      <c r="AA2378" t="str">
        <f t="shared" si="643"/>
        <v>06/08/2016</v>
      </c>
    </row>
    <row r="2379" spans="1:27" x14ac:dyDescent="0.3">
      <c r="A2379" t="str">
        <f t="shared" si="645"/>
        <v>048314</v>
      </c>
      <c r="B2379" t="str">
        <f t="shared" si="638"/>
        <v>070417</v>
      </c>
      <c r="C2379" t="s">
        <v>2349</v>
      </c>
      <c r="D2379" t="s">
        <v>3839</v>
      </c>
      <c r="E2379" t="s">
        <v>3840</v>
      </c>
      <c r="F2379" t="s">
        <v>3841</v>
      </c>
      <c r="G2379" t="s">
        <v>3842</v>
      </c>
      <c r="H2379" t="str">
        <f t="shared" si="644"/>
        <v>048314</v>
      </c>
      <c r="I2379" t="s">
        <v>833</v>
      </c>
      <c r="J2379" t="str">
        <f t="shared" si="647"/>
        <v>2015-07-01 00:00:00.0</v>
      </c>
      <c r="K2379" t="s">
        <v>834</v>
      </c>
      <c r="L2379" t="s">
        <v>0</v>
      </c>
      <c r="M2379" t="str">
        <f t="shared" si="637"/>
        <v>048314</v>
      </c>
      <c r="N2379">
        <v>1</v>
      </c>
      <c r="O2379">
        <v>1</v>
      </c>
      <c r="P2379" t="str">
        <f>"08"</f>
        <v>08</v>
      </c>
      <c r="Q2379" t="s">
        <v>835</v>
      </c>
      <c r="S2379" t="s">
        <v>836</v>
      </c>
      <c r="T2379" t="s">
        <v>836</v>
      </c>
      <c r="U2379" t="str">
        <f t="shared" si="641"/>
        <v>2500-12-31 00:00:00.0</v>
      </c>
      <c r="V2379" t="s">
        <v>837</v>
      </c>
      <c r="W2379" t="str">
        <f t="shared" si="646"/>
        <v>048314-070417-**-**</v>
      </c>
      <c r="X2379" t="s">
        <v>838</v>
      </c>
      <c r="Y2379">
        <v>1125</v>
      </c>
      <c r="Z2379">
        <v>1125</v>
      </c>
      <c r="AA2379" t="str">
        <f t="shared" si="643"/>
        <v>06/08/2016</v>
      </c>
    </row>
    <row r="2380" spans="1:27" x14ac:dyDescent="0.3">
      <c r="A2380" t="str">
        <f t="shared" si="645"/>
        <v>048314</v>
      </c>
      <c r="B2380" t="str">
        <f t="shared" si="638"/>
        <v>070417</v>
      </c>
      <c r="C2380" t="s">
        <v>1264</v>
      </c>
      <c r="D2380" t="s">
        <v>3839</v>
      </c>
      <c r="E2380" t="s">
        <v>3840</v>
      </c>
      <c r="F2380" t="s">
        <v>3841</v>
      </c>
      <c r="G2380" t="s">
        <v>3842</v>
      </c>
      <c r="H2380" t="str">
        <f t="shared" si="644"/>
        <v>048314</v>
      </c>
      <c r="I2380" t="s">
        <v>833</v>
      </c>
      <c r="J2380" t="str">
        <f t="shared" si="647"/>
        <v>2015-07-01 00:00:00.0</v>
      </c>
      <c r="K2380" t="s">
        <v>834</v>
      </c>
      <c r="L2380" t="s">
        <v>0</v>
      </c>
      <c r="M2380" t="str">
        <f t="shared" si="637"/>
        <v>048314</v>
      </c>
      <c r="N2380">
        <v>1</v>
      </c>
      <c r="O2380">
        <v>1</v>
      </c>
      <c r="P2380" t="str">
        <f>"09"</f>
        <v>09</v>
      </c>
      <c r="Q2380" t="s">
        <v>835</v>
      </c>
      <c r="S2380" t="s">
        <v>860</v>
      </c>
      <c r="T2380" t="s">
        <v>836</v>
      </c>
      <c r="U2380" t="str">
        <f t="shared" si="641"/>
        <v>2500-12-31 00:00:00.0</v>
      </c>
      <c r="V2380" t="s">
        <v>837</v>
      </c>
      <c r="W2380" t="str">
        <f>"048314-004796-**-**"</f>
        <v>048314-004796-**-**</v>
      </c>
      <c r="X2380" t="s">
        <v>838</v>
      </c>
      <c r="Y2380">
        <v>1254.5</v>
      </c>
      <c r="Z2380">
        <v>1254.5</v>
      </c>
      <c r="AA2380" t="str">
        <f t="shared" si="643"/>
        <v>06/08/2016</v>
      </c>
    </row>
    <row r="2381" spans="1:27" x14ac:dyDescent="0.3">
      <c r="A2381" t="str">
        <f t="shared" si="645"/>
        <v>048314</v>
      </c>
      <c r="B2381" t="str">
        <f t="shared" si="638"/>
        <v>070417</v>
      </c>
      <c r="C2381" t="s">
        <v>3093</v>
      </c>
      <c r="D2381" t="s">
        <v>3839</v>
      </c>
      <c r="E2381" t="s">
        <v>3840</v>
      </c>
      <c r="F2381" t="s">
        <v>3841</v>
      </c>
      <c r="G2381" t="s">
        <v>3842</v>
      </c>
      <c r="H2381" t="str">
        <f t="shared" si="644"/>
        <v>048314</v>
      </c>
      <c r="I2381" t="s">
        <v>833</v>
      </c>
      <c r="J2381" t="str">
        <f t="shared" si="647"/>
        <v>2015-07-01 00:00:00.0</v>
      </c>
      <c r="K2381" t="s">
        <v>834</v>
      </c>
      <c r="L2381" t="s">
        <v>0</v>
      </c>
      <c r="M2381" t="str">
        <f t="shared" si="637"/>
        <v>048314</v>
      </c>
      <c r="N2381">
        <v>1</v>
      </c>
      <c r="O2381">
        <v>1</v>
      </c>
      <c r="P2381" t="str">
        <f>"06"</f>
        <v>06</v>
      </c>
      <c r="Q2381" t="s">
        <v>835</v>
      </c>
      <c r="S2381" t="s">
        <v>836</v>
      </c>
      <c r="T2381" t="s">
        <v>836</v>
      </c>
      <c r="U2381" t="str">
        <f t="shared" si="641"/>
        <v>2500-12-31 00:00:00.0</v>
      </c>
      <c r="V2381" t="s">
        <v>837</v>
      </c>
      <c r="W2381" t="str">
        <f>"048314-070417-**-**"</f>
        <v>048314-070417-**-**</v>
      </c>
      <c r="X2381" t="s">
        <v>838</v>
      </c>
      <c r="Y2381">
        <v>1125</v>
      </c>
      <c r="Z2381">
        <v>1125</v>
      </c>
      <c r="AA2381" t="str">
        <f t="shared" si="643"/>
        <v>06/08/2016</v>
      </c>
    </row>
    <row r="2382" spans="1:27" x14ac:dyDescent="0.3">
      <c r="A2382" t="str">
        <f t="shared" si="645"/>
        <v>048314</v>
      </c>
      <c r="B2382" t="str">
        <f t="shared" si="638"/>
        <v>070417</v>
      </c>
      <c r="C2382" t="s">
        <v>2646</v>
      </c>
      <c r="D2382" t="s">
        <v>3839</v>
      </c>
      <c r="E2382" t="s">
        <v>3840</v>
      </c>
      <c r="F2382" t="s">
        <v>3841</v>
      </c>
      <c r="G2382" t="s">
        <v>3842</v>
      </c>
      <c r="H2382" t="str">
        <f t="shared" si="644"/>
        <v>048314</v>
      </c>
      <c r="I2382" t="s">
        <v>833</v>
      </c>
      <c r="J2382" t="str">
        <f t="shared" si="647"/>
        <v>2015-07-01 00:00:00.0</v>
      </c>
      <c r="K2382" t="s">
        <v>834</v>
      </c>
      <c r="L2382" t="s">
        <v>0</v>
      </c>
      <c r="M2382" t="str">
        <f t="shared" si="637"/>
        <v>048314</v>
      </c>
      <c r="N2382">
        <v>1</v>
      </c>
      <c r="O2382">
        <v>1</v>
      </c>
      <c r="P2382" t="str">
        <f>"07"</f>
        <v>07</v>
      </c>
      <c r="Q2382" t="s">
        <v>835</v>
      </c>
      <c r="S2382" t="s">
        <v>836</v>
      </c>
      <c r="T2382" t="s">
        <v>836</v>
      </c>
      <c r="U2382" t="str">
        <f t="shared" si="641"/>
        <v>2500-12-31 00:00:00.0</v>
      </c>
      <c r="V2382" t="s">
        <v>837</v>
      </c>
      <c r="W2382" t="str">
        <f>"048314-070417-**-**"</f>
        <v>048314-070417-**-**</v>
      </c>
      <c r="X2382" t="s">
        <v>838</v>
      </c>
      <c r="Y2382">
        <v>1125</v>
      </c>
      <c r="Z2382">
        <v>1125</v>
      </c>
      <c r="AA2382" t="str">
        <f t="shared" si="643"/>
        <v>06/08/2016</v>
      </c>
    </row>
    <row r="2383" spans="1:27" x14ac:dyDescent="0.3">
      <c r="A2383" t="str">
        <f t="shared" si="645"/>
        <v>048314</v>
      </c>
      <c r="B2383" t="str">
        <f t="shared" si="638"/>
        <v>070417</v>
      </c>
      <c r="C2383" t="s">
        <v>2211</v>
      </c>
      <c r="D2383" t="s">
        <v>3839</v>
      </c>
      <c r="E2383" t="s">
        <v>3840</v>
      </c>
      <c r="F2383" t="s">
        <v>3841</v>
      </c>
      <c r="G2383" t="s">
        <v>3842</v>
      </c>
      <c r="H2383" t="str">
        <f t="shared" si="644"/>
        <v>048314</v>
      </c>
      <c r="I2383" t="s">
        <v>833</v>
      </c>
      <c r="J2383" t="str">
        <f t="shared" si="647"/>
        <v>2015-07-01 00:00:00.0</v>
      </c>
      <c r="K2383" t="s">
        <v>834</v>
      </c>
      <c r="L2383" t="s">
        <v>0</v>
      </c>
      <c r="M2383" t="str">
        <f t="shared" si="637"/>
        <v>048314</v>
      </c>
      <c r="N2383">
        <v>1</v>
      </c>
      <c r="O2383">
        <v>1</v>
      </c>
      <c r="P2383" t="str">
        <f>"09"</f>
        <v>09</v>
      </c>
      <c r="Q2383" t="s">
        <v>835</v>
      </c>
      <c r="S2383" t="s">
        <v>836</v>
      </c>
      <c r="T2383" t="s">
        <v>836</v>
      </c>
      <c r="U2383" t="str">
        <f t="shared" si="641"/>
        <v>2500-12-31 00:00:00.0</v>
      </c>
      <c r="V2383" t="s">
        <v>837</v>
      </c>
      <c r="W2383" t="str">
        <f>"048314-004796-**-**"</f>
        <v>048314-004796-**-**</v>
      </c>
      <c r="X2383" t="s">
        <v>838</v>
      </c>
      <c r="Y2383">
        <v>1254.5</v>
      </c>
      <c r="Z2383">
        <v>1254.5</v>
      </c>
      <c r="AA2383" t="str">
        <f t="shared" si="643"/>
        <v>06/08/2016</v>
      </c>
    </row>
    <row r="2384" spans="1:27" x14ac:dyDescent="0.3">
      <c r="A2384" t="str">
        <f t="shared" si="645"/>
        <v>048314</v>
      </c>
      <c r="B2384" t="str">
        <f t="shared" si="638"/>
        <v>070417</v>
      </c>
      <c r="C2384" t="s">
        <v>3139</v>
      </c>
      <c r="D2384" t="s">
        <v>3839</v>
      </c>
      <c r="E2384" t="s">
        <v>3840</v>
      </c>
      <c r="F2384" t="s">
        <v>3841</v>
      </c>
      <c r="G2384" t="s">
        <v>3842</v>
      </c>
      <c r="H2384" t="str">
        <f t="shared" si="644"/>
        <v>048314</v>
      </c>
      <c r="I2384" t="s">
        <v>833</v>
      </c>
      <c r="J2384" t="str">
        <f t="shared" si="647"/>
        <v>2015-07-01 00:00:00.0</v>
      </c>
      <c r="K2384" t="s">
        <v>834</v>
      </c>
      <c r="L2384" t="s">
        <v>0</v>
      </c>
      <c r="M2384" t="str">
        <f t="shared" si="637"/>
        <v>048314</v>
      </c>
      <c r="N2384">
        <v>0.70984499999999995</v>
      </c>
      <c r="O2384">
        <v>0.70984499999999995</v>
      </c>
      <c r="P2384" t="str">
        <f>"09"</f>
        <v>09</v>
      </c>
      <c r="Q2384" t="str">
        <f>"10"</f>
        <v>10</v>
      </c>
      <c r="R2384" t="str">
        <f>"2"</f>
        <v>2</v>
      </c>
      <c r="S2384" t="s">
        <v>836</v>
      </c>
      <c r="T2384" t="s">
        <v>836</v>
      </c>
      <c r="U2384" t="str">
        <f>"2016-03-18 00:00:00.0"</f>
        <v>2016-03-18 00:00:00.0</v>
      </c>
      <c r="V2384" t="s">
        <v>837</v>
      </c>
      <c r="W2384" t="str">
        <f>"048314-004796-**-**"</f>
        <v>048314-004796-**-**</v>
      </c>
      <c r="X2384" t="s">
        <v>838</v>
      </c>
      <c r="Y2384">
        <v>890.5</v>
      </c>
      <c r="Z2384">
        <v>1254.5</v>
      </c>
      <c r="AA2384" t="str">
        <f t="shared" si="643"/>
        <v>06/08/2016</v>
      </c>
    </row>
    <row r="2385" spans="1:27" x14ac:dyDescent="0.3">
      <c r="A2385" t="str">
        <f t="shared" si="645"/>
        <v>048314</v>
      </c>
      <c r="B2385" t="str">
        <f t="shared" si="638"/>
        <v>070417</v>
      </c>
      <c r="C2385" t="s">
        <v>1993</v>
      </c>
      <c r="D2385" t="s">
        <v>3839</v>
      </c>
      <c r="E2385" t="s">
        <v>3840</v>
      </c>
      <c r="F2385" t="s">
        <v>3841</v>
      </c>
      <c r="G2385" t="s">
        <v>3842</v>
      </c>
      <c r="H2385" t="str">
        <f>"048397"</f>
        <v>048397</v>
      </c>
      <c r="I2385" t="s">
        <v>833</v>
      </c>
      <c r="J2385" t="str">
        <f t="shared" si="647"/>
        <v>2015-07-01 00:00:00.0</v>
      </c>
      <c r="K2385" t="s">
        <v>834</v>
      </c>
      <c r="L2385" t="s">
        <v>1</v>
      </c>
      <c r="M2385" t="str">
        <f t="shared" si="637"/>
        <v>048314</v>
      </c>
      <c r="N2385">
        <v>1</v>
      </c>
      <c r="O2385">
        <v>1</v>
      </c>
      <c r="P2385" t="str">
        <f>"09"</f>
        <v>09</v>
      </c>
      <c r="Q2385" t="s">
        <v>835</v>
      </c>
      <c r="S2385" t="s">
        <v>836</v>
      </c>
      <c r="T2385" t="s">
        <v>836</v>
      </c>
      <c r="U2385" t="str">
        <f t="shared" ref="U2385:U2418" si="648">"2500-12-31 00:00:00.0"</f>
        <v>2500-12-31 00:00:00.0</v>
      </c>
      <c r="V2385" t="s">
        <v>837</v>
      </c>
      <c r="W2385" t="str">
        <f>"048397-042333-**-**"</f>
        <v>048397-042333-**-**</v>
      </c>
      <c r="X2385" t="s">
        <v>838</v>
      </c>
      <c r="Y2385">
        <v>1113.0999999999999</v>
      </c>
      <c r="Z2385">
        <v>1113.0999999999999</v>
      </c>
      <c r="AA2385" t="str">
        <f t="shared" si="643"/>
        <v>06/08/2016</v>
      </c>
    </row>
    <row r="2386" spans="1:27" x14ac:dyDescent="0.3">
      <c r="A2386" t="str">
        <f t="shared" si="645"/>
        <v>048314</v>
      </c>
      <c r="B2386" t="str">
        <f t="shared" si="638"/>
        <v>070417</v>
      </c>
      <c r="C2386" t="s">
        <v>2261</v>
      </c>
      <c r="D2386" t="s">
        <v>3839</v>
      </c>
      <c r="E2386" t="s">
        <v>3840</v>
      </c>
      <c r="F2386" t="s">
        <v>3841</v>
      </c>
      <c r="G2386" t="s">
        <v>3842</v>
      </c>
      <c r="H2386" t="str">
        <f t="shared" ref="H2386:H2405" si="649">"048314"</f>
        <v>048314</v>
      </c>
      <c r="I2386" t="s">
        <v>833</v>
      </c>
      <c r="J2386" t="str">
        <f t="shared" si="647"/>
        <v>2015-07-01 00:00:00.0</v>
      </c>
      <c r="K2386" t="s">
        <v>834</v>
      </c>
      <c r="L2386" t="s">
        <v>0</v>
      </c>
      <c r="M2386" t="str">
        <f t="shared" si="637"/>
        <v>048314</v>
      </c>
      <c r="N2386">
        <v>1</v>
      </c>
      <c r="O2386">
        <v>1</v>
      </c>
      <c r="P2386" t="str">
        <f>"08"</f>
        <v>08</v>
      </c>
      <c r="Q2386" t="s">
        <v>835</v>
      </c>
      <c r="S2386" t="s">
        <v>836</v>
      </c>
      <c r="T2386" t="s">
        <v>836</v>
      </c>
      <c r="U2386" t="str">
        <f t="shared" si="648"/>
        <v>2500-12-31 00:00:00.0</v>
      </c>
      <c r="V2386" t="s">
        <v>837</v>
      </c>
      <c r="W2386" t="str">
        <f>"048314-070417-**-**"</f>
        <v>048314-070417-**-**</v>
      </c>
      <c r="X2386" t="s">
        <v>838</v>
      </c>
      <c r="Y2386">
        <v>1125</v>
      </c>
      <c r="Z2386">
        <v>1125</v>
      </c>
      <c r="AA2386" t="str">
        <f t="shared" si="643"/>
        <v>06/08/2016</v>
      </c>
    </row>
    <row r="2387" spans="1:27" x14ac:dyDescent="0.3">
      <c r="A2387" t="str">
        <f t="shared" si="645"/>
        <v>048314</v>
      </c>
      <c r="B2387" t="str">
        <f t="shared" si="638"/>
        <v>070417</v>
      </c>
      <c r="C2387" t="s">
        <v>2350</v>
      </c>
      <c r="D2387" t="s">
        <v>3839</v>
      </c>
      <c r="E2387" t="s">
        <v>3840</v>
      </c>
      <c r="F2387" t="s">
        <v>3841</v>
      </c>
      <c r="G2387" t="s">
        <v>3842</v>
      </c>
      <c r="H2387" t="str">
        <f t="shared" si="649"/>
        <v>048314</v>
      </c>
      <c r="I2387" t="s">
        <v>833</v>
      </c>
      <c r="J2387" t="str">
        <f t="shared" si="647"/>
        <v>2015-07-01 00:00:00.0</v>
      </c>
      <c r="K2387" t="s">
        <v>834</v>
      </c>
      <c r="L2387" t="s">
        <v>0</v>
      </c>
      <c r="M2387" t="str">
        <f t="shared" si="637"/>
        <v>048314</v>
      </c>
      <c r="N2387">
        <v>1</v>
      </c>
      <c r="O2387">
        <v>1</v>
      </c>
      <c r="P2387" t="str">
        <f>"07"</f>
        <v>07</v>
      </c>
      <c r="Q2387" t="s">
        <v>835</v>
      </c>
      <c r="S2387" t="s">
        <v>836</v>
      </c>
      <c r="T2387" t="s">
        <v>836</v>
      </c>
      <c r="U2387" t="str">
        <f t="shared" si="648"/>
        <v>2500-12-31 00:00:00.0</v>
      </c>
      <c r="V2387" t="s">
        <v>837</v>
      </c>
      <c r="W2387" t="str">
        <f>"048314-070417-**-**"</f>
        <v>048314-070417-**-**</v>
      </c>
      <c r="X2387" t="s">
        <v>838</v>
      </c>
      <c r="Y2387">
        <v>1125</v>
      </c>
      <c r="Z2387">
        <v>1125</v>
      </c>
      <c r="AA2387" t="str">
        <f t="shared" si="643"/>
        <v>06/08/2016</v>
      </c>
    </row>
    <row r="2388" spans="1:27" x14ac:dyDescent="0.3">
      <c r="A2388" t="str">
        <f t="shared" si="645"/>
        <v>048314</v>
      </c>
      <c r="B2388" t="str">
        <f t="shared" si="638"/>
        <v>070417</v>
      </c>
      <c r="C2388" t="s">
        <v>2647</v>
      </c>
      <c r="D2388" t="s">
        <v>3839</v>
      </c>
      <c r="E2388" t="s">
        <v>3840</v>
      </c>
      <c r="F2388" t="s">
        <v>3841</v>
      </c>
      <c r="G2388" t="s">
        <v>3842</v>
      </c>
      <c r="H2388" t="str">
        <f t="shared" si="649"/>
        <v>048314</v>
      </c>
      <c r="I2388" t="s">
        <v>833</v>
      </c>
      <c r="J2388" t="str">
        <f t="shared" si="647"/>
        <v>2015-07-01 00:00:00.0</v>
      </c>
      <c r="K2388" t="s">
        <v>834</v>
      </c>
      <c r="L2388" t="s">
        <v>0</v>
      </c>
      <c r="M2388" t="str">
        <f t="shared" si="637"/>
        <v>048314</v>
      </c>
      <c r="N2388">
        <v>1</v>
      </c>
      <c r="O2388">
        <v>1</v>
      </c>
      <c r="P2388" t="str">
        <f>"06"</f>
        <v>06</v>
      </c>
      <c r="Q2388" t="s">
        <v>835</v>
      </c>
      <c r="S2388" t="s">
        <v>836</v>
      </c>
      <c r="T2388" t="s">
        <v>836</v>
      </c>
      <c r="U2388" t="str">
        <f t="shared" si="648"/>
        <v>2500-12-31 00:00:00.0</v>
      </c>
      <c r="V2388" t="s">
        <v>837</v>
      </c>
      <c r="W2388" t="str">
        <f>"048314-070417-**-**"</f>
        <v>048314-070417-**-**</v>
      </c>
      <c r="X2388" t="s">
        <v>838</v>
      </c>
      <c r="Y2388">
        <v>1125</v>
      </c>
      <c r="Z2388">
        <v>1125</v>
      </c>
      <c r="AA2388" t="str">
        <f t="shared" si="643"/>
        <v>06/08/2016</v>
      </c>
    </row>
    <row r="2389" spans="1:27" x14ac:dyDescent="0.3">
      <c r="A2389" t="str">
        <f t="shared" si="645"/>
        <v>048314</v>
      </c>
      <c r="B2389" t="str">
        <f t="shared" si="638"/>
        <v>070417</v>
      </c>
      <c r="C2389" t="s">
        <v>1808</v>
      </c>
      <c r="D2389" t="s">
        <v>3839</v>
      </c>
      <c r="E2389" t="s">
        <v>3840</v>
      </c>
      <c r="F2389" t="s">
        <v>3841</v>
      </c>
      <c r="G2389" t="s">
        <v>3842</v>
      </c>
      <c r="H2389" t="str">
        <f t="shared" si="649"/>
        <v>048314</v>
      </c>
      <c r="I2389" t="s">
        <v>833</v>
      </c>
      <c r="J2389" t="str">
        <f t="shared" si="647"/>
        <v>2015-07-01 00:00:00.0</v>
      </c>
      <c r="K2389" t="s">
        <v>834</v>
      </c>
      <c r="L2389" t="s">
        <v>0</v>
      </c>
      <c r="M2389" t="str">
        <f t="shared" si="637"/>
        <v>048314</v>
      </c>
      <c r="N2389">
        <v>1</v>
      </c>
      <c r="O2389">
        <v>1</v>
      </c>
      <c r="P2389" t="str">
        <f>"09"</f>
        <v>09</v>
      </c>
      <c r="Q2389" t="str">
        <f>"09"</f>
        <v>09</v>
      </c>
      <c r="R2389" t="str">
        <f>"2"</f>
        <v>2</v>
      </c>
      <c r="S2389" t="s">
        <v>860</v>
      </c>
      <c r="T2389" t="s">
        <v>836</v>
      </c>
      <c r="U2389" t="str">
        <f t="shared" si="648"/>
        <v>2500-12-31 00:00:00.0</v>
      </c>
      <c r="V2389" t="s">
        <v>837</v>
      </c>
      <c r="W2389" t="str">
        <f>"048314-004796-**-**"</f>
        <v>048314-004796-**-**</v>
      </c>
      <c r="X2389" t="s">
        <v>838</v>
      </c>
      <c r="Y2389">
        <v>1254.5</v>
      </c>
      <c r="Z2389">
        <v>1254.5</v>
      </c>
      <c r="AA2389" t="str">
        <f t="shared" si="643"/>
        <v>06/08/2016</v>
      </c>
    </row>
    <row r="2390" spans="1:27" x14ac:dyDescent="0.3">
      <c r="A2390" t="str">
        <f t="shared" si="645"/>
        <v>048314</v>
      </c>
      <c r="B2390" t="str">
        <f t="shared" si="638"/>
        <v>070417</v>
      </c>
      <c r="C2390" t="s">
        <v>2351</v>
      </c>
      <c r="D2390" t="s">
        <v>3839</v>
      </c>
      <c r="E2390" t="s">
        <v>3840</v>
      </c>
      <c r="F2390" t="s">
        <v>3841</v>
      </c>
      <c r="G2390" t="s">
        <v>3842</v>
      </c>
      <c r="H2390" t="str">
        <f t="shared" si="649"/>
        <v>048314</v>
      </c>
      <c r="I2390" t="s">
        <v>833</v>
      </c>
      <c r="J2390" t="str">
        <f t="shared" si="647"/>
        <v>2015-07-01 00:00:00.0</v>
      </c>
      <c r="K2390" t="s">
        <v>834</v>
      </c>
      <c r="L2390" t="s">
        <v>0</v>
      </c>
      <c r="M2390" t="str">
        <f t="shared" si="637"/>
        <v>048314</v>
      </c>
      <c r="N2390">
        <v>1</v>
      </c>
      <c r="O2390">
        <v>1</v>
      </c>
      <c r="P2390" t="str">
        <f>"07"</f>
        <v>07</v>
      </c>
      <c r="Q2390" t="s">
        <v>835</v>
      </c>
      <c r="S2390" t="s">
        <v>836</v>
      </c>
      <c r="T2390" t="s">
        <v>836</v>
      </c>
      <c r="U2390" t="str">
        <f t="shared" si="648"/>
        <v>2500-12-31 00:00:00.0</v>
      </c>
      <c r="V2390" t="s">
        <v>837</v>
      </c>
      <c r="W2390" t="str">
        <f>"048314-070417-**-**"</f>
        <v>048314-070417-**-**</v>
      </c>
      <c r="X2390" t="s">
        <v>838</v>
      </c>
      <c r="Y2390">
        <v>1125</v>
      </c>
      <c r="Z2390">
        <v>1125</v>
      </c>
      <c r="AA2390" t="str">
        <f t="shared" si="643"/>
        <v>06/08/2016</v>
      </c>
    </row>
    <row r="2391" spans="1:27" x14ac:dyDescent="0.3">
      <c r="A2391" t="str">
        <f t="shared" si="645"/>
        <v>048314</v>
      </c>
      <c r="B2391" t="str">
        <f t="shared" si="638"/>
        <v>070417</v>
      </c>
      <c r="C2391" t="s">
        <v>2388</v>
      </c>
      <c r="D2391" t="s">
        <v>3839</v>
      </c>
      <c r="E2391" t="s">
        <v>3840</v>
      </c>
      <c r="F2391" t="s">
        <v>3841</v>
      </c>
      <c r="G2391" t="s">
        <v>3842</v>
      </c>
      <c r="H2391" t="str">
        <f t="shared" si="649"/>
        <v>048314</v>
      </c>
      <c r="I2391" t="s">
        <v>833</v>
      </c>
      <c r="J2391" t="str">
        <f t="shared" si="647"/>
        <v>2015-07-01 00:00:00.0</v>
      </c>
      <c r="K2391" t="s">
        <v>834</v>
      </c>
      <c r="L2391" t="s">
        <v>0</v>
      </c>
      <c r="M2391" t="str">
        <f t="shared" si="637"/>
        <v>048314</v>
      </c>
      <c r="N2391">
        <v>1</v>
      </c>
      <c r="O2391">
        <v>1</v>
      </c>
      <c r="P2391" t="str">
        <f>"07"</f>
        <v>07</v>
      </c>
      <c r="Q2391" t="s">
        <v>835</v>
      </c>
      <c r="S2391" t="s">
        <v>836</v>
      </c>
      <c r="T2391" t="s">
        <v>836</v>
      </c>
      <c r="U2391" t="str">
        <f t="shared" si="648"/>
        <v>2500-12-31 00:00:00.0</v>
      </c>
      <c r="V2391" t="s">
        <v>837</v>
      </c>
      <c r="W2391" t="str">
        <f>"048314-070417-**-**"</f>
        <v>048314-070417-**-**</v>
      </c>
      <c r="X2391" t="s">
        <v>838</v>
      </c>
      <c r="Y2391">
        <v>1125</v>
      </c>
      <c r="Z2391">
        <v>1125</v>
      </c>
      <c r="AA2391" t="str">
        <f t="shared" si="643"/>
        <v>06/08/2016</v>
      </c>
    </row>
    <row r="2392" spans="1:27" x14ac:dyDescent="0.3">
      <c r="A2392" t="str">
        <f t="shared" si="645"/>
        <v>048314</v>
      </c>
      <c r="B2392" t="str">
        <f t="shared" si="638"/>
        <v>070417</v>
      </c>
      <c r="C2392" t="s">
        <v>1869</v>
      </c>
      <c r="D2392" t="s">
        <v>3839</v>
      </c>
      <c r="E2392" t="s">
        <v>3840</v>
      </c>
      <c r="F2392" t="s">
        <v>3841</v>
      </c>
      <c r="G2392" t="s">
        <v>3842</v>
      </c>
      <c r="H2392" t="str">
        <f t="shared" si="649"/>
        <v>048314</v>
      </c>
      <c r="I2392" t="s">
        <v>833</v>
      </c>
      <c r="J2392" t="str">
        <f t="shared" si="647"/>
        <v>2015-07-01 00:00:00.0</v>
      </c>
      <c r="K2392" t="s">
        <v>834</v>
      </c>
      <c r="L2392" t="s">
        <v>0</v>
      </c>
      <c r="M2392" t="str">
        <f t="shared" si="637"/>
        <v>048314</v>
      </c>
      <c r="N2392">
        <v>1</v>
      </c>
      <c r="O2392">
        <v>1</v>
      </c>
      <c r="P2392" t="str">
        <f>"09"</f>
        <v>09</v>
      </c>
      <c r="Q2392" t="str">
        <f>"10"</f>
        <v>10</v>
      </c>
      <c r="R2392" t="str">
        <f>"2"</f>
        <v>2</v>
      </c>
      <c r="S2392" t="s">
        <v>836</v>
      </c>
      <c r="T2392" t="s">
        <v>836</v>
      </c>
      <c r="U2392" t="str">
        <f t="shared" si="648"/>
        <v>2500-12-31 00:00:00.0</v>
      </c>
      <c r="V2392" t="s">
        <v>837</v>
      </c>
      <c r="W2392" t="str">
        <f>"048314-004796-**-**"</f>
        <v>048314-004796-**-**</v>
      </c>
      <c r="X2392" t="s">
        <v>838</v>
      </c>
      <c r="Y2392">
        <v>1254.5</v>
      </c>
      <c r="Z2392">
        <v>1254.5</v>
      </c>
      <c r="AA2392" t="str">
        <f t="shared" si="643"/>
        <v>06/08/2016</v>
      </c>
    </row>
    <row r="2393" spans="1:27" x14ac:dyDescent="0.3">
      <c r="A2393" t="str">
        <f t="shared" si="645"/>
        <v>048314</v>
      </c>
      <c r="B2393" t="str">
        <f t="shared" si="638"/>
        <v>070417</v>
      </c>
      <c r="C2393" t="s">
        <v>2421</v>
      </c>
      <c r="D2393" t="s">
        <v>3839</v>
      </c>
      <c r="E2393" t="s">
        <v>3840</v>
      </c>
      <c r="F2393" t="s">
        <v>3841</v>
      </c>
      <c r="G2393" t="s">
        <v>3842</v>
      </c>
      <c r="H2393" t="str">
        <f t="shared" si="649"/>
        <v>048314</v>
      </c>
      <c r="I2393" t="s">
        <v>833</v>
      </c>
      <c r="J2393" t="str">
        <f t="shared" si="647"/>
        <v>2015-07-01 00:00:00.0</v>
      </c>
      <c r="K2393" t="s">
        <v>834</v>
      </c>
      <c r="L2393" t="s">
        <v>0</v>
      </c>
      <c r="M2393" t="str">
        <f t="shared" ref="M2393:M2448" si="650">"048314"</f>
        <v>048314</v>
      </c>
      <c r="N2393">
        <v>1</v>
      </c>
      <c r="O2393">
        <v>1</v>
      </c>
      <c r="P2393" t="str">
        <f>"07"</f>
        <v>07</v>
      </c>
      <c r="Q2393" t="s">
        <v>835</v>
      </c>
      <c r="S2393" t="s">
        <v>836</v>
      </c>
      <c r="T2393" t="s">
        <v>836</v>
      </c>
      <c r="U2393" t="str">
        <f t="shared" si="648"/>
        <v>2500-12-31 00:00:00.0</v>
      </c>
      <c r="V2393" t="s">
        <v>837</v>
      </c>
      <c r="W2393" t="str">
        <f>"048314-070417-**-**"</f>
        <v>048314-070417-**-**</v>
      </c>
      <c r="X2393" t="s">
        <v>838</v>
      </c>
      <c r="Y2393">
        <v>1125</v>
      </c>
      <c r="Z2393">
        <v>1125</v>
      </c>
      <c r="AA2393" t="str">
        <f t="shared" si="643"/>
        <v>06/08/2016</v>
      </c>
    </row>
    <row r="2394" spans="1:27" x14ac:dyDescent="0.3">
      <c r="A2394" t="str">
        <f t="shared" si="645"/>
        <v>048314</v>
      </c>
      <c r="B2394" t="str">
        <f t="shared" si="638"/>
        <v>070417</v>
      </c>
      <c r="C2394" t="s">
        <v>1931</v>
      </c>
      <c r="D2394" t="s">
        <v>3839</v>
      </c>
      <c r="E2394" t="s">
        <v>3840</v>
      </c>
      <c r="F2394" t="s">
        <v>3841</v>
      </c>
      <c r="G2394" t="s">
        <v>3842</v>
      </c>
      <c r="H2394" t="str">
        <f t="shared" si="649"/>
        <v>048314</v>
      </c>
      <c r="I2394" t="s">
        <v>833</v>
      </c>
      <c r="J2394" t="str">
        <f t="shared" si="647"/>
        <v>2015-07-01 00:00:00.0</v>
      </c>
      <c r="K2394" t="s">
        <v>834</v>
      </c>
      <c r="L2394" t="s">
        <v>0</v>
      </c>
      <c r="M2394" t="str">
        <f t="shared" si="650"/>
        <v>048314</v>
      </c>
      <c r="N2394">
        <v>1</v>
      </c>
      <c r="O2394">
        <v>1</v>
      </c>
      <c r="P2394" t="str">
        <f>"09"</f>
        <v>09</v>
      </c>
      <c r="Q2394" t="s">
        <v>835</v>
      </c>
      <c r="S2394" t="s">
        <v>836</v>
      </c>
      <c r="T2394" t="s">
        <v>836</v>
      </c>
      <c r="U2394" t="str">
        <f t="shared" si="648"/>
        <v>2500-12-31 00:00:00.0</v>
      </c>
      <c r="V2394" t="s">
        <v>837</v>
      </c>
      <c r="W2394" t="str">
        <f>"048314-004796-**-**"</f>
        <v>048314-004796-**-**</v>
      </c>
      <c r="X2394" t="s">
        <v>838</v>
      </c>
      <c r="Y2394">
        <v>1254.5</v>
      </c>
      <c r="Z2394">
        <v>1254.5</v>
      </c>
      <c r="AA2394" t="str">
        <f t="shared" si="643"/>
        <v>06/08/2016</v>
      </c>
    </row>
    <row r="2395" spans="1:27" x14ac:dyDescent="0.3">
      <c r="A2395" t="str">
        <f t="shared" si="645"/>
        <v>048314</v>
      </c>
      <c r="B2395" t="str">
        <f t="shared" si="638"/>
        <v>070417</v>
      </c>
      <c r="C2395" t="s">
        <v>2238</v>
      </c>
      <c r="D2395" t="s">
        <v>3839</v>
      </c>
      <c r="E2395" t="s">
        <v>3840</v>
      </c>
      <c r="F2395" t="s">
        <v>3841</v>
      </c>
      <c r="G2395" t="s">
        <v>3842</v>
      </c>
      <c r="H2395" t="str">
        <f t="shared" si="649"/>
        <v>048314</v>
      </c>
      <c r="I2395" t="s">
        <v>833</v>
      </c>
      <c r="J2395" t="str">
        <f t="shared" si="647"/>
        <v>2015-07-01 00:00:00.0</v>
      </c>
      <c r="K2395" t="s">
        <v>834</v>
      </c>
      <c r="L2395" t="s">
        <v>0</v>
      </c>
      <c r="M2395" t="str">
        <f t="shared" si="650"/>
        <v>048314</v>
      </c>
      <c r="N2395">
        <v>1</v>
      </c>
      <c r="O2395">
        <v>1</v>
      </c>
      <c r="P2395" t="str">
        <f>"08"</f>
        <v>08</v>
      </c>
      <c r="Q2395" t="s">
        <v>835</v>
      </c>
      <c r="S2395" t="s">
        <v>836</v>
      </c>
      <c r="T2395" t="s">
        <v>836</v>
      </c>
      <c r="U2395" t="str">
        <f t="shared" si="648"/>
        <v>2500-12-31 00:00:00.0</v>
      </c>
      <c r="V2395" t="s">
        <v>837</v>
      </c>
      <c r="W2395" t="str">
        <f t="shared" ref="W2395:W2402" si="651">"048314-070417-**-**"</f>
        <v>048314-070417-**-**</v>
      </c>
      <c r="X2395" t="s">
        <v>838</v>
      </c>
      <c r="Y2395">
        <v>1125</v>
      </c>
      <c r="Z2395">
        <v>1125</v>
      </c>
      <c r="AA2395" t="str">
        <f t="shared" si="643"/>
        <v>06/08/2016</v>
      </c>
    </row>
    <row r="2396" spans="1:27" x14ac:dyDescent="0.3">
      <c r="A2396" t="str">
        <f t="shared" si="645"/>
        <v>048314</v>
      </c>
      <c r="B2396" t="str">
        <f t="shared" si="638"/>
        <v>070417</v>
      </c>
      <c r="C2396" t="s">
        <v>2648</v>
      </c>
      <c r="D2396" t="s">
        <v>3839</v>
      </c>
      <c r="E2396" t="s">
        <v>3840</v>
      </c>
      <c r="F2396" t="s">
        <v>3841</v>
      </c>
      <c r="G2396" t="s">
        <v>3842</v>
      </c>
      <c r="H2396" t="str">
        <f t="shared" si="649"/>
        <v>048314</v>
      </c>
      <c r="I2396" t="s">
        <v>833</v>
      </c>
      <c r="J2396" t="str">
        <f t="shared" si="647"/>
        <v>2015-07-01 00:00:00.0</v>
      </c>
      <c r="K2396" t="s">
        <v>834</v>
      </c>
      <c r="L2396" t="s">
        <v>0</v>
      </c>
      <c r="M2396" t="str">
        <f t="shared" si="650"/>
        <v>048314</v>
      </c>
      <c r="N2396">
        <v>1</v>
      </c>
      <c r="O2396">
        <v>1</v>
      </c>
      <c r="P2396" t="str">
        <f>"06"</f>
        <v>06</v>
      </c>
      <c r="Q2396" t="s">
        <v>835</v>
      </c>
      <c r="S2396" t="s">
        <v>836</v>
      </c>
      <c r="T2396" t="s">
        <v>836</v>
      </c>
      <c r="U2396" t="str">
        <f t="shared" si="648"/>
        <v>2500-12-31 00:00:00.0</v>
      </c>
      <c r="V2396" t="s">
        <v>837</v>
      </c>
      <c r="W2396" t="str">
        <f t="shared" si="651"/>
        <v>048314-070417-**-**</v>
      </c>
      <c r="X2396" t="s">
        <v>838</v>
      </c>
      <c r="Y2396">
        <v>1125</v>
      </c>
      <c r="Z2396">
        <v>1125</v>
      </c>
      <c r="AA2396" t="str">
        <f t="shared" si="643"/>
        <v>06/08/2016</v>
      </c>
    </row>
    <row r="2397" spans="1:27" x14ac:dyDescent="0.3">
      <c r="A2397" t="str">
        <f t="shared" si="645"/>
        <v>048314</v>
      </c>
      <c r="B2397" t="str">
        <f t="shared" si="638"/>
        <v>070417</v>
      </c>
      <c r="C2397" t="s">
        <v>2212</v>
      </c>
      <c r="D2397" t="s">
        <v>3839</v>
      </c>
      <c r="E2397" t="s">
        <v>3840</v>
      </c>
      <c r="F2397" t="s">
        <v>3841</v>
      </c>
      <c r="G2397" t="s">
        <v>3842</v>
      </c>
      <c r="H2397" t="str">
        <f t="shared" si="649"/>
        <v>048314</v>
      </c>
      <c r="I2397" t="s">
        <v>833</v>
      </c>
      <c r="J2397" t="str">
        <f t="shared" si="647"/>
        <v>2015-07-01 00:00:00.0</v>
      </c>
      <c r="K2397" t="s">
        <v>834</v>
      </c>
      <c r="L2397" t="s">
        <v>0</v>
      </c>
      <c r="M2397" t="str">
        <f t="shared" si="650"/>
        <v>048314</v>
      </c>
      <c r="N2397">
        <v>1</v>
      </c>
      <c r="O2397">
        <v>1</v>
      </c>
      <c r="P2397" t="str">
        <f>"08"</f>
        <v>08</v>
      </c>
      <c r="Q2397" t="s">
        <v>835</v>
      </c>
      <c r="S2397" t="s">
        <v>836</v>
      </c>
      <c r="T2397" t="s">
        <v>836</v>
      </c>
      <c r="U2397" t="str">
        <f t="shared" si="648"/>
        <v>2500-12-31 00:00:00.0</v>
      </c>
      <c r="V2397" t="s">
        <v>837</v>
      </c>
      <c r="W2397" t="str">
        <f t="shared" si="651"/>
        <v>048314-070417-**-**</v>
      </c>
      <c r="X2397" t="s">
        <v>838</v>
      </c>
      <c r="Y2397">
        <v>1125</v>
      </c>
      <c r="Z2397">
        <v>1125</v>
      </c>
      <c r="AA2397" t="str">
        <f t="shared" si="643"/>
        <v>06/08/2016</v>
      </c>
    </row>
    <row r="2398" spans="1:27" x14ac:dyDescent="0.3">
      <c r="A2398" t="str">
        <f t="shared" si="645"/>
        <v>048314</v>
      </c>
      <c r="B2398" t="str">
        <f t="shared" si="638"/>
        <v>070417</v>
      </c>
      <c r="C2398" t="s">
        <v>2649</v>
      </c>
      <c r="D2398" t="s">
        <v>3839</v>
      </c>
      <c r="E2398" t="s">
        <v>3840</v>
      </c>
      <c r="F2398" t="s">
        <v>3841</v>
      </c>
      <c r="G2398" t="s">
        <v>3842</v>
      </c>
      <c r="H2398" t="str">
        <f t="shared" si="649"/>
        <v>048314</v>
      </c>
      <c r="I2398" t="s">
        <v>833</v>
      </c>
      <c r="J2398" t="str">
        <f t="shared" si="647"/>
        <v>2015-07-01 00:00:00.0</v>
      </c>
      <c r="K2398" t="s">
        <v>834</v>
      </c>
      <c r="L2398" t="s">
        <v>0</v>
      </c>
      <c r="M2398" t="str">
        <f t="shared" si="650"/>
        <v>048314</v>
      </c>
      <c r="N2398">
        <v>1</v>
      </c>
      <c r="O2398">
        <v>1</v>
      </c>
      <c r="P2398" t="str">
        <f>"06"</f>
        <v>06</v>
      </c>
      <c r="Q2398" t="s">
        <v>835</v>
      </c>
      <c r="S2398" t="s">
        <v>836</v>
      </c>
      <c r="T2398" t="s">
        <v>836</v>
      </c>
      <c r="U2398" t="str">
        <f t="shared" si="648"/>
        <v>2500-12-31 00:00:00.0</v>
      </c>
      <c r="V2398" t="s">
        <v>837</v>
      </c>
      <c r="W2398" t="str">
        <f t="shared" si="651"/>
        <v>048314-070417-**-**</v>
      </c>
      <c r="X2398" t="s">
        <v>838</v>
      </c>
      <c r="Y2398">
        <v>1125</v>
      </c>
      <c r="Z2398">
        <v>1125</v>
      </c>
      <c r="AA2398" t="str">
        <f t="shared" si="643"/>
        <v>06/08/2016</v>
      </c>
    </row>
    <row r="2399" spans="1:27" x14ac:dyDescent="0.3">
      <c r="A2399" t="str">
        <f t="shared" si="645"/>
        <v>048314</v>
      </c>
      <c r="B2399" t="str">
        <f t="shared" si="638"/>
        <v>070417</v>
      </c>
      <c r="C2399" t="s">
        <v>2270</v>
      </c>
      <c r="D2399" t="s">
        <v>3839</v>
      </c>
      <c r="E2399" t="s">
        <v>3840</v>
      </c>
      <c r="F2399" t="s">
        <v>3841</v>
      </c>
      <c r="G2399" t="s">
        <v>3842</v>
      </c>
      <c r="H2399" t="str">
        <f t="shared" si="649"/>
        <v>048314</v>
      </c>
      <c r="I2399" t="s">
        <v>833</v>
      </c>
      <c r="J2399" t="str">
        <f t="shared" si="647"/>
        <v>2015-07-01 00:00:00.0</v>
      </c>
      <c r="K2399" t="s">
        <v>834</v>
      </c>
      <c r="L2399" t="s">
        <v>0</v>
      </c>
      <c r="M2399" t="str">
        <f t="shared" si="650"/>
        <v>048314</v>
      </c>
      <c r="N2399">
        <v>1</v>
      </c>
      <c r="O2399">
        <v>1</v>
      </c>
      <c r="P2399" t="str">
        <f>"08"</f>
        <v>08</v>
      </c>
      <c r="Q2399" t="s">
        <v>835</v>
      </c>
      <c r="S2399" t="s">
        <v>836</v>
      </c>
      <c r="T2399" t="s">
        <v>836</v>
      </c>
      <c r="U2399" t="str">
        <f t="shared" si="648"/>
        <v>2500-12-31 00:00:00.0</v>
      </c>
      <c r="V2399" t="s">
        <v>837</v>
      </c>
      <c r="W2399" t="str">
        <f t="shared" si="651"/>
        <v>048314-070417-**-**</v>
      </c>
      <c r="X2399" t="s">
        <v>838</v>
      </c>
      <c r="Y2399">
        <v>1125</v>
      </c>
      <c r="Z2399">
        <v>1125</v>
      </c>
      <c r="AA2399" t="str">
        <f t="shared" si="643"/>
        <v>06/08/2016</v>
      </c>
    </row>
    <row r="2400" spans="1:27" x14ac:dyDescent="0.3">
      <c r="A2400" t="str">
        <f t="shared" si="645"/>
        <v>048314</v>
      </c>
      <c r="B2400" t="str">
        <f t="shared" si="638"/>
        <v>070417</v>
      </c>
      <c r="C2400" t="s">
        <v>2650</v>
      </c>
      <c r="D2400" t="s">
        <v>3839</v>
      </c>
      <c r="E2400" t="s">
        <v>3840</v>
      </c>
      <c r="F2400" t="s">
        <v>3841</v>
      </c>
      <c r="G2400" t="s">
        <v>3842</v>
      </c>
      <c r="H2400" t="str">
        <f t="shared" si="649"/>
        <v>048314</v>
      </c>
      <c r="I2400" t="s">
        <v>833</v>
      </c>
      <c r="J2400" t="str">
        <f t="shared" si="647"/>
        <v>2015-07-01 00:00:00.0</v>
      </c>
      <c r="K2400" t="s">
        <v>834</v>
      </c>
      <c r="L2400" t="s">
        <v>0</v>
      </c>
      <c r="M2400" t="str">
        <f t="shared" si="650"/>
        <v>048314</v>
      </c>
      <c r="N2400">
        <v>1</v>
      </c>
      <c r="O2400">
        <v>1</v>
      </c>
      <c r="P2400" t="str">
        <f>"06"</f>
        <v>06</v>
      </c>
      <c r="Q2400" t="s">
        <v>835</v>
      </c>
      <c r="S2400" t="s">
        <v>836</v>
      </c>
      <c r="T2400" t="s">
        <v>836</v>
      </c>
      <c r="U2400" t="str">
        <f t="shared" si="648"/>
        <v>2500-12-31 00:00:00.0</v>
      </c>
      <c r="V2400" t="s">
        <v>837</v>
      </c>
      <c r="W2400" t="str">
        <f t="shared" si="651"/>
        <v>048314-070417-**-**</v>
      </c>
      <c r="X2400" t="s">
        <v>838</v>
      </c>
      <c r="Y2400">
        <v>1125</v>
      </c>
      <c r="Z2400">
        <v>1125</v>
      </c>
      <c r="AA2400" t="str">
        <f t="shared" si="643"/>
        <v>06/08/2016</v>
      </c>
    </row>
    <row r="2401" spans="1:27" x14ac:dyDescent="0.3">
      <c r="A2401" t="str">
        <f t="shared" si="645"/>
        <v>048314</v>
      </c>
      <c r="B2401" t="str">
        <f t="shared" si="638"/>
        <v>070417</v>
      </c>
      <c r="C2401" t="s">
        <v>2571</v>
      </c>
      <c r="D2401" t="s">
        <v>3839</v>
      </c>
      <c r="E2401" t="s">
        <v>3840</v>
      </c>
      <c r="F2401" t="s">
        <v>3841</v>
      </c>
      <c r="G2401" t="s">
        <v>3842</v>
      </c>
      <c r="H2401" t="str">
        <f t="shared" si="649"/>
        <v>048314</v>
      </c>
      <c r="I2401" t="s">
        <v>833</v>
      </c>
      <c r="J2401" t="str">
        <f t="shared" si="647"/>
        <v>2015-07-01 00:00:00.0</v>
      </c>
      <c r="K2401" t="s">
        <v>834</v>
      </c>
      <c r="L2401" t="s">
        <v>0</v>
      </c>
      <c r="M2401" t="str">
        <f t="shared" si="650"/>
        <v>048314</v>
      </c>
      <c r="N2401">
        <v>1</v>
      </c>
      <c r="O2401">
        <v>1</v>
      </c>
      <c r="P2401" t="str">
        <f>"06"</f>
        <v>06</v>
      </c>
      <c r="Q2401" t="s">
        <v>835</v>
      </c>
      <c r="S2401" t="s">
        <v>836</v>
      </c>
      <c r="T2401" t="s">
        <v>836</v>
      </c>
      <c r="U2401" t="str">
        <f t="shared" si="648"/>
        <v>2500-12-31 00:00:00.0</v>
      </c>
      <c r="V2401" t="s">
        <v>837</v>
      </c>
      <c r="W2401" t="str">
        <f t="shared" si="651"/>
        <v>048314-070417-**-**</v>
      </c>
      <c r="X2401" t="s">
        <v>838</v>
      </c>
      <c r="Y2401">
        <v>1125</v>
      </c>
      <c r="Z2401">
        <v>1125</v>
      </c>
      <c r="AA2401" t="str">
        <f t="shared" si="643"/>
        <v>06/08/2016</v>
      </c>
    </row>
    <row r="2402" spans="1:27" x14ac:dyDescent="0.3">
      <c r="A2402" t="str">
        <f t="shared" si="645"/>
        <v>048314</v>
      </c>
      <c r="B2402" t="str">
        <f t="shared" si="638"/>
        <v>070417</v>
      </c>
      <c r="C2402" t="s">
        <v>2352</v>
      </c>
      <c r="D2402" t="s">
        <v>3839</v>
      </c>
      <c r="E2402" t="s">
        <v>3840</v>
      </c>
      <c r="F2402" t="s">
        <v>3841</v>
      </c>
      <c r="G2402" t="s">
        <v>3842</v>
      </c>
      <c r="H2402" t="str">
        <f t="shared" si="649"/>
        <v>048314</v>
      </c>
      <c r="I2402" t="s">
        <v>833</v>
      </c>
      <c r="J2402" t="str">
        <f t="shared" si="647"/>
        <v>2015-07-01 00:00:00.0</v>
      </c>
      <c r="K2402" t="s">
        <v>834</v>
      </c>
      <c r="L2402" t="s">
        <v>0</v>
      </c>
      <c r="M2402" t="str">
        <f t="shared" si="650"/>
        <v>048314</v>
      </c>
      <c r="N2402">
        <v>1</v>
      </c>
      <c r="O2402">
        <v>1</v>
      </c>
      <c r="P2402" t="str">
        <f>"07"</f>
        <v>07</v>
      </c>
      <c r="Q2402" t="s">
        <v>835</v>
      </c>
      <c r="S2402" t="s">
        <v>836</v>
      </c>
      <c r="T2402" t="s">
        <v>836</v>
      </c>
      <c r="U2402" t="str">
        <f t="shared" si="648"/>
        <v>2500-12-31 00:00:00.0</v>
      </c>
      <c r="V2402" t="s">
        <v>837</v>
      </c>
      <c r="W2402" t="str">
        <f t="shared" si="651"/>
        <v>048314-070417-**-**</v>
      </c>
      <c r="X2402" t="s">
        <v>838</v>
      </c>
      <c r="Y2402">
        <v>1125</v>
      </c>
      <c r="Z2402">
        <v>1125</v>
      </c>
      <c r="AA2402" t="str">
        <f t="shared" si="643"/>
        <v>06/08/2016</v>
      </c>
    </row>
    <row r="2403" spans="1:27" x14ac:dyDescent="0.3">
      <c r="A2403" t="str">
        <f t="shared" si="645"/>
        <v>048314</v>
      </c>
      <c r="B2403" t="str">
        <f t="shared" si="638"/>
        <v>070417</v>
      </c>
      <c r="C2403" t="s">
        <v>1870</v>
      </c>
      <c r="D2403" t="s">
        <v>3839</v>
      </c>
      <c r="E2403" t="s">
        <v>3840</v>
      </c>
      <c r="F2403" t="s">
        <v>3841</v>
      </c>
      <c r="G2403" t="s">
        <v>3842</v>
      </c>
      <c r="H2403" t="str">
        <f t="shared" si="649"/>
        <v>048314</v>
      </c>
      <c r="I2403" t="s">
        <v>833</v>
      </c>
      <c r="J2403" t="str">
        <f t="shared" si="647"/>
        <v>2015-07-01 00:00:00.0</v>
      </c>
      <c r="K2403" t="s">
        <v>834</v>
      </c>
      <c r="L2403" t="s">
        <v>0</v>
      </c>
      <c r="M2403" t="str">
        <f t="shared" si="650"/>
        <v>048314</v>
      </c>
      <c r="N2403">
        <v>1</v>
      </c>
      <c r="O2403">
        <v>1</v>
      </c>
      <c r="P2403" t="str">
        <f>"09"</f>
        <v>09</v>
      </c>
      <c r="Q2403" t="s">
        <v>835</v>
      </c>
      <c r="S2403" t="s">
        <v>836</v>
      </c>
      <c r="T2403" t="s">
        <v>836</v>
      </c>
      <c r="U2403" t="str">
        <f t="shared" si="648"/>
        <v>2500-12-31 00:00:00.0</v>
      </c>
      <c r="V2403" t="s">
        <v>837</v>
      </c>
      <c r="W2403" t="str">
        <f>"048314-004796-**-**"</f>
        <v>048314-004796-**-**</v>
      </c>
      <c r="X2403" t="s">
        <v>838</v>
      </c>
      <c r="Y2403">
        <v>1254.5</v>
      </c>
      <c r="Z2403">
        <v>1254.5</v>
      </c>
      <c r="AA2403" t="str">
        <f t="shared" si="643"/>
        <v>06/08/2016</v>
      </c>
    </row>
    <row r="2404" spans="1:27" x14ac:dyDescent="0.3">
      <c r="A2404" t="str">
        <f t="shared" si="645"/>
        <v>048314</v>
      </c>
      <c r="B2404" t="str">
        <f t="shared" ref="B2404:B2467" si="652">"070417"</f>
        <v>070417</v>
      </c>
      <c r="C2404" t="s">
        <v>2652</v>
      </c>
      <c r="D2404" t="s">
        <v>3839</v>
      </c>
      <c r="E2404" t="s">
        <v>3840</v>
      </c>
      <c r="F2404" t="s">
        <v>3841</v>
      </c>
      <c r="G2404" t="s">
        <v>3842</v>
      </c>
      <c r="H2404" t="str">
        <f t="shared" si="649"/>
        <v>048314</v>
      </c>
      <c r="I2404" t="s">
        <v>833</v>
      </c>
      <c r="J2404" t="str">
        <f t="shared" si="647"/>
        <v>2015-07-01 00:00:00.0</v>
      </c>
      <c r="K2404" t="s">
        <v>834</v>
      </c>
      <c r="L2404" t="s">
        <v>0</v>
      </c>
      <c r="M2404" t="str">
        <f t="shared" si="650"/>
        <v>048314</v>
      </c>
      <c r="N2404">
        <v>1</v>
      </c>
      <c r="O2404">
        <v>1</v>
      </c>
      <c r="P2404" t="str">
        <f>"06"</f>
        <v>06</v>
      </c>
      <c r="Q2404" t="s">
        <v>835</v>
      </c>
      <c r="S2404" t="s">
        <v>836</v>
      </c>
      <c r="T2404" t="s">
        <v>836</v>
      </c>
      <c r="U2404" t="str">
        <f t="shared" si="648"/>
        <v>2500-12-31 00:00:00.0</v>
      </c>
      <c r="V2404" t="s">
        <v>837</v>
      </c>
      <c r="W2404" t="str">
        <f>"048314-070417-**-**"</f>
        <v>048314-070417-**-**</v>
      </c>
      <c r="X2404" t="s">
        <v>838</v>
      </c>
      <c r="Y2404">
        <v>1125</v>
      </c>
      <c r="Z2404">
        <v>1125</v>
      </c>
      <c r="AA2404" t="str">
        <f t="shared" si="643"/>
        <v>06/08/2016</v>
      </c>
    </row>
    <row r="2405" spans="1:27" x14ac:dyDescent="0.3">
      <c r="A2405" t="str">
        <f t="shared" si="645"/>
        <v>048314</v>
      </c>
      <c r="B2405" t="str">
        <f t="shared" si="652"/>
        <v>070417</v>
      </c>
      <c r="C2405" t="s">
        <v>2653</v>
      </c>
      <c r="D2405" t="s">
        <v>3839</v>
      </c>
      <c r="E2405" t="s">
        <v>3840</v>
      </c>
      <c r="F2405" t="s">
        <v>3841</v>
      </c>
      <c r="G2405" t="s">
        <v>3842</v>
      </c>
      <c r="H2405" t="str">
        <f t="shared" si="649"/>
        <v>048314</v>
      </c>
      <c r="I2405" t="s">
        <v>833</v>
      </c>
      <c r="J2405" t="str">
        <f t="shared" si="647"/>
        <v>2015-07-01 00:00:00.0</v>
      </c>
      <c r="K2405" t="s">
        <v>834</v>
      </c>
      <c r="L2405" t="s">
        <v>0</v>
      </c>
      <c r="M2405" t="str">
        <f t="shared" si="650"/>
        <v>048314</v>
      </c>
      <c r="N2405">
        <v>1</v>
      </c>
      <c r="O2405">
        <v>1</v>
      </c>
      <c r="P2405" t="str">
        <f>"06"</f>
        <v>06</v>
      </c>
      <c r="Q2405" t="str">
        <f>"05"</f>
        <v>05</v>
      </c>
      <c r="R2405" t="str">
        <f>"1"</f>
        <v>1</v>
      </c>
      <c r="S2405" t="s">
        <v>836</v>
      </c>
      <c r="T2405" t="s">
        <v>836</v>
      </c>
      <c r="U2405" t="str">
        <f t="shared" si="648"/>
        <v>2500-12-31 00:00:00.0</v>
      </c>
      <c r="V2405" t="s">
        <v>837</v>
      </c>
      <c r="W2405" t="str">
        <f>"048314-070417-**-**"</f>
        <v>048314-070417-**-**</v>
      </c>
      <c r="X2405" t="s">
        <v>838</v>
      </c>
      <c r="Y2405">
        <v>1125</v>
      </c>
      <c r="Z2405">
        <v>1125</v>
      </c>
      <c r="AA2405" t="str">
        <f t="shared" si="643"/>
        <v>06/08/2016</v>
      </c>
    </row>
    <row r="2406" spans="1:27" x14ac:dyDescent="0.3">
      <c r="A2406" t="str">
        <f t="shared" si="645"/>
        <v>048314</v>
      </c>
      <c r="B2406" t="str">
        <f t="shared" si="652"/>
        <v>070417</v>
      </c>
      <c r="C2406" t="s">
        <v>1271</v>
      </c>
      <c r="D2406" t="s">
        <v>3839</v>
      </c>
      <c r="E2406" t="s">
        <v>3840</v>
      </c>
      <c r="F2406" t="s">
        <v>3841</v>
      </c>
      <c r="G2406" t="s">
        <v>3842</v>
      </c>
      <c r="H2406" t="str">
        <f>"048363"</f>
        <v>048363</v>
      </c>
      <c r="I2406" t="s">
        <v>833</v>
      </c>
      <c r="J2406" t="str">
        <f t="shared" si="647"/>
        <v>2015-07-01 00:00:00.0</v>
      </c>
      <c r="K2406" t="s">
        <v>834</v>
      </c>
      <c r="L2406" t="s">
        <v>1</v>
      </c>
      <c r="M2406" t="str">
        <f t="shared" si="650"/>
        <v>048314</v>
      </c>
      <c r="N2406">
        <v>1</v>
      </c>
      <c r="O2406">
        <v>1</v>
      </c>
      <c r="P2406" t="str">
        <f>"06"</f>
        <v>06</v>
      </c>
      <c r="Q2406" t="s">
        <v>835</v>
      </c>
      <c r="S2406" t="s">
        <v>836</v>
      </c>
      <c r="T2406" t="s">
        <v>836</v>
      </c>
      <c r="U2406" t="str">
        <f t="shared" si="648"/>
        <v>2500-12-31 00:00:00.0</v>
      </c>
      <c r="V2406" t="s">
        <v>837</v>
      </c>
      <c r="W2406" t="str">
        <f>"048363-014522-**-**"</f>
        <v>048363-014522-**-**</v>
      </c>
      <c r="X2406" t="s">
        <v>838</v>
      </c>
      <c r="Y2406">
        <v>1127</v>
      </c>
      <c r="Z2406">
        <v>1127</v>
      </c>
      <c r="AA2406" t="str">
        <f>"06/15/2016"</f>
        <v>06/15/2016</v>
      </c>
    </row>
    <row r="2407" spans="1:27" x14ac:dyDescent="0.3">
      <c r="A2407" t="str">
        <f t="shared" si="645"/>
        <v>048314</v>
      </c>
      <c r="B2407" t="str">
        <f t="shared" si="652"/>
        <v>070417</v>
      </c>
      <c r="C2407" t="s">
        <v>3636</v>
      </c>
      <c r="D2407" t="s">
        <v>3839</v>
      </c>
      <c r="E2407" t="s">
        <v>3840</v>
      </c>
      <c r="F2407" t="s">
        <v>3841</v>
      </c>
      <c r="G2407" t="s">
        <v>3842</v>
      </c>
      <c r="H2407" t="str">
        <f t="shared" ref="H2407:H2414" si="653">"048314"</f>
        <v>048314</v>
      </c>
      <c r="I2407" t="s">
        <v>833</v>
      </c>
      <c r="J2407" t="str">
        <f t="shared" si="647"/>
        <v>2015-07-01 00:00:00.0</v>
      </c>
      <c r="K2407" t="s">
        <v>834</v>
      </c>
      <c r="L2407" t="s">
        <v>0</v>
      </c>
      <c r="M2407" t="str">
        <f t="shared" si="650"/>
        <v>048314</v>
      </c>
      <c r="N2407">
        <v>1</v>
      </c>
      <c r="O2407">
        <v>1</v>
      </c>
      <c r="P2407" t="str">
        <f>"09"</f>
        <v>09</v>
      </c>
      <c r="Q2407" t="s">
        <v>835</v>
      </c>
      <c r="S2407" t="s">
        <v>836</v>
      </c>
      <c r="T2407" t="s">
        <v>836</v>
      </c>
      <c r="U2407" t="str">
        <f t="shared" si="648"/>
        <v>2500-12-31 00:00:00.0</v>
      </c>
      <c r="V2407" t="s">
        <v>837</v>
      </c>
      <c r="W2407" t="str">
        <f>"048314-004796-**-**"</f>
        <v>048314-004796-**-**</v>
      </c>
      <c r="X2407" t="s">
        <v>838</v>
      </c>
      <c r="Y2407">
        <v>1254.5</v>
      </c>
      <c r="Z2407">
        <v>1254.5</v>
      </c>
      <c r="AA2407" t="str">
        <f t="shared" ref="AA2407:AA2470" si="654">"06/08/2016"</f>
        <v>06/08/2016</v>
      </c>
    </row>
    <row r="2408" spans="1:27" x14ac:dyDescent="0.3">
      <c r="A2408" t="str">
        <f t="shared" si="645"/>
        <v>048314</v>
      </c>
      <c r="B2408" t="str">
        <f t="shared" si="652"/>
        <v>070417</v>
      </c>
      <c r="C2408" t="s">
        <v>3131</v>
      </c>
      <c r="D2408" t="s">
        <v>3839</v>
      </c>
      <c r="E2408" t="s">
        <v>3840</v>
      </c>
      <c r="F2408" t="s">
        <v>3841</v>
      </c>
      <c r="G2408" t="s">
        <v>3842</v>
      </c>
      <c r="H2408" t="str">
        <f t="shared" si="653"/>
        <v>048314</v>
      </c>
      <c r="I2408" t="s">
        <v>833</v>
      </c>
      <c r="J2408" t="str">
        <f t="shared" si="647"/>
        <v>2015-07-01 00:00:00.0</v>
      </c>
      <c r="K2408" t="s">
        <v>834</v>
      </c>
      <c r="L2408" t="s">
        <v>0</v>
      </c>
      <c r="M2408" t="str">
        <f t="shared" si="650"/>
        <v>048314</v>
      </c>
      <c r="N2408">
        <v>1</v>
      </c>
      <c r="O2408">
        <v>1</v>
      </c>
      <c r="P2408" t="str">
        <f>"08"</f>
        <v>08</v>
      </c>
      <c r="Q2408" t="s">
        <v>835</v>
      </c>
      <c r="S2408" t="s">
        <v>836</v>
      </c>
      <c r="T2408" t="s">
        <v>836</v>
      </c>
      <c r="U2408" t="str">
        <f t="shared" si="648"/>
        <v>2500-12-31 00:00:00.0</v>
      </c>
      <c r="V2408" t="s">
        <v>837</v>
      </c>
      <c r="W2408" t="str">
        <f>"048314-070417-**-**"</f>
        <v>048314-070417-**-**</v>
      </c>
      <c r="X2408" t="s">
        <v>838</v>
      </c>
      <c r="Y2408">
        <v>1125</v>
      </c>
      <c r="Z2408">
        <v>1125</v>
      </c>
      <c r="AA2408" t="str">
        <f t="shared" si="654"/>
        <v>06/08/2016</v>
      </c>
    </row>
    <row r="2409" spans="1:27" x14ac:dyDescent="0.3">
      <c r="A2409" t="str">
        <f t="shared" si="645"/>
        <v>048314</v>
      </c>
      <c r="B2409" t="str">
        <f t="shared" si="652"/>
        <v>070417</v>
      </c>
      <c r="C2409" t="s">
        <v>2654</v>
      </c>
      <c r="D2409" t="s">
        <v>3839</v>
      </c>
      <c r="E2409" t="s">
        <v>3840</v>
      </c>
      <c r="F2409" t="s">
        <v>3841</v>
      </c>
      <c r="G2409" t="s">
        <v>3842</v>
      </c>
      <c r="H2409" t="str">
        <f t="shared" si="653"/>
        <v>048314</v>
      </c>
      <c r="I2409" t="s">
        <v>833</v>
      </c>
      <c r="J2409" t="str">
        <f t="shared" si="647"/>
        <v>2015-07-01 00:00:00.0</v>
      </c>
      <c r="K2409" t="s">
        <v>834</v>
      </c>
      <c r="L2409" t="s">
        <v>0</v>
      </c>
      <c r="M2409" t="str">
        <f t="shared" si="650"/>
        <v>048314</v>
      </c>
      <c r="N2409">
        <v>1</v>
      </c>
      <c r="O2409">
        <v>1</v>
      </c>
      <c r="P2409" t="str">
        <f>"06"</f>
        <v>06</v>
      </c>
      <c r="Q2409" t="s">
        <v>835</v>
      </c>
      <c r="S2409" t="s">
        <v>836</v>
      </c>
      <c r="T2409" t="s">
        <v>836</v>
      </c>
      <c r="U2409" t="str">
        <f t="shared" si="648"/>
        <v>2500-12-31 00:00:00.0</v>
      </c>
      <c r="V2409" t="s">
        <v>837</v>
      </c>
      <c r="W2409" t="str">
        <f>"048314-070417-**-**"</f>
        <v>048314-070417-**-**</v>
      </c>
      <c r="X2409" t="s">
        <v>838</v>
      </c>
      <c r="Y2409">
        <v>1125</v>
      </c>
      <c r="Z2409">
        <v>1125</v>
      </c>
      <c r="AA2409" t="str">
        <f t="shared" si="654"/>
        <v>06/08/2016</v>
      </c>
    </row>
    <row r="2410" spans="1:27" x14ac:dyDescent="0.3">
      <c r="A2410" t="str">
        <f t="shared" si="645"/>
        <v>048314</v>
      </c>
      <c r="B2410" t="str">
        <f t="shared" si="652"/>
        <v>070417</v>
      </c>
      <c r="C2410" t="s">
        <v>2422</v>
      </c>
      <c r="D2410" t="s">
        <v>3839</v>
      </c>
      <c r="E2410" t="s">
        <v>3840</v>
      </c>
      <c r="F2410" t="s">
        <v>3841</v>
      </c>
      <c r="G2410" t="s">
        <v>3842</v>
      </c>
      <c r="H2410" t="str">
        <f t="shared" si="653"/>
        <v>048314</v>
      </c>
      <c r="I2410" t="s">
        <v>833</v>
      </c>
      <c r="J2410" t="str">
        <f t="shared" si="647"/>
        <v>2015-07-01 00:00:00.0</v>
      </c>
      <c r="K2410" t="s">
        <v>834</v>
      </c>
      <c r="L2410" t="s">
        <v>0</v>
      </c>
      <c r="M2410" t="str">
        <f t="shared" si="650"/>
        <v>048314</v>
      </c>
      <c r="N2410">
        <v>1</v>
      </c>
      <c r="O2410">
        <v>1</v>
      </c>
      <c r="P2410" t="str">
        <f>"07"</f>
        <v>07</v>
      </c>
      <c r="Q2410" t="s">
        <v>835</v>
      </c>
      <c r="S2410" t="s">
        <v>836</v>
      </c>
      <c r="T2410" t="s">
        <v>836</v>
      </c>
      <c r="U2410" t="str">
        <f t="shared" si="648"/>
        <v>2500-12-31 00:00:00.0</v>
      </c>
      <c r="V2410" t="s">
        <v>837</v>
      </c>
      <c r="W2410" t="str">
        <f>"048314-070417-**-**"</f>
        <v>048314-070417-**-**</v>
      </c>
      <c r="X2410" t="s">
        <v>838</v>
      </c>
      <c r="Y2410">
        <v>1125</v>
      </c>
      <c r="Z2410">
        <v>1125</v>
      </c>
      <c r="AA2410" t="str">
        <f t="shared" si="654"/>
        <v>06/08/2016</v>
      </c>
    </row>
    <row r="2411" spans="1:27" x14ac:dyDescent="0.3">
      <c r="A2411" t="str">
        <f t="shared" si="645"/>
        <v>048314</v>
      </c>
      <c r="B2411" t="str">
        <f t="shared" si="652"/>
        <v>070417</v>
      </c>
      <c r="C2411" t="s">
        <v>2213</v>
      </c>
      <c r="D2411" t="s">
        <v>3839</v>
      </c>
      <c r="E2411" t="s">
        <v>3840</v>
      </c>
      <c r="F2411" t="s">
        <v>3841</v>
      </c>
      <c r="G2411" t="s">
        <v>3842</v>
      </c>
      <c r="H2411" t="str">
        <f t="shared" si="653"/>
        <v>048314</v>
      </c>
      <c r="I2411" t="s">
        <v>833</v>
      </c>
      <c r="J2411" t="str">
        <f t="shared" si="647"/>
        <v>2015-07-01 00:00:00.0</v>
      </c>
      <c r="K2411" t="s">
        <v>834</v>
      </c>
      <c r="L2411" t="s">
        <v>0</v>
      </c>
      <c r="M2411" t="str">
        <f t="shared" si="650"/>
        <v>048314</v>
      </c>
      <c r="N2411">
        <v>1</v>
      </c>
      <c r="O2411">
        <v>1</v>
      </c>
      <c r="P2411" t="str">
        <f>"09"</f>
        <v>09</v>
      </c>
      <c r="Q2411" t="str">
        <f>"15"</f>
        <v>15</v>
      </c>
      <c r="R2411" t="str">
        <f>"2"</f>
        <v>2</v>
      </c>
      <c r="S2411" t="s">
        <v>836</v>
      </c>
      <c r="T2411" t="s">
        <v>836</v>
      </c>
      <c r="U2411" t="str">
        <f t="shared" si="648"/>
        <v>2500-12-31 00:00:00.0</v>
      </c>
      <c r="V2411" t="s">
        <v>837</v>
      </c>
      <c r="W2411" t="str">
        <f>"048314-004796-**-**"</f>
        <v>048314-004796-**-**</v>
      </c>
      <c r="X2411" t="s">
        <v>838</v>
      </c>
      <c r="Y2411">
        <v>1254.5</v>
      </c>
      <c r="Z2411">
        <v>1254.5</v>
      </c>
      <c r="AA2411" t="str">
        <f t="shared" si="654"/>
        <v>06/08/2016</v>
      </c>
    </row>
    <row r="2412" spans="1:27" x14ac:dyDescent="0.3">
      <c r="A2412" t="str">
        <f t="shared" si="645"/>
        <v>048314</v>
      </c>
      <c r="B2412" t="str">
        <f t="shared" si="652"/>
        <v>070417</v>
      </c>
      <c r="C2412" t="s">
        <v>2655</v>
      </c>
      <c r="D2412" t="s">
        <v>3839</v>
      </c>
      <c r="E2412" t="s">
        <v>3840</v>
      </c>
      <c r="F2412" t="s">
        <v>3841</v>
      </c>
      <c r="G2412" t="s">
        <v>3842</v>
      </c>
      <c r="H2412" t="str">
        <f t="shared" si="653"/>
        <v>048314</v>
      </c>
      <c r="I2412" t="s">
        <v>833</v>
      </c>
      <c r="J2412" t="str">
        <f t="shared" si="647"/>
        <v>2015-07-01 00:00:00.0</v>
      </c>
      <c r="K2412" t="s">
        <v>834</v>
      </c>
      <c r="L2412" t="s">
        <v>0</v>
      </c>
      <c r="M2412" t="str">
        <f t="shared" si="650"/>
        <v>048314</v>
      </c>
      <c r="N2412">
        <v>1</v>
      </c>
      <c r="O2412">
        <v>1</v>
      </c>
      <c r="P2412" t="str">
        <f>"06"</f>
        <v>06</v>
      </c>
      <c r="Q2412" t="s">
        <v>835</v>
      </c>
      <c r="S2412" t="s">
        <v>836</v>
      </c>
      <c r="T2412" t="s">
        <v>836</v>
      </c>
      <c r="U2412" t="str">
        <f t="shared" si="648"/>
        <v>2500-12-31 00:00:00.0</v>
      </c>
      <c r="V2412" t="s">
        <v>837</v>
      </c>
      <c r="W2412" t="str">
        <f>"048314-070417-**-**"</f>
        <v>048314-070417-**-**</v>
      </c>
      <c r="X2412" t="s">
        <v>838</v>
      </c>
      <c r="Y2412">
        <v>1125</v>
      </c>
      <c r="Z2412">
        <v>1125</v>
      </c>
      <c r="AA2412" t="str">
        <f t="shared" si="654"/>
        <v>06/08/2016</v>
      </c>
    </row>
    <row r="2413" spans="1:27" x14ac:dyDescent="0.3">
      <c r="A2413" t="str">
        <f t="shared" si="645"/>
        <v>048314</v>
      </c>
      <c r="B2413" t="str">
        <f t="shared" si="652"/>
        <v>070417</v>
      </c>
      <c r="C2413" t="s">
        <v>1932</v>
      </c>
      <c r="D2413" t="s">
        <v>3839</v>
      </c>
      <c r="E2413" t="s">
        <v>3840</v>
      </c>
      <c r="F2413" t="s">
        <v>3841</v>
      </c>
      <c r="G2413" t="s">
        <v>3842</v>
      </c>
      <c r="H2413" t="str">
        <f t="shared" si="653"/>
        <v>048314</v>
      </c>
      <c r="I2413" t="s">
        <v>833</v>
      </c>
      <c r="J2413" t="str">
        <f t="shared" si="647"/>
        <v>2015-07-01 00:00:00.0</v>
      </c>
      <c r="K2413" t="s">
        <v>834</v>
      </c>
      <c r="L2413" t="s">
        <v>0</v>
      </c>
      <c r="M2413" t="str">
        <f t="shared" si="650"/>
        <v>048314</v>
      </c>
      <c r="N2413">
        <v>1</v>
      </c>
      <c r="O2413">
        <v>1</v>
      </c>
      <c r="P2413" t="str">
        <f>"09"</f>
        <v>09</v>
      </c>
      <c r="Q2413" t="s">
        <v>835</v>
      </c>
      <c r="S2413" t="s">
        <v>836</v>
      </c>
      <c r="T2413" t="s">
        <v>836</v>
      </c>
      <c r="U2413" t="str">
        <f t="shared" si="648"/>
        <v>2500-12-31 00:00:00.0</v>
      </c>
      <c r="V2413" t="s">
        <v>837</v>
      </c>
      <c r="W2413" t="str">
        <f>"048314-004796-**-**"</f>
        <v>048314-004796-**-**</v>
      </c>
      <c r="X2413" t="s">
        <v>838</v>
      </c>
      <c r="Y2413">
        <v>1254.5</v>
      </c>
      <c r="Z2413">
        <v>1254.5</v>
      </c>
      <c r="AA2413" t="str">
        <f t="shared" si="654"/>
        <v>06/08/2016</v>
      </c>
    </row>
    <row r="2414" spans="1:27" x14ac:dyDescent="0.3">
      <c r="A2414" t="str">
        <f t="shared" si="645"/>
        <v>048314</v>
      </c>
      <c r="B2414" t="str">
        <f t="shared" si="652"/>
        <v>070417</v>
      </c>
      <c r="C2414" t="s">
        <v>2856</v>
      </c>
      <c r="D2414" t="s">
        <v>3839</v>
      </c>
      <c r="E2414" t="s">
        <v>3840</v>
      </c>
      <c r="F2414" t="s">
        <v>3841</v>
      </c>
      <c r="G2414" t="s">
        <v>3842</v>
      </c>
      <c r="H2414" t="str">
        <f t="shared" si="653"/>
        <v>048314</v>
      </c>
      <c r="I2414" t="s">
        <v>833</v>
      </c>
      <c r="J2414" t="str">
        <f t="shared" si="647"/>
        <v>2015-07-01 00:00:00.0</v>
      </c>
      <c r="K2414" t="s">
        <v>834</v>
      </c>
      <c r="L2414" t="s">
        <v>0</v>
      </c>
      <c r="M2414" t="str">
        <f t="shared" si="650"/>
        <v>048314</v>
      </c>
      <c r="N2414">
        <v>1</v>
      </c>
      <c r="O2414">
        <v>1</v>
      </c>
      <c r="P2414" t="str">
        <f>"06"</f>
        <v>06</v>
      </c>
      <c r="Q2414" t="s">
        <v>835</v>
      </c>
      <c r="S2414" t="s">
        <v>836</v>
      </c>
      <c r="T2414" t="s">
        <v>836</v>
      </c>
      <c r="U2414" t="str">
        <f t="shared" si="648"/>
        <v>2500-12-31 00:00:00.0</v>
      </c>
      <c r="V2414" t="s">
        <v>837</v>
      </c>
      <c r="W2414" t="str">
        <f>"048314-070417-**-**"</f>
        <v>048314-070417-**-**</v>
      </c>
      <c r="X2414" t="s">
        <v>838</v>
      </c>
      <c r="Y2414">
        <v>1125</v>
      </c>
      <c r="Z2414">
        <v>1125</v>
      </c>
      <c r="AA2414" t="str">
        <f t="shared" si="654"/>
        <v>06/08/2016</v>
      </c>
    </row>
    <row r="2415" spans="1:27" x14ac:dyDescent="0.3">
      <c r="A2415" t="str">
        <f t="shared" si="645"/>
        <v>048314</v>
      </c>
      <c r="B2415" t="str">
        <f t="shared" si="652"/>
        <v>070417</v>
      </c>
      <c r="C2415" t="s">
        <v>1994</v>
      </c>
      <c r="D2415" t="s">
        <v>3839</v>
      </c>
      <c r="E2415" t="s">
        <v>3840</v>
      </c>
      <c r="F2415" t="s">
        <v>3841</v>
      </c>
      <c r="G2415" t="s">
        <v>3842</v>
      </c>
      <c r="H2415" t="str">
        <f>"048397"</f>
        <v>048397</v>
      </c>
      <c r="I2415" t="s">
        <v>833</v>
      </c>
      <c r="J2415" t="str">
        <f t="shared" si="647"/>
        <v>2015-07-01 00:00:00.0</v>
      </c>
      <c r="K2415" t="s">
        <v>834</v>
      </c>
      <c r="L2415" t="s">
        <v>1</v>
      </c>
      <c r="M2415" t="str">
        <f t="shared" si="650"/>
        <v>048314</v>
      </c>
      <c r="N2415">
        <v>1</v>
      </c>
      <c r="O2415">
        <v>1</v>
      </c>
      <c r="P2415" t="str">
        <f>"09"</f>
        <v>09</v>
      </c>
      <c r="Q2415" t="s">
        <v>835</v>
      </c>
      <c r="S2415" t="s">
        <v>836</v>
      </c>
      <c r="T2415" t="s">
        <v>836</v>
      </c>
      <c r="U2415" t="str">
        <f t="shared" si="648"/>
        <v>2500-12-31 00:00:00.0</v>
      </c>
      <c r="V2415" t="s">
        <v>837</v>
      </c>
      <c r="W2415" t="str">
        <f>"048397-042333-**-**"</f>
        <v>048397-042333-**-**</v>
      </c>
      <c r="X2415" t="s">
        <v>838</v>
      </c>
      <c r="Y2415">
        <v>1113.0999999999999</v>
      </c>
      <c r="Z2415">
        <v>1113.0999999999999</v>
      </c>
      <c r="AA2415" t="str">
        <f t="shared" si="654"/>
        <v>06/08/2016</v>
      </c>
    </row>
    <row r="2416" spans="1:27" x14ac:dyDescent="0.3">
      <c r="A2416" t="str">
        <f t="shared" si="645"/>
        <v>048314</v>
      </c>
      <c r="B2416" t="str">
        <f t="shared" si="652"/>
        <v>070417</v>
      </c>
      <c r="C2416" t="s">
        <v>2105</v>
      </c>
      <c r="D2416" t="s">
        <v>3839</v>
      </c>
      <c r="E2416" t="s">
        <v>3840</v>
      </c>
      <c r="F2416" t="s">
        <v>3841</v>
      </c>
      <c r="G2416" t="s">
        <v>3842</v>
      </c>
      <c r="H2416" t="str">
        <f>"048314"</f>
        <v>048314</v>
      </c>
      <c r="I2416" t="s">
        <v>833</v>
      </c>
      <c r="J2416" t="str">
        <f t="shared" si="647"/>
        <v>2015-07-01 00:00:00.0</v>
      </c>
      <c r="K2416" t="s">
        <v>834</v>
      </c>
      <c r="L2416" t="s">
        <v>0</v>
      </c>
      <c r="M2416" t="str">
        <f t="shared" si="650"/>
        <v>048314</v>
      </c>
      <c r="N2416">
        <v>1</v>
      </c>
      <c r="O2416">
        <v>1</v>
      </c>
      <c r="P2416" t="str">
        <f>"08"</f>
        <v>08</v>
      </c>
      <c r="Q2416" t="s">
        <v>835</v>
      </c>
      <c r="S2416" t="s">
        <v>836</v>
      </c>
      <c r="T2416" t="s">
        <v>836</v>
      </c>
      <c r="U2416" t="str">
        <f t="shared" si="648"/>
        <v>2500-12-31 00:00:00.0</v>
      </c>
      <c r="V2416" t="s">
        <v>837</v>
      </c>
      <c r="W2416" t="str">
        <f>"048314-070417-**-**"</f>
        <v>048314-070417-**-**</v>
      </c>
      <c r="X2416" t="s">
        <v>838</v>
      </c>
      <c r="Y2416">
        <v>1125</v>
      </c>
      <c r="Z2416">
        <v>1125</v>
      </c>
      <c r="AA2416" t="str">
        <f t="shared" si="654"/>
        <v>06/08/2016</v>
      </c>
    </row>
    <row r="2417" spans="1:27" x14ac:dyDescent="0.3">
      <c r="A2417" t="str">
        <f t="shared" si="645"/>
        <v>048314</v>
      </c>
      <c r="B2417" t="str">
        <f t="shared" si="652"/>
        <v>070417</v>
      </c>
      <c r="C2417" t="s">
        <v>2423</v>
      </c>
      <c r="D2417" t="s">
        <v>3839</v>
      </c>
      <c r="E2417" t="s">
        <v>3840</v>
      </c>
      <c r="F2417" t="s">
        <v>3841</v>
      </c>
      <c r="G2417" t="s">
        <v>3842</v>
      </c>
      <c r="H2417" t="str">
        <f>"048397"</f>
        <v>048397</v>
      </c>
      <c r="I2417" t="s">
        <v>833</v>
      </c>
      <c r="J2417" t="str">
        <f t="shared" si="647"/>
        <v>2015-07-01 00:00:00.0</v>
      </c>
      <c r="K2417" t="s">
        <v>834</v>
      </c>
      <c r="L2417" t="s">
        <v>1</v>
      </c>
      <c r="M2417" t="str">
        <f t="shared" si="650"/>
        <v>048314</v>
      </c>
      <c r="N2417">
        <v>1</v>
      </c>
      <c r="O2417">
        <v>1</v>
      </c>
      <c r="P2417" t="str">
        <f>"07"</f>
        <v>07</v>
      </c>
      <c r="Q2417" t="s">
        <v>835</v>
      </c>
      <c r="S2417" t="s">
        <v>836</v>
      </c>
      <c r="T2417" t="s">
        <v>836</v>
      </c>
      <c r="U2417" t="str">
        <f t="shared" si="648"/>
        <v>2500-12-31 00:00:00.0</v>
      </c>
      <c r="V2417" t="s">
        <v>837</v>
      </c>
      <c r="W2417" t="str">
        <f>"048397-002444-**-**"</f>
        <v>048397-002444-**-**</v>
      </c>
      <c r="X2417" t="s">
        <v>838</v>
      </c>
      <c r="Y2417">
        <v>1113.0999999999999</v>
      </c>
      <c r="Z2417">
        <v>1113.0999999999999</v>
      </c>
      <c r="AA2417" t="str">
        <f t="shared" si="654"/>
        <v>06/08/2016</v>
      </c>
    </row>
    <row r="2418" spans="1:27" x14ac:dyDescent="0.3">
      <c r="A2418" t="str">
        <f t="shared" si="645"/>
        <v>048314</v>
      </c>
      <c r="B2418" t="str">
        <f t="shared" si="652"/>
        <v>070417</v>
      </c>
      <c r="C2418" t="s">
        <v>2424</v>
      </c>
      <c r="D2418" t="s">
        <v>3839</v>
      </c>
      <c r="E2418" t="s">
        <v>3840</v>
      </c>
      <c r="F2418" t="s">
        <v>3841</v>
      </c>
      <c r="G2418" t="s">
        <v>3842</v>
      </c>
      <c r="H2418" t="str">
        <f t="shared" ref="H2418:H2451" si="655">"048314"</f>
        <v>048314</v>
      </c>
      <c r="I2418" t="s">
        <v>833</v>
      </c>
      <c r="J2418" t="str">
        <f>"2016-03-04 00:00:00.0"</f>
        <v>2016-03-04 00:00:00.0</v>
      </c>
      <c r="K2418" t="s">
        <v>834</v>
      </c>
      <c r="L2418" t="s">
        <v>0</v>
      </c>
      <c r="M2418" t="str">
        <f t="shared" si="650"/>
        <v>048314</v>
      </c>
      <c r="N2418">
        <v>0.35</v>
      </c>
      <c r="O2418">
        <v>0.35</v>
      </c>
      <c r="P2418" t="str">
        <f>"08"</f>
        <v>08</v>
      </c>
      <c r="Q2418" t="s">
        <v>835</v>
      </c>
      <c r="S2418" t="s">
        <v>836</v>
      </c>
      <c r="T2418" t="s">
        <v>836</v>
      </c>
      <c r="U2418" t="str">
        <f t="shared" si="648"/>
        <v>2500-12-31 00:00:00.0</v>
      </c>
      <c r="V2418" t="s">
        <v>837</v>
      </c>
      <c r="W2418" t="str">
        <f>"048314-070417-**-**"</f>
        <v>048314-070417-**-**</v>
      </c>
      <c r="X2418" t="s">
        <v>838</v>
      </c>
      <c r="Y2418">
        <v>393.75</v>
      </c>
      <c r="Z2418">
        <v>1125</v>
      </c>
      <c r="AA2418" t="str">
        <f t="shared" si="654"/>
        <v>06/08/2016</v>
      </c>
    </row>
    <row r="2419" spans="1:27" x14ac:dyDescent="0.3">
      <c r="A2419" t="str">
        <f t="shared" si="645"/>
        <v>048314</v>
      </c>
      <c r="B2419" t="str">
        <f t="shared" si="652"/>
        <v>070417</v>
      </c>
      <c r="C2419" t="s">
        <v>2424</v>
      </c>
      <c r="D2419" t="s">
        <v>3839</v>
      </c>
      <c r="E2419" t="s">
        <v>3840</v>
      </c>
      <c r="F2419" t="s">
        <v>3841</v>
      </c>
      <c r="G2419" t="s">
        <v>3842</v>
      </c>
      <c r="H2419" t="str">
        <f t="shared" si="655"/>
        <v>048314</v>
      </c>
      <c r="I2419" t="s">
        <v>833</v>
      </c>
      <c r="J2419" t="str">
        <f t="shared" ref="J2419:J2432" si="656">"2015-07-01 00:00:00.0"</f>
        <v>2015-07-01 00:00:00.0</v>
      </c>
      <c r="K2419" t="s">
        <v>834</v>
      </c>
      <c r="L2419" t="s">
        <v>0</v>
      </c>
      <c r="M2419" t="str">
        <f t="shared" si="650"/>
        <v>048314</v>
      </c>
      <c r="N2419">
        <v>0.65</v>
      </c>
      <c r="O2419">
        <v>0.65</v>
      </c>
      <c r="P2419" t="str">
        <f>"08"</f>
        <v>08</v>
      </c>
      <c r="Q2419" t="str">
        <f>"10"</f>
        <v>10</v>
      </c>
      <c r="R2419" t="str">
        <f>"2"</f>
        <v>2</v>
      </c>
      <c r="S2419" t="s">
        <v>836</v>
      </c>
      <c r="T2419" t="s">
        <v>836</v>
      </c>
      <c r="U2419" t="str">
        <f>"2016-03-03 00:00:00.0"</f>
        <v>2016-03-03 00:00:00.0</v>
      </c>
      <c r="V2419" t="s">
        <v>837</v>
      </c>
      <c r="W2419" t="str">
        <f>"048314-070417-**-**"</f>
        <v>048314-070417-**-**</v>
      </c>
      <c r="X2419" t="s">
        <v>838</v>
      </c>
      <c r="Y2419">
        <v>731.25</v>
      </c>
      <c r="Z2419">
        <v>1125</v>
      </c>
      <c r="AA2419" t="str">
        <f t="shared" si="654"/>
        <v>06/08/2016</v>
      </c>
    </row>
    <row r="2420" spans="1:27" x14ac:dyDescent="0.3">
      <c r="A2420" t="str">
        <f t="shared" si="645"/>
        <v>048314</v>
      </c>
      <c r="B2420" t="str">
        <f t="shared" si="652"/>
        <v>070417</v>
      </c>
      <c r="C2420" t="s">
        <v>1981</v>
      </c>
      <c r="D2420" t="s">
        <v>3839</v>
      </c>
      <c r="E2420" t="s">
        <v>3840</v>
      </c>
      <c r="F2420" t="s">
        <v>3841</v>
      </c>
      <c r="G2420" t="s">
        <v>3842</v>
      </c>
      <c r="H2420" t="str">
        <f t="shared" si="655"/>
        <v>048314</v>
      </c>
      <c r="I2420" t="s">
        <v>833</v>
      </c>
      <c r="J2420" t="str">
        <f t="shared" si="656"/>
        <v>2015-07-01 00:00:00.0</v>
      </c>
      <c r="K2420" t="s">
        <v>834</v>
      </c>
      <c r="L2420" t="s">
        <v>0</v>
      </c>
      <c r="M2420" t="str">
        <f t="shared" si="650"/>
        <v>048314</v>
      </c>
      <c r="N2420">
        <v>1</v>
      </c>
      <c r="O2420">
        <v>1</v>
      </c>
      <c r="P2420" t="str">
        <f>"09"</f>
        <v>09</v>
      </c>
      <c r="Q2420" t="s">
        <v>835</v>
      </c>
      <c r="S2420" t="s">
        <v>836</v>
      </c>
      <c r="T2420" t="s">
        <v>836</v>
      </c>
      <c r="U2420" t="str">
        <f t="shared" ref="U2420:U2436" si="657">"2500-12-31 00:00:00.0"</f>
        <v>2500-12-31 00:00:00.0</v>
      </c>
      <c r="V2420" t="s">
        <v>837</v>
      </c>
      <c r="W2420" t="str">
        <f>"048314-004796-**-**"</f>
        <v>048314-004796-**-**</v>
      </c>
      <c r="X2420" t="s">
        <v>838</v>
      </c>
      <c r="Y2420">
        <v>1254.5</v>
      </c>
      <c r="Z2420">
        <v>1254.5</v>
      </c>
      <c r="AA2420" t="str">
        <f t="shared" si="654"/>
        <v>06/08/2016</v>
      </c>
    </row>
    <row r="2421" spans="1:27" x14ac:dyDescent="0.3">
      <c r="A2421" t="str">
        <f t="shared" si="645"/>
        <v>048314</v>
      </c>
      <c r="B2421" t="str">
        <f t="shared" si="652"/>
        <v>070417</v>
      </c>
      <c r="C2421" t="s">
        <v>2656</v>
      </c>
      <c r="D2421" t="s">
        <v>3839</v>
      </c>
      <c r="E2421" t="s">
        <v>3840</v>
      </c>
      <c r="F2421" t="s">
        <v>3841</v>
      </c>
      <c r="G2421" t="s">
        <v>3842</v>
      </c>
      <c r="H2421" t="str">
        <f t="shared" si="655"/>
        <v>048314</v>
      </c>
      <c r="I2421" t="s">
        <v>833</v>
      </c>
      <c r="J2421" t="str">
        <f t="shared" si="656"/>
        <v>2015-07-01 00:00:00.0</v>
      </c>
      <c r="K2421" t="s">
        <v>834</v>
      </c>
      <c r="L2421" t="s">
        <v>0</v>
      </c>
      <c r="M2421" t="str">
        <f t="shared" si="650"/>
        <v>048314</v>
      </c>
      <c r="N2421">
        <v>1</v>
      </c>
      <c r="O2421">
        <v>1</v>
      </c>
      <c r="P2421" t="str">
        <f>"07"</f>
        <v>07</v>
      </c>
      <c r="Q2421" t="str">
        <f>"12"</f>
        <v>12</v>
      </c>
      <c r="R2421" t="str">
        <f>"6"</f>
        <v>6</v>
      </c>
      <c r="S2421" t="s">
        <v>836</v>
      </c>
      <c r="T2421" t="s">
        <v>836</v>
      </c>
      <c r="U2421" t="str">
        <f t="shared" si="657"/>
        <v>2500-12-31 00:00:00.0</v>
      </c>
      <c r="V2421" t="s">
        <v>837</v>
      </c>
      <c r="W2421" t="str">
        <f>"048314-070417-**-**"</f>
        <v>048314-070417-**-**</v>
      </c>
      <c r="X2421" t="s">
        <v>838</v>
      </c>
      <c r="Y2421">
        <v>1125</v>
      </c>
      <c r="Z2421">
        <v>1125</v>
      </c>
      <c r="AA2421" t="str">
        <f t="shared" si="654"/>
        <v>06/08/2016</v>
      </c>
    </row>
    <row r="2422" spans="1:27" x14ac:dyDescent="0.3">
      <c r="A2422" t="str">
        <f t="shared" si="645"/>
        <v>048314</v>
      </c>
      <c r="B2422" t="str">
        <f t="shared" si="652"/>
        <v>070417</v>
      </c>
      <c r="C2422" t="s">
        <v>2106</v>
      </c>
      <c r="D2422" t="s">
        <v>3839</v>
      </c>
      <c r="E2422" t="s">
        <v>3840</v>
      </c>
      <c r="F2422" t="s">
        <v>3841</v>
      </c>
      <c r="G2422" t="s">
        <v>3842</v>
      </c>
      <c r="H2422" t="str">
        <f t="shared" si="655"/>
        <v>048314</v>
      </c>
      <c r="I2422" t="s">
        <v>833</v>
      </c>
      <c r="J2422" t="str">
        <f t="shared" si="656"/>
        <v>2015-07-01 00:00:00.0</v>
      </c>
      <c r="K2422" t="s">
        <v>834</v>
      </c>
      <c r="L2422" t="s">
        <v>0</v>
      </c>
      <c r="M2422" t="str">
        <f t="shared" si="650"/>
        <v>048314</v>
      </c>
      <c r="N2422">
        <v>1</v>
      </c>
      <c r="O2422">
        <v>1</v>
      </c>
      <c r="P2422" t="str">
        <f>"08"</f>
        <v>08</v>
      </c>
      <c r="Q2422" t="s">
        <v>835</v>
      </c>
      <c r="S2422" t="s">
        <v>836</v>
      </c>
      <c r="T2422" t="s">
        <v>836</v>
      </c>
      <c r="U2422" t="str">
        <f t="shared" si="657"/>
        <v>2500-12-31 00:00:00.0</v>
      </c>
      <c r="V2422" t="s">
        <v>837</v>
      </c>
      <c r="W2422" t="str">
        <f>"048314-070417-**-**"</f>
        <v>048314-070417-**-**</v>
      </c>
      <c r="X2422" t="s">
        <v>838</v>
      </c>
      <c r="Y2422">
        <v>1125</v>
      </c>
      <c r="Z2422">
        <v>1125</v>
      </c>
      <c r="AA2422" t="str">
        <f t="shared" si="654"/>
        <v>06/08/2016</v>
      </c>
    </row>
    <row r="2423" spans="1:27" x14ac:dyDescent="0.3">
      <c r="A2423" t="str">
        <f t="shared" si="645"/>
        <v>048314</v>
      </c>
      <c r="B2423" t="str">
        <f t="shared" si="652"/>
        <v>070417</v>
      </c>
      <c r="C2423" t="s">
        <v>3079</v>
      </c>
      <c r="D2423" t="s">
        <v>3839</v>
      </c>
      <c r="E2423" t="s">
        <v>3840</v>
      </c>
      <c r="F2423" t="s">
        <v>3841</v>
      </c>
      <c r="G2423" t="s">
        <v>3842</v>
      </c>
      <c r="H2423" t="str">
        <f t="shared" si="655"/>
        <v>048314</v>
      </c>
      <c r="I2423" t="s">
        <v>833</v>
      </c>
      <c r="J2423" t="str">
        <f t="shared" si="656"/>
        <v>2015-07-01 00:00:00.0</v>
      </c>
      <c r="K2423" t="s">
        <v>834</v>
      </c>
      <c r="L2423" t="s">
        <v>0</v>
      </c>
      <c r="M2423" t="str">
        <f t="shared" si="650"/>
        <v>048314</v>
      </c>
      <c r="N2423">
        <v>1</v>
      </c>
      <c r="O2423">
        <v>1</v>
      </c>
      <c r="P2423" t="str">
        <f>"06"</f>
        <v>06</v>
      </c>
      <c r="Q2423" t="s">
        <v>835</v>
      </c>
      <c r="S2423" t="s">
        <v>836</v>
      </c>
      <c r="T2423" t="s">
        <v>836</v>
      </c>
      <c r="U2423" t="str">
        <f t="shared" si="657"/>
        <v>2500-12-31 00:00:00.0</v>
      </c>
      <c r="V2423" t="s">
        <v>837</v>
      </c>
      <c r="W2423" t="str">
        <f>"048314-070417-**-**"</f>
        <v>048314-070417-**-**</v>
      </c>
      <c r="X2423" t="s">
        <v>838</v>
      </c>
      <c r="Y2423">
        <v>1125</v>
      </c>
      <c r="Z2423">
        <v>1125</v>
      </c>
      <c r="AA2423" t="str">
        <f t="shared" si="654"/>
        <v>06/08/2016</v>
      </c>
    </row>
    <row r="2424" spans="1:27" x14ac:dyDescent="0.3">
      <c r="A2424" t="str">
        <f t="shared" si="645"/>
        <v>048314</v>
      </c>
      <c r="B2424" t="str">
        <f t="shared" si="652"/>
        <v>070417</v>
      </c>
      <c r="C2424" t="s">
        <v>1446</v>
      </c>
      <c r="D2424" t="s">
        <v>3839</v>
      </c>
      <c r="E2424" t="s">
        <v>3840</v>
      </c>
      <c r="F2424" t="s">
        <v>3841</v>
      </c>
      <c r="G2424" t="s">
        <v>3842</v>
      </c>
      <c r="H2424" t="str">
        <f t="shared" si="655"/>
        <v>048314</v>
      </c>
      <c r="I2424" t="s">
        <v>833</v>
      </c>
      <c r="J2424" t="str">
        <f t="shared" si="656"/>
        <v>2015-07-01 00:00:00.0</v>
      </c>
      <c r="K2424" t="s">
        <v>834</v>
      </c>
      <c r="L2424" t="s">
        <v>0</v>
      </c>
      <c r="M2424" t="str">
        <f t="shared" si="650"/>
        <v>048314</v>
      </c>
      <c r="N2424">
        <v>1</v>
      </c>
      <c r="O2424">
        <v>1</v>
      </c>
      <c r="P2424" t="str">
        <f>"06"</f>
        <v>06</v>
      </c>
      <c r="Q2424" t="s">
        <v>835</v>
      </c>
      <c r="S2424" t="s">
        <v>836</v>
      </c>
      <c r="T2424" t="s">
        <v>836</v>
      </c>
      <c r="U2424" t="str">
        <f t="shared" si="657"/>
        <v>2500-12-31 00:00:00.0</v>
      </c>
      <c r="V2424" t="s">
        <v>837</v>
      </c>
      <c r="W2424" t="str">
        <f>"048314-070417-**-**"</f>
        <v>048314-070417-**-**</v>
      </c>
      <c r="X2424" t="s">
        <v>838</v>
      </c>
      <c r="Y2424">
        <v>1125</v>
      </c>
      <c r="Z2424">
        <v>1125</v>
      </c>
      <c r="AA2424" t="str">
        <f t="shared" si="654"/>
        <v>06/08/2016</v>
      </c>
    </row>
    <row r="2425" spans="1:27" x14ac:dyDescent="0.3">
      <c r="A2425" t="str">
        <f t="shared" si="645"/>
        <v>048314</v>
      </c>
      <c r="B2425" t="str">
        <f t="shared" si="652"/>
        <v>070417</v>
      </c>
      <c r="C2425" t="s">
        <v>2353</v>
      </c>
      <c r="D2425" t="s">
        <v>3839</v>
      </c>
      <c r="E2425" t="s">
        <v>3840</v>
      </c>
      <c r="F2425" t="s">
        <v>3841</v>
      </c>
      <c r="G2425" t="s">
        <v>3842</v>
      </c>
      <c r="H2425" t="str">
        <f t="shared" si="655"/>
        <v>048314</v>
      </c>
      <c r="I2425" t="s">
        <v>833</v>
      </c>
      <c r="J2425" t="str">
        <f t="shared" si="656"/>
        <v>2015-07-01 00:00:00.0</v>
      </c>
      <c r="K2425" t="s">
        <v>834</v>
      </c>
      <c r="L2425" t="s">
        <v>0</v>
      </c>
      <c r="M2425" t="str">
        <f t="shared" si="650"/>
        <v>048314</v>
      </c>
      <c r="N2425">
        <v>1</v>
      </c>
      <c r="O2425">
        <v>1</v>
      </c>
      <c r="P2425" t="str">
        <f>"07"</f>
        <v>07</v>
      </c>
      <c r="Q2425" t="s">
        <v>835</v>
      </c>
      <c r="S2425" t="s">
        <v>836</v>
      </c>
      <c r="T2425" t="s">
        <v>836</v>
      </c>
      <c r="U2425" t="str">
        <f t="shared" si="657"/>
        <v>2500-12-31 00:00:00.0</v>
      </c>
      <c r="V2425" t="s">
        <v>837</v>
      </c>
      <c r="W2425" t="str">
        <f>"048314-070417-**-**"</f>
        <v>048314-070417-**-**</v>
      </c>
      <c r="X2425" t="s">
        <v>838</v>
      </c>
      <c r="Y2425">
        <v>1125</v>
      </c>
      <c r="Z2425">
        <v>1125</v>
      </c>
      <c r="AA2425" t="str">
        <f t="shared" si="654"/>
        <v>06/08/2016</v>
      </c>
    </row>
    <row r="2426" spans="1:27" x14ac:dyDescent="0.3">
      <c r="A2426" t="str">
        <f t="shared" si="645"/>
        <v>048314</v>
      </c>
      <c r="B2426" t="str">
        <f t="shared" si="652"/>
        <v>070417</v>
      </c>
      <c r="C2426" t="s">
        <v>1871</v>
      </c>
      <c r="D2426" t="s">
        <v>3839</v>
      </c>
      <c r="E2426" t="s">
        <v>3840</v>
      </c>
      <c r="F2426" t="s">
        <v>3841</v>
      </c>
      <c r="G2426" t="s">
        <v>3842</v>
      </c>
      <c r="H2426" t="str">
        <f t="shared" si="655"/>
        <v>048314</v>
      </c>
      <c r="I2426" t="s">
        <v>833</v>
      </c>
      <c r="J2426" t="str">
        <f t="shared" si="656"/>
        <v>2015-07-01 00:00:00.0</v>
      </c>
      <c r="K2426" t="s">
        <v>834</v>
      </c>
      <c r="L2426" t="s">
        <v>0</v>
      </c>
      <c r="M2426" t="str">
        <f t="shared" si="650"/>
        <v>048314</v>
      </c>
      <c r="N2426">
        <v>1</v>
      </c>
      <c r="O2426">
        <v>1</v>
      </c>
      <c r="P2426" t="str">
        <f>"09"</f>
        <v>09</v>
      </c>
      <c r="Q2426" t="s">
        <v>835</v>
      </c>
      <c r="S2426" t="s">
        <v>836</v>
      </c>
      <c r="T2426" t="s">
        <v>836</v>
      </c>
      <c r="U2426" t="str">
        <f t="shared" si="657"/>
        <v>2500-12-31 00:00:00.0</v>
      </c>
      <c r="V2426" t="s">
        <v>837</v>
      </c>
      <c r="W2426" t="str">
        <f>"048314-004796-**-**"</f>
        <v>048314-004796-**-**</v>
      </c>
      <c r="X2426" t="s">
        <v>838</v>
      </c>
      <c r="Y2426">
        <v>1254.5</v>
      </c>
      <c r="Z2426">
        <v>1254.5</v>
      </c>
      <c r="AA2426" t="str">
        <f t="shared" si="654"/>
        <v>06/08/2016</v>
      </c>
    </row>
    <row r="2427" spans="1:27" x14ac:dyDescent="0.3">
      <c r="A2427" t="str">
        <f t="shared" si="645"/>
        <v>048314</v>
      </c>
      <c r="B2427" t="str">
        <f t="shared" si="652"/>
        <v>070417</v>
      </c>
      <c r="C2427" t="s">
        <v>1793</v>
      </c>
      <c r="D2427" t="s">
        <v>3839</v>
      </c>
      <c r="E2427" t="s">
        <v>3840</v>
      </c>
      <c r="F2427" t="s">
        <v>3841</v>
      </c>
      <c r="G2427" t="s">
        <v>3842</v>
      </c>
      <c r="H2427" t="str">
        <f t="shared" si="655"/>
        <v>048314</v>
      </c>
      <c r="I2427" t="s">
        <v>833</v>
      </c>
      <c r="J2427" t="str">
        <f t="shared" si="656"/>
        <v>2015-07-01 00:00:00.0</v>
      </c>
      <c r="K2427" t="s">
        <v>834</v>
      </c>
      <c r="L2427" t="s">
        <v>0</v>
      </c>
      <c r="M2427" t="str">
        <f t="shared" si="650"/>
        <v>048314</v>
      </c>
      <c r="N2427">
        <v>1</v>
      </c>
      <c r="O2427">
        <v>1</v>
      </c>
      <c r="P2427" t="str">
        <f>"09"</f>
        <v>09</v>
      </c>
      <c r="Q2427" t="s">
        <v>835</v>
      </c>
      <c r="S2427" t="s">
        <v>836</v>
      </c>
      <c r="T2427" t="s">
        <v>836</v>
      </c>
      <c r="U2427" t="str">
        <f t="shared" si="657"/>
        <v>2500-12-31 00:00:00.0</v>
      </c>
      <c r="V2427" t="s">
        <v>837</v>
      </c>
      <c r="W2427" t="str">
        <f>"048314-004796-**-**"</f>
        <v>048314-004796-**-**</v>
      </c>
      <c r="X2427" t="s">
        <v>838</v>
      </c>
      <c r="Y2427">
        <v>1254.5</v>
      </c>
      <c r="Z2427">
        <v>1254.5</v>
      </c>
      <c r="AA2427" t="str">
        <f t="shared" si="654"/>
        <v>06/08/2016</v>
      </c>
    </row>
    <row r="2428" spans="1:27" x14ac:dyDescent="0.3">
      <c r="A2428" t="str">
        <f t="shared" si="645"/>
        <v>048314</v>
      </c>
      <c r="B2428" t="str">
        <f t="shared" si="652"/>
        <v>070417</v>
      </c>
      <c r="C2428" t="s">
        <v>1872</v>
      </c>
      <c r="D2428" t="s">
        <v>3839</v>
      </c>
      <c r="E2428" t="s">
        <v>3840</v>
      </c>
      <c r="F2428" t="s">
        <v>3841</v>
      </c>
      <c r="G2428" t="s">
        <v>3842</v>
      </c>
      <c r="H2428" t="str">
        <f t="shared" si="655"/>
        <v>048314</v>
      </c>
      <c r="I2428" t="s">
        <v>833</v>
      </c>
      <c r="J2428" t="str">
        <f t="shared" si="656"/>
        <v>2015-07-01 00:00:00.0</v>
      </c>
      <c r="K2428" t="s">
        <v>834</v>
      </c>
      <c r="L2428" t="s">
        <v>0</v>
      </c>
      <c r="M2428" t="str">
        <f t="shared" si="650"/>
        <v>048314</v>
      </c>
      <c r="N2428">
        <v>1</v>
      </c>
      <c r="O2428">
        <v>1</v>
      </c>
      <c r="P2428" t="str">
        <f>"09"</f>
        <v>09</v>
      </c>
      <c r="Q2428" t="s">
        <v>835</v>
      </c>
      <c r="S2428" t="s">
        <v>836</v>
      </c>
      <c r="T2428" t="s">
        <v>836</v>
      </c>
      <c r="U2428" t="str">
        <f t="shared" si="657"/>
        <v>2500-12-31 00:00:00.0</v>
      </c>
      <c r="V2428" t="s">
        <v>837</v>
      </c>
      <c r="W2428" t="str">
        <f>"048314-004796-**-**"</f>
        <v>048314-004796-**-**</v>
      </c>
      <c r="X2428" t="s">
        <v>838</v>
      </c>
      <c r="Y2428">
        <v>1254.5</v>
      </c>
      <c r="Z2428">
        <v>1254.5</v>
      </c>
      <c r="AA2428" t="str">
        <f t="shared" si="654"/>
        <v>06/08/2016</v>
      </c>
    </row>
    <row r="2429" spans="1:27" x14ac:dyDescent="0.3">
      <c r="A2429" t="str">
        <f t="shared" si="645"/>
        <v>048314</v>
      </c>
      <c r="B2429" t="str">
        <f t="shared" si="652"/>
        <v>070417</v>
      </c>
      <c r="C2429" t="s">
        <v>1873</v>
      </c>
      <c r="D2429" t="s">
        <v>3839</v>
      </c>
      <c r="E2429" t="s">
        <v>3840</v>
      </c>
      <c r="F2429" t="s">
        <v>3841</v>
      </c>
      <c r="G2429" t="s">
        <v>3842</v>
      </c>
      <c r="H2429" t="str">
        <f t="shared" si="655"/>
        <v>048314</v>
      </c>
      <c r="I2429" t="s">
        <v>833</v>
      </c>
      <c r="J2429" t="str">
        <f t="shared" si="656"/>
        <v>2015-07-01 00:00:00.0</v>
      </c>
      <c r="K2429" t="s">
        <v>834</v>
      </c>
      <c r="L2429" t="s">
        <v>0</v>
      </c>
      <c r="M2429" t="str">
        <f t="shared" si="650"/>
        <v>048314</v>
      </c>
      <c r="N2429">
        <v>1</v>
      </c>
      <c r="O2429">
        <v>1</v>
      </c>
      <c r="P2429" t="str">
        <f>"09"</f>
        <v>09</v>
      </c>
      <c r="Q2429" t="s">
        <v>835</v>
      </c>
      <c r="S2429" t="s">
        <v>836</v>
      </c>
      <c r="T2429" t="s">
        <v>836</v>
      </c>
      <c r="U2429" t="str">
        <f t="shared" si="657"/>
        <v>2500-12-31 00:00:00.0</v>
      </c>
      <c r="V2429" t="s">
        <v>837</v>
      </c>
      <c r="W2429" t="str">
        <f>"048314-004796-**-**"</f>
        <v>048314-004796-**-**</v>
      </c>
      <c r="X2429" t="s">
        <v>838</v>
      </c>
      <c r="Y2429">
        <v>1254.5</v>
      </c>
      <c r="Z2429">
        <v>1254.5</v>
      </c>
      <c r="AA2429" t="str">
        <f t="shared" si="654"/>
        <v>06/08/2016</v>
      </c>
    </row>
    <row r="2430" spans="1:27" x14ac:dyDescent="0.3">
      <c r="A2430" t="str">
        <f t="shared" si="645"/>
        <v>048314</v>
      </c>
      <c r="B2430" t="str">
        <f t="shared" si="652"/>
        <v>070417</v>
      </c>
      <c r="C2430" t="s">
        <v>2657</v>
      </c>
      <c r="D2430" t="s">
        <v>3839</v>
      </c>
      <c r="E2430" t="s">
        <v>3840</v>
      </c>
      <c r="F2430" t="s">
        <v>3841</v>
      </c>
      <c r="G2430" t="s">
        <v>3842</v>
      </c>
      <c r="H2430" t="str">
        <f t="shared" si="655"/>
        <v>048314</v>
      </c>
      <c r="I2430" t="s">
        <v>833</v>
      </c>
      <c r="J2430" t="str">
        <f t="shared" si="656"/>
        <v>2015-07-01 00:00:00.0</v>
      </c>
      <c r="K2430" t="s">
        <v>834</v>
      </c>
      <c r="L2430" t="s">
        <v>0</v>
      </c>
      <c r="M2430" t="str">
        <f t="shared" si="650"/>
        <v>048314</v>
      </c>
      <c r="N2430">
        <v>1</v>
      </c>
      <c r="O2430">
        <v>1</v>
      </c>
      <c r="P2430" t="str">
        <f>"06"</f>
        <v>06</v>
      </c>
      <c r="Q2430" t="s">
        <v>835</v>
      </c>
      <c r="S2430" t="s">
        <v>836</v>
      </c>
      <c r="T2430" t="s">
        <v>836</v>
      </c>
      <c r="U2430" t="str">
        <f t="shared" si="657"/>
        <v>2500-12-31 00:00:00.0</v>
      </c>
      <c r="V2430" t="s">
        <v>837</v>
      </c>
      <c r="W2430" t="str">
        <f>"048314-070417-**-**"</f>
        <v>048314-070417-**-**</v>
      </c>
      <c r="X2430" t="s">
        <v>838</v>
      </c>
      <c r="Y2430">
        <v>1125</v>
      </c>
      <c r="Z2430">
        <v>1125</v>
      </c>
      <c r="AA2430" t="str">
        <f t="shared" si="654"/>
        <v>06/08/2016</v>
      </c>
    </row>
    <row r="2431" spans="1:27" x14ac:dyDescent="0.3">
      <c r="A2431" t="str">
        <f t="shared" si="645"/>
        <v>048314</v>
      </c>
      <c r="B2431" t="str">
        <f t="shared" si="652"/>
        <v>070417</v>
      </c>
      <c r="C2431" t="s">
        <v>3096</v>
      </c>
      <c r="D2431" t="s">
        <v>3839</v>
      </c>
      <c r="E2431" t="s">
        <v>3840</v>
      </c>
      <c r="F2431" t="s">
        <v>3841</v>
      </c>
      <c r="G2431" t="s">
        <v>3842</v>
      </c>
      <c r="H2431" t="str">
        <f t="shared" si="655"/>
        <v>048314</v>
      </c>
      <c r="I2431" t="s">
        <v>833</v>
      </c>
      <c r="J2431" t="str">
        <f t="shared" si="656"/>
        <v>2015-07-01 00:00:00.0</v>
      </c>
      <c r="K2431" t="s">
        <v>834</v>
      </c>
      <c r="L2431" t="s">
        <v>0</v>
      </c>
      <c r="M2431" t="str">
        <f t="shared" si="650"/>
        <v>048314</v>
      </c>
      <c r="N2431">
        <v>1</v>
      </c>
      <c r="O2431">
        <v>1</v>
      </c>
      <c r="P2431" t="str">
        <f>"06"</f>
        <v>06</v>
      </c>
      <c r="Q2431" t="s">
        <v>835</v>
      </c>
      <c r="S2431" t="s">
        <v>836</v>
      </c>
      <c r="T2431" t="s">
        <v>836</v>
      </c>
      <c r="U2431" t="str">
        <f t="shared" si="657"/>
        <v>2500-12-31 00:00:00.0</v>
      </c>
      <c r="V2431" t="s">
        <v>837</v>
      </c>
      <c r="W2431" t="str">
        <f>"048314-070417-**-**"</f>
        <v>048314-070417-**-**</v>
      </c>
      <c r="X2431" t="s">
        <v>838</v>
      </c>
      <c r="Y2431">
        <v>1125</v>
      </c>
      <c r="Z2431">
        <v>1125</v>
      </c>
      <c r="AA2431" t="str">
        <f t="shared" si="654"/>
        <v>06/08/2016</v>
      </c>
    </row>
    <row r="2432" spans="1:27" x14ac:dyDescent="0.3">
      <c r="A2432" t="str">
        <f t="shared" si="645"/>
        <v>048314</v>
      </c>
      <c r="B2432" t="str">
        <f t="shared" si="652"/>
        <v>070417</v>
      </c>
      <c r="C2432" t="s">
        <v>1933</v>
      </c>
      <c r="D2432" t="s">
        <v>3839</v>
      </c>
      <c r="E2432" t="s">
        <v>3840</v>
      </c>
      <c r="F2432" t="s">
        <v>3841</v>
      </c>
      <c r="G2432" t="s">
        <v>3842</v>
      </c>
      <c r="H2432" t="str">
        <f t="shared" si="655"/>
        <v>048314</v>
      </c>
      <c r="I2432" t="s">
        <v>833</v>
      </c>
      <c r="J2432" t="str">
        <f t="shared" si="656"/>
        <v>2015-07-01 00:00:00.0</v>
      </c>
      <c r="K2432" t="s">
        <v>834</v>
      </c>
      <c r="L2432" t="s">
        <v>0</v>
      </c>
      <c r="M2432" t="str">
        <f t="shared" si="650"/>
        <v>048314</v>
      </c>
      <c r="N2432">
        <v>1</v>
      </c>
      <c r="O2432">
        <v>1</v>
      </c>
      <c r="P2432" t="str">
        <f>"09"</f>
        <v>09</v>
      </c>
      <c r="Q2432" t="s">
        <v>835</v>
      </c>
      <c r="S2432" t="s">
        <v>836</v>
      </c>
      <c r="T2432" t="s">
        <v>836</v>
      </c>
      <c r="U2432" t="str">
        <f t="shared" si="657"/>
        <v>2500-12-31 00:00:00.0</v>
      </c>
      <c r="V2432" t="s">
        <v>837</v>
      </c>
      <c r="W2432" t="str">
        <f>"048314-004796-**-**"</f>
        <v>048314-004796-**-**</v>
      </c>
      <c r="X2432" t="s">
        <v>838</v>
      </c>
      <c r="Y2432">
        <v>1254.5</v>
      </c>
      <c r="Z2432">
        <v>1254.5</v>
      </c>
      <c r="AA2432" t="str">
        <f t="shared" si="654"/>
        <v>06/08/2016</v>
      </c>
    </row>
    <row r="2433" spans="1:27" x14ac:dyDescent="0.3">
      <c r="A2433" t="str">
        <f t="shared" si="645"/>
        <v>048314</v>
      </c>
      <c r="B2433" t="str">
        <f t="shared" si="652"/>
        <v>070417</v>
      </c>
      <c r="C2433" t="s">
        <v>1036</v>
      </c>
      <c r="D2433" t="s">
        <v>3839</v>
      </c>
      <c r="E2433" t="s">
        <v>3840</v>
      </c>
      <c r="F2433" t="s">
        <v>3841</v>
      </c>
      <c r="G2433" t="s">
        <v>3842</v>
      </c>
      <c r="H2433" t="str">
        <f t="shared" si="655"/>
        <v>048314</v>
      </c>
      <c r="I2433" t="s">
        <v>833</v>
      </c>
      <c r="J2433" t="str">
        <f>"2015-08-01 00:00:00.0"</f>
        <v>2015-08-01 00:00:00.0</v>
      </c>
      <c r="K2433" t="s">
        <v>834</v>
      </c>
      <c r="L2433" t="s">
        <v>0</v>
      </c>
      <c r="M2433" t="str">
        <f t="shared" si="650"/>
        <v>048314</v>
      </c>
      <c r="N2433">
        <v>1</v>
      </c>
      <c r="O2433">
        <v>1</v>
      </c>
      <c r="P2433" t="str">
        <f>"08"</f>
        <v>08</v>
      </c>
      <c r="Q2433" t="s">
        <v>835</v>
      </c>
      <c r="S2433" t="s">
        <v>836</v>
      </c>
      <c r="T2433" t="s">
        <v>836</v>
      </c>
      <c r="U2433" t="str">
        <f t="shared" si="657"/>
        <v>2500-12-31 00:00:00.0</v>
      </c>
      <c r="V2433" t="s">
        <v>837</v>
      </c>
      <c r="W2433" t="str">
        <f t="shared" ref="W2433:W2439" si="658">"048314-070417-**-**"</f>
        <v>048314-070417-**-**</v>
      </c>
      <c r="X2433" t="s">
        <v>838</v>
      </c>
      <c r="Y2433">
        <v>1125</v>
      </c>
      <c r="Z2433">
        <v>1125</v>
      </c>
      <c r="AA2433" t="str">
        <f t="shared" si="654"/>
        <v>06/08/2016</v>
      </c>
    </row>
    <row r="2434" spans="1:27" x14ac:dyDescent="0.3">
      <c r="A2434" t="str">
        <f t="shared" ref="A2434:A2497" si="659">"048314"</f>
        <v>048314</v>
      </c>
      <c r="B2434" t="str">
        <f t="shared" si="652"/>
        <v>070417</v>
      </c>
      <c r="C2434" t="s">
        <v>2107</v>
      </c>
      <c r="D2434" t="s">
        <v>3839</v>
      </c>
      <c r="E2434" t="s">
        <v>3840</v>
      </c>
      <c r="F2434" t="s">
        <v>3841</v>
      </c>
      <c r="G2434" t="s">
        <v>3842</v>
      </c>
      <c r="H2434" t="str">
        <f t="shared" si="655"/>
        <v>048314</v>
      </c>
      <c r="I2434" t="s">
        <v>833</v>
      </c>
      <c r="J2434" t="str">
        <f>"2015-07-01 00:00:00.0"</f>
        <v>2015-07-01 00:00:00.0</v>
      </c>
      <c r="K2434" t="s">
        <v>834</v>
      </c>
      <c r="L2434" t="s">
        <v>0</v>
      </c>
      <c r="M2434" t="str">
        <f t="shared" si="650"/>
        <v>048314</v>
      </c>
      <c r="N2434">
        <v>1</v>
      </c>
      <c r="O2434">
        <v>1</v>
      </c>
      <c r="P2434" t="str">
        <f>"08"</f>
        <v>08</v>
      </c>
      <c r="Q2434" t="s">
        <v>835</v>
      </c>
      <c r="S2434" t="s">
        <v>836</v>
      </c>
      <c r="T2434" t="s">
        <v>836</v>
      </c>
      <c r="U2434" t="str">
        <f t="shared" si="657"/>
        <v>2500-12-31 00:00:00.0</v>
      </c>
      <c r="V2434" t="s">
        <v>837</v>
      </c>
      <c r="W2434" t="str">
        <f t="shared" si="658"/>
        <v>048314-070417-**-**</v>
      </c>
      <c r="X2434" t="s">
        <v>838</v>
      </c>
      <c r="Y2434">
        <v>1125</v>
      </c>
      <c r="Z2434">
        <v>1125</v>
      </c>
      <c r="AA2434" t="str">
        <f t="shared" si="654"/>
        <v>06/08/2016</v>
      </c>
    </row>
    <row r="2435" spans="1:27" x14ac:dyDescent="0.3">
      <c r="A2435" t="str">
        <f t="shared" si="659"/>
        <v>048314</v>
      </c>
      <c r="B2435" t="str">
        <f t="shared" si="652"/>
        <v>070417</v>
      </c>
      <c r="C2435" t="s">
        <v>2072</v>
      </c>
      <c r="D2435" t="s">
        <v>3839</v>
      </c>
      <c r="E2435" t="s">
        <v>3840</v>
      </c>
      <c r="F2435" t="s">
        <v>3841</v>
      </c>
      <c r="G2435" t="s">
        <v>3842</v>
      </c>
      <c r="H2435" t="str">
        <f t="shared" si="655"/>
        <v>048314</v>
      </c>
      <c r="I2435" t="s">
        <v>833</v>
      </c>
      <c r="J2435" t="str">
        <f>"2015-07-01 00:00:00.0"</f>
        <v>2015-07-01 00:00:00.0</v>
      </c>
      <c r="K2435" t="s">
        <v>834</v>
      </c>
      <c r="L2435" t="s">
        <v>0</v>
      </c>
      <c r="M2435" t="str">
        <f t="shared" si="650"/>
        <v>048314</v>
      </c>
      <c r="N2435">
        <v>1</v>
      </c>
      <c r="O2435">
        <v>1</v>
      </c>
      <c r="P2435" t="str">
        <f>"08"</f>
        <v>08</v>
      </c>
      <c r="Q2435" t="s">
        <v>835</v>
      </c>
      <c r="S2435" t="s">
        <v>860</v>
      </c>
      <c r="T2435" t="s">
        <v>836</v>
      </c>
      <c r="U2435" t="str">
        <f t="shared" si="657"/>
        <v>2500-12-31 00:00:00.0</v>
      </c>
      <c r="V2435" t="s">
        <v>837</v>
      </c>
      <c r="W2435" t="str">
        <f t="shared" si="658"/>
        <v>048314-070417-**-**</v>
      </c>
      <c r="X2435" t="s">
        <v>838</v>
      </c>
      <c r="Y2435">
        <v>1125</v>
      </c>
      <c r="Z2435">
        <v>1125</v>
      </c>
      <c r="AA2435" t="str">
        <f t="shared" si="654"/>
        <v>06/08/2016</v>
      </c>
    </row>
    <row r="2436" spans="1:27" x14ac:dyDescent="0.3">
      <c r="A2436" t="str">
        <f t="shared" si="659"/>
        <v>048314</v>
      </c>
      <c r="B2436" t="str">
        <f t="shared" si="652"/>
        <v>070417</v>
      </c>
      <c r="C2436" t="s">
        <v>2585</v>
      </c>
      <c r="D2436" t="s">
        <v>3839</v>
      </c>
      <c r="E2436" t="s">
        <v>3840</v>
      </c>
      <c r="F2436" t="s">
        <v>3841</v>
      </c>
      <c r="G2436" t="s">
        <v>3842</v>
      </c>
      <c r="H2436" t="str">
        <f t="shared" si="655"/>
        <v>048314</v>
      </c>
      <c r="I2436" t="s">
        <v>833</v>
      </c>
      <c r="J2436" t="str">
        <f>"2015-07-01 00:00:00.0"</f>
        <v>2015-07-01 00:00:00.0</v>
      </c>
      <c r="K2436" t="s">
        <v>834</v>
      </c>
      <c r="L2436" t="s">
        <v>0</v>
      </c>
      <c r="M2436" t="str">
        <f t="shared" si="650"/>
        <v>048314</v>
      </c>
      <c r="N2436">
        <v>1</v>
      </c>
      <c r="O2436">
        <v>1</v>
      </c>
      <c r="P2436" t="str">
        <f>"06"</f>
        <v>06</v>
      </c>
      <c r="Q2436" t="s">
        <v>835</v>
      </c>
      <c r="S2436" t="s">
        <v>860</v>
      </c>
      <c r="T2436" t="s">
        <v>836</v>
      </c>
      <c r="U2436" t="str">
        <f t="shared" si="657"/>
        <v>2500-12-31 00:00:00.0</v>
      </c>
      <c r="V2436" t="s">
        <v>837</v>
      </c>
      <c r="W2436" t="str">
        <f t="shared" si="658"/>
        <v>048314-070417-**-**</v>
      </c>
      <c r="X2436" t="s">
        <v>838</v>
      </c>
      <c r="Y2436">
        <v>1125</v>
      </c>
      <c r="Z2436">
        <v>1125</v>
      </c>
      <c r="AA2436" t="str">
        <f t="shared" si="654"/>
        <v>06/08/2016</v>
      </c>
    </row>
    <row r="2437" spans="1:27" x14ac:dyDescent="0.3">
      <c r="A2437" t="str">
        <f t="shared" si="659"/>
        <v>048314</v>
      </c>
      <c r="B2437" t="str">
        <f t="shared" si="652"/>
        <v>070417</v>
      </c>
      <c r="C2437" t="s">
        <v>2658</v>
      </c>
      <c r="D2437" t="s">
        <v>3839</v>
      </c>
      <c r="E2437" t="s">
        <v>3840</v>
      </c>
      <c r="F2437" t="s">
        <v>3841</v>
      </c>
      <c r="G2437" t="s">
        <v>3842</v>
      </c>
      <c r="H2437" t="str">
        <f t="shared" si="655"/>
        <v>048314</v>
      </c>
      <c r="I2437" t="s">
        <v>833</v>
      </c>
      <c r="J2437" t="str">
        <f>"2015-07-01 00:00:00.0"</f>
        <v>2015-07-01 00:00:00.0</v>
      </c>
      <c r="K2437" t="s">
        <v>834</v>
      </c>
      <c r="L2437" t="s">
        <v>0</v>
      </c>
      <c r="M2437" t="str">
        <f t="shared" si="650"/>
        <v>048314</v>
      </c>
      <c r="N2437">
        <v>0.24444399999999999</v>
      </c>
      <c r="O2437">
        <v>0.24444399999999999</v>
      </c>
      <c r="P2437" t="str">
        <f>"06"</f>
        <v>06</v>
      </c>
      <c r="Q2437" t="str">
        <f>"05"</f>
        <v>05</v>
      </c>
      <c r="R2437" t="str">
        <f>"1"</f>
        <v>1</v>
      </c>
      <c r="S2437" t="s">
        <v>860</v>
      </c>
      <c r="T2437" t="s">
        <v>836</v>
      </c>
      <c r="U2437" t="str">
        <f>"2015-10-31 00:00:00.0"</f>
        <v>2015-10-31 00:00:00.0</v>
      </c>
      <c r="V2437" t="s">
        <v>837</v>
      </c>
      <c r="W2437" t="str">
        <f t="shared" si="658"/>
        <v>048314-070417-**-**</v>
      </c>
      <c r="X2437" t="s">
        <v>838</v>
      </c>
      <c r="Y2437">
        <v>275</v>
      </c>
      <c r="Z2437">
        <v>1125</v>
      </c>
      <c r="AA2437" t="str">
        <f t="shared" si="654"/>
        <v>06/08/2016</v>
      </c>
    </row>
    <row r="2438" spans="1:27" x14ac:dyDescent="0.3">
      <c r="A2438" t="str">
        <f t="shared" si="659"/>
        <v>048314</v>
      </c>
      <c r="B2438" t="str">
        <f t="shared" si="652"/>
        <v>070417</v>
      </c>
      <c r="C2438" t="s">
        <v>2284</v>
      </c>
      <c r="D2438" t="s">
        <v>3839</v>
      </c>
      <c r="E2438" t="s">
        <v>3840</v>
      </c>
      <c r="F2438" t="s">
        <v>3841</v>
      </c>
      <c r="G2438" t="s">
        <v>3842</v>
      </c>
      <c r="H2438" t="str">
        <f t="shared" si="655"/>
        <v>048314</v>
      </c>
      <c r="I2438" t="s">
        <v>833</v>
      </c>
      <c r="J2438" t="str">
        <f>"2015-09-17 00:00:00.0"</f>
        <v>2015-09-17 00:00:00.0</v>
      </c>
      <c r="K2438" t="s">
        <v>834</v>
      </c>
      <c r="L2438" t="s">
        <v>0</v>
      </c>
      <c r="M2438" t="str">
        <f t="shared" si="650"/>
        <v>048314</v>
      </c>
      <c r="N2438">
        <v>0.2</v>
      </c>
      <c r="O2438">
        <v>0.2</v>
      </c>
      <c r="P2438" t="str">
        <f>"07"</f>
        <v>07</v>
      </c>
      <c r="Q2438" t="s">
        <v>835</v>
      </c>
      <c r="S2438" t="s">
        <v>836</v>
      </c>
      <c r="T2438" t="s">
        <v>836</v>
      </c>
      <c r="U2438" t="str">
        <f>"2015-11-05 00:00:00.0"</f>
        <v>2015-11-05 00:00:00.0</v>
      </c>
      <c r="V2438" t="s">
        <v>837</v>
      </c>
      <c r="W2438" t="str">
        <f t="shared" si="658"/>
        <v>048314-070417-**-**</v>
      </c>
      <c r="X2438" t="s">
        <v>838</v>
      </c>
      <c r="Y2438">
        <v>225</v>
      </c>
      <c r="Z2438">
        <v>1125</v>
      </c>
      <c r="AA2438" t="str">
        <f t="shared" si="654"/>
        <v>06/08/2016</v>
      </c>
    </row>
    <row r="2439" spans="1:27" x14ac:dyDescent="0.3">
      <c r="A2439" t="str">
        <f t="shared" si="659"/>
        <v>048314</v>
      </c>
      <c r="B2439" t="str">
        <f t="shared" si="652"/>
        <v>070417</v>
      </c>
      <c r="C2439" t="s">
        <v>2284</v>
      </c>
      <c r="D2439" t="s">
        <v>3839</v>
      </c>
      <c r="E2439" t="s">
        <v>3840</v>
      </c>
      <c r="F2439" t="s">
        <v>3841</v>
      </c>
      <c r="G2439" t="s">
        <v>3842</v>
      </c>
      <c r="H2439" t="str">
        <f t="shared" si="655"/>
        <v>048314</v>
      </c>
      <c r="I2439" t="s">
        <v>833</v>
      </c>
      <c r="J2439" t="str">
        <f>"2015-11-06 00:00:00.0"</f>
        <v>2015-11-06 00:00:00.0</v>
      </c>
      <c r="K2439" t="s">
        <v>834</v>
      </c>
      <c r="L2439" t="s">
        <v>0</v>
      </c>
      <c r="M2439" t="str">
        <f t="shared" si="650"/>
        <v>048314</v>
      </c>
      <c r="N2439">
        <v>0.73333300000000001</v>
      </c>
      <c r="O2439">
        <v>0.73333300000000001</v>
      </c>
      <c r="P2439" t="str">
        <f>"07"</f>
        <v>07</v>
      </c>
      <c r="Q2439" t="s">
        <v>835</v>
      </c>
      <c r="S2439" t="s">
        <v>860</v>
      </c>
      <c r="T2439" t="s">
        <v>836</v>
      </c>
      <c r="U2439" t="str">
        <f t="shared" ref="U2439:U2448" si="660">"2500-12-31 00:00:00.0"</f>
        <v>2500-12-31 00:00:00.0</v>
      </c>
      <c r="V2439" t="s">
        <v>837</v>
      </c>
      <c r="W2439" t="str">
        <f t="shared" si="658"/>
        <v>048314-070417-**-**</v>
      </c>
      <c r="X2439" t="s">
        <v>838</v>
      </c>
      <c r="Y2439">
        <v>825</v>
      </c>
      <c r="Z2439">
        <v>1125</v>
      </c>
      <c r="AA2439" t="str">
        <f t="shared" si="654"/>
        <v>06/08/2016</v>
      </c>
    </row>
    <row r="2440" spans="1:27" x14ac:dyDescent="0.3">
      <c r="A2440" t="str">
        <f t="shared" si="659"/>
        <v>048314</v>
      </c>
      <c r="B2440" t="str">
        <f t="shared" si="652"/>
        <v>070417</v>
      </c>
      <c r="C2440" t="s">
        <v>1934</v>
      </c>
      <c r="D2440" t="s">
        <v>3839</v>
      </c>
      <c r="E2440" t="s">
        <v>3840</v>
      </c>
      <c r="F2440" t="s">
        <v>3841</v>
      </c>
      <c r="G2440" t="s">
        <v>3842</v>
      </c>
      <c r="H2440" t="str">
        <f t="shared" si="655"/>
        <v>048314</v>
      </c>
      <c r="I2440" t="s">
        <v>833</v>
      </c>
      <c r="J2440" t="str">
        <f t="shared" ref="J2440:J2448" si="661">"2015-07-01 00:00:00.0"</f>
        <v>2015-07-01 00:00:00.0</v>
      </c>
      <c r="K2440" t="s">
        <v>834</v>
      </c>
      <c r="L2440" t="s">
        <v>0</v>
      </c>
      <c r="M2440" t="str">
        <f t="shared" si="650"/>
        <v>048314</v>
      </c>
      <c r="N2440">
        <v>1</v>
      </c>
      <c r="O2440">
        <v>1</v>
      </c>
      <c r="P2440" t="str">
        <f>"09"</f>
        <v>09</v>
      </c>
      <c r="Q2440" t="s">
        <v>835</v>
      </c>
      <c r="S2440" t="s">
        <v>836</v>
      </c>
      <c r="T2440" t="s">
        <v>836</v>
      </c>
      <c r="U2440" t="str">
        <f t="shared" si="660"/>
        <v>2500-12-31 00:00:00.0</v>
      </c>
      <c r="V2440" t="s">
        <v>837</v>
      </c>
      <c r="W2440" t="str">
        <f>"048314-004796-**-**"</f>
        <v>048314-004796-**-**</v>
      </c>
      <c r="X2440" t="s">
        <v>838</v>
      </c>
      <c r="Y2440">
        <v>1254.5</v>
      </c>
      <c r="Z2440">
        <v>1254.5</v>
      </c>
      <c r="AA2440" t="str">
        <f t="shared" si="654"/>
        <v>06/08/2016</v>
      </c>
    </row>
    <row r="2441" spans="1:27" x14ac:dyDescent="0.3">
      <c r="A2441" t="str">
        <f t="shared" si="659"/>
        <v>048314</v>
      </c>
      <c r="B2441" t="str">
        <f t="shared" si="652"/>
        <v>070417</v>
      </c>
      <c r="C2441" t="s">
        <v>2108</v>
      </c>
      <c r="D2441" t="s">
        <v>3839</v>
      </c>
      <c r="E2441" t="s">
        <v>3840</v>
      </c>
      <c r="F2441" t="s">
        <v>3841</v>
      </c>
      <c r="G2441" t="s">
        <v>3842</v>
      </c>
      <c r="H2441" t="str">
        <f t="shared" si="655"/>
        <v>048314</v>
      </c>
      <c r="I2441" t="s">
        <v>833</v>
      </c>
      <c r="J2441" t="str">
        <f t="shared" si="661"/>
        <v>2015-07-01 00:00:00.0</v>
      </c>
      <c r="K2441" t="s">
        <v>834</v>
      </c>
      <c r="L2441" t="s">
        <v>0</v>
      </c>
      <c r="M2441" t="str">
        <f t="shared" si="650"/>
        <v>048314</v>
      </c>
      <c r="N2441">
        <v>1</v>
      </c>
      <c r="O2441">
        <v>1</v>
      </c>
      <c r="P2441" t="str">
        <f>"08"</f>
        <v>08</v>
      </c>
      <c r="Q2441" t="s">
        <v>835</v>
      </c>
      <c r="S2441" t="s">
        <v>836</v>
      </c>
      <c r="T2441" t="s">
        <v>836</v>
      </c>
      <c r="U2441" t="str">
        <f t="shared" si="660"/>
        <v>2500-12-31 00:00:00.0</v>
      </c>
      <c r="V2441" t="s">
        <v>837</v>
      </c>
      <c r="W2441" t="str">
        <f>"048314-070417-**-**"</f>
        <v>048314-070417-**-**</v>
      </c>
      <c r="X2441" t="s">
        <v>838</v>
      </c>
      <c r="Y2441">
        <v>1125</v>
      </c>
      <c r="Z2441">
        <v>1125</v>
      </c>
      <c r="AA2441" t="str">
        <f t="shared" si="654"/>
        <v>06/08/2016</v>
      </c>
    </row>
    <row r="2442" spans="1:27" x14ac:dyDescent="0.3">
      <c r="A2442" t="str">
        <f t="shared" si="659"/>
        <v>048314</v>
      </c>
      <c r="B2442" t="str">
        <f t="shared" si="652"/>
        <v>070417</v>
      </c>
      <c r="C2442" t="s">
        <v>2659</v>
      </c>
      <c r="D2442" t="s">
        <v>3839</v>
      </c>
      <c r="E2442" t="s">
        <v>3840</v>
      </c>
      <c r="F2442" t="s">
        <v>3841</v>
      </c>
      <c r="G2442" t="s">
        <v>3842</v>
      </c>
      <c r="H2442" t="str">
        <f t="shared" si="655"/>
        <v>048314</v>
      </c>
      <c r="I2442" t="s">
        <v>833</v>
      </c>
      <c r="J2442" t="str">
        <f t="shared" si="661"/>
        <v>2015-07-01 00:00:00.0</v>
      </c>
      <c r="K2442" t="s">
        <v>834</v>
      </c>
      <c r="L2442" t="s">
        <v>0</v>
      </c>
      <c r="M2442" t="str">
        <f t="shared" si="650"/>
        <v>048314</v>
      </c>
      <c r="N2442">
        <v>1</v>
      </c>
      <c r="O2442">
        <v>1</v>
      </c>
      <c r="P2442" t="str">
        <f>"06"</f>
        <v>06</v>
      </c>
      <c r="Q2442" t="s">
        <v>835</v>
      </c>
      <c r="S2442" t="s">
        <v>836</v>
      </c>
      <c r="T2442" t="s">
        <v>836</v>
      </c>
      <c r="U2442" t="str">
        <f t="shared" si="660"/>
        <v>2500-12-31 00:00:00.0</v>
      </c>
      <c r="V2442" t="s">
        <v>837</v>
      </c>
      <c r="W2442" t="str">
        <f>"048314-070417-**-**"</f>
        <v>048314-070417-**-**</v>
      </c>
      <c r="X2442" t="s">
        <v>838</v>
      </c>
      <c r="Y2442">
        <v>1125</v>
      </c>
      <c r="Z2442">
        <v>1125</v>
      </c>
      <c r="AA2442" t="str">
        <f t="shared" si="654"/>
        <v>06/08/2016</v>
      </c>
    </row>
    <row r="2443" spans="1:27" x14ac:dyDescent="0.3">
      <c r="A2443" t="str">
        <f t="shared" si="659"/>
        <v>048314</v>
      </c>
      <c r="B2443" t="str">
        <f t="shared" si="652"/>
        <v>070417</v>
      </c>
      <c r="C2443" t="s">
        <v>2109</v>
      </c>
      <c r="D2443" t="s">
        <v>3839</v>
      </c>
      <c r="E2443" t="s">
        <v>3840</v>
      </c>
      <c r="F2443" t="s">
        <v>3841</v>
      </c>
      <c r="G2443" t="s">
        <v>3842</v>
      </c>
      <c r="H2443" t="str">
        <f t="shared" si="655"/>
        <v>048314</v>
      </c>
      <c r="I2443" t="s">
        <v>833</v>
      </c>
      <c r="J2443" t="str">
        <f t="shared" si="661"/>
        <v>2015-07-01 00:00:00.0</v>
      </c>
      <c r="K2443" t="s">
        <v>834</v>
      </c>
      <c r="L2443" t="s">
        <v>0</v>
      </c>
      <c r="M2443" t="str">
        <f t="shared" si="650"/>
        <v>048314</v>
      </c>
      <c r="N2443">
        <v>1</v>
      </c>
      <c r="O2443">
        <v>1</v>
      </c>
      <c r="P2443" t="str">
        <f>"08"</f>
        <v>08</v>
      </c>
      <c r="Q2443" t="s">
        <v>835</v>
      </c>
      <c r="S2443" t="s">
        <v>836</v>
      </c>
      <c r="T2443" t="s">
        <v>836</v>
      </c>
      <c r="U2443" t="str">
        <f t="shared" si="660"/>
        <v>2500-12-31 00:00:00.0</v>
      </c>
      <c r="V2443" t="s">
        <v>837</v>
      </c>
      <c r="W2443" t="str">
        <f>"048314-070417-**-**"</f>
        <v>048314-070417-**-**</v>
      </c>
      <c r="X2443" t="s">
        <v>838</v>
      </c>
      <c r="Y2443">
        <v>1125</v>
      </c>
      <c r="Z2443">
        <v>1125</v>
      </c>
      <c r="AA2443" t="str">
        <f t="shared" si="654"/>
        <v>06/08/2016</v>
      </c>
    </row>
    <row r="2444" spans="1:27" x14ac:dyDescent="0.3">
      <c r="A2444" t="str">
        <f t="shared" si="659"/>
        <v>048314</v>
      </c>
      <c r="B2444" t="str">
        <f t="shared" si="652"/>
        <v>070417</v>
      </c>
      <c r="C2444" t="s">
        <v>3491</v>
      </c>
      <c r="D2444" t="s">
        <v>3839</v>
      </c>
      <c r="E2444" t="s">
        <v>3840</v>
      </c>
      <c r="F2444" t="s">
        <v>3841</v>
      </c>
      <c r="G2444" t="s">
        <v>3842</v>
      </c>
      <c r="H2444" t="str">
        <f t="shared" si="655"/>
        <v>048314</v>
      </c>
      <c r="I2444" t="s">
        <v>833</v>
      </c>
      <c r="J2444" t="str">
        <f t="shared" si="661"/>
        <v>2015-07-01 00:00:00.0</v>
      </c>
      <c r="K2444" t="s">
        <v>834</v>
      </c>
      <c r="L2444" t="s">
        <v>0</v>
      </c>
      <c r="M2444" t="str">
        <f t="shared" si="650"/>
        <v>048314</v>
      </c>
      <c r="N2444">
        <v>1</v>
      </c>
      <c r="O2444">
        <v>1</v>
      </c>
      <c r="P2444" t="str">
        <f>"09"</f>
        <v>09</v>
      </c>
      <c r="Q2444" t="s">
        <v>835</v>
      </c>
      <c r="S2444" t="s">
        <v>836</v>
      </c>
      <c r="T2444" t="s">
        <v>836</v>
      </c>
      <c r="U2444" t="str">
        <f t="shared" si="660"/>
        <v>2500-12-31 00:00:00.0</v>
      </c>
      <c r="V2444" t="s">
        <v>837</v>
      </c>
      <c r="W2444" t="str">
        <f>"048314-004796-**-**"</f>
        <v>048314-004796-**-**</v>
      </c>
      <c r="X2444" t="s">
        <v>838</v>
      </c>
      <c r="Y2444">
        <v>1254.5</v>
      </c>
      <c r="Z2444">
        <v>1254.5</v>
      </c>
      <c r="AA2444" t="str">
        <f t="shared" si="654"/>
        <v>06/08/2016</v>
      </c>
    </row>
    <row r="2445" spans="1:27" x14ac:dyDescent="0.3">
      <c r="A2445" t="str">
        <f t="shared" si="659"/>
        <v>048314</v>
      </c>
      <c r="B2445" t="str">
        <f t="shared" si="652"/>
        <v>070417</v>
      </c>
      <c r="C2445" t="s">
        <v>2551</v>
      </c>
      <c r="D2445" t="s">
        <v>3839</v>
      </c>
      <c r="E2445" t="s">
        <v>3840</v>
      </c>
      <c r="F2445" t="s">
        <v>3841</v>
      </c>
      <c r="G2445" t="s">
        <v>3842</v>
      </c>
      <c r="H2445" t="str">
        <f t="shared" si="655"/>
        <v>048314</v>
      </c>
      <c r="I2445" t="s">
        <v>833</v>
      </c>
      <c r="J2445" t="str">
        <f t="shared" si="661"/>
        <v>2015-07-01 00:00:00.0</v>
      </c>
      <c r="K2445" t="s">
        <v>834</v>
      </c>
      <c r="L2445" t="s">
        <v>0</v>
      </c>
      <c r="M2445" t="str">
        <f t="shared" si="650"/>
        <v>048314</v>
      </c>
      <c r="N2445">
        <v>1</v>
      </c>
      <c r="O2445">
        <v>1</v>
      </c>
      <c r="P2445" t="str">
        <f>"08"</f>
        <v>08</v>
      </c>
      <c r="Q2445" t="s">
        <v>835</v>
      </c>
      <c r="S2445" t="s">
        <v>836</v>
      </c>
      <c r="T2445" t="s">
        <v>836</v>
      </c>
      <c r="U2445" t="str">
        <f t="shared" si="660"/>
        <v>2500-12-31 00:00:00.0</v>
      </c>
      <c r="V2445" t="s">
        <v>837</v>
      </c>
      <c r="W2445" t="str">
        <f>"048314-070417-**-**"</f>
        <v>048314-070417-**-**</v>
      </c>
      <c r="X2445" t="s">
        <v>838</v>
      </c>
      <c r="Y2445">
        <v>1125</v>
      </c>
      <c r="Z2445">
        <v>1125</v>
      </c>
      <c r="AA2445" t="str">
        <f t="shared" si="654"/>
        <v>06/08/2016</v>
      </c>
    </row>
    <row r="2446" spans="1:27" x14ac:dyDescent="0.3">
      <c r="A2446" t="str">
        <f t="shared" si="659"/>
        <v>048314</v>
      </c>
      <c r="B2446" t="str">
        <f t="shared" si="652"/>
        <v>070417</v>
      </c>
      <c r="C2446" t="s">
        <v>2660</v>
      </c>
      <c r="D2446" t="s">
        <v>3839</v>
      </c>
      <c r="E2446" t="s">
        <v>3840</v>
      </c>
      <c r="F2446" t="s">
        <v>3841</v>
      </c>
      <c r="G2446" t="s">
        <v>3842</v>
      </c>
      <c r="H2446" t="str">
        <f t="shared" si="655"/>
        <v>048314</v>
      </c>
      <c r="I2446" t="s">
        <v>833</v>
      </c>
      <c r="J2446" t="str">
        <f t="shared" si="661"/>
        <v>2015-07-01 00:00:00.0</v>
      </c>
      <c r="K2446" t="s">
        <v>834</v>
      </c>
      <c r="L2446" t="s">
        <v>0</v>
      </c>
      <c r="M2446" t="str">
        <f t="shared" si="650"/>
        <v>048314</v>
      </c>
      <c r="N2446">
        <v>1</v>
      </c>
      <c r="O2446">
        <v>1</v>
      </c>
      <c r="P2446" t="str">
        <f>"07"</f>
        <v>07</v>
      </c>
      <c r="Q2446" t="s">
        <v>835</v>
      </c>
      <c r="S2446" t="s">
        <v>836</v>
      </c>
      <c r="T2446" t="s">
        <v>836</v>
      </c>
      <c r="U2446" t="str">
        <f t="shared" si="660"/>
        <v>2500-12-31 00:00:00.0</v>
      </c>
      <c r="V2446" t="s">
        <v>837</v>
      </c>
      <c r="W2446" t="str">
        <f>"048314-070417-**-**"</f>
        <v>048314-070417-**-**</v>
      </c>
      <c r="X2446" t="s">
        <v>838</v>
      </c>
      <c r="Y2446">
        <v>1125</v>
      </c>
      <c r="Z2446">
        <v>1125</v>
      </c>
      <c r="AA2446" t="str">
        <f t="shared" si="654"/>
        <v>06/08/2016</v>
      </c>
    </row>
    <row r="2447" spans="1:27" x14ac:dyDescent="0.3">
      <c r="A2447" t="str">
        <f t="shared" si="659"/>
        <v>048314</v>
      </c>
      <c r="B2447" t="str">
        <f t="shared" si="652"/>
        <v>070417</v>
      </c>
      <c r="C2447" t="s">
        <v>1935</v>
      </c>
      <c r="D2447" t="s">
        <v>3839</v>
      </c>
      <c r="E2447" t="s">
        <v>3840</v>
      </c>
      <c r="F2447" t="s">
        <v>3841</v>
      </c>
      <c r="G2447" t="s">
        <v>3842</v>
      </c>
      <c r="H2447" t="str">
        <f t="shared" si="655"/>
        <v>048314</v>
      </c>
      <c r="I2447" t="s">
        <v>833</v>
      </c>
      <c r="J2447" t="str">
        <f t="shared" si="661"/>
        <v>2015-07-01 00:00:00.0</v>
      </c>
      <c r="K2447" t="s">
        <v>834</v>
      </c>
      <c r="L2447" t="s">
        <v>0</v>
      </c>
      <c r="M2447" t="str">
        <f t="shared" si="650"/>
        <v>048314</v>
      </c>
      <c r="N2447">
        <v>1</v>
      </c>
      <c r="O2447">
        <v>1</v>
      </c>
      <c r="P2447" t="str">
        <f>"09"</f>
        <v>09</v>
      </c>
      <c r="Q2447" t="s">
        <v>835</v>
      </c>
      <c r="S2447" t="s">
        <v>836</v>
      </c>
      <c r="T2447" t="s">
        <v>836</v>
      </c>
      <c r="U2447" t="str">
        <f t="shared" si="660"/>
        <v>2500-12-31 00:00:00.0</v>
      </c>
      <c r="V2447" t="s">
        <v>837</v>
      </c>
      <c r="W2447" t="str">
        <f>"048314-004796-**-**"</f>
        <v>048314-004796-**-**</v>
      </c>
      <c r="X2447" t="s">
        <v>838</v>
      </c>
      <c r="Y2447">
        <v>1254.5</v>
      </c>
      <c r="Z2447">
        <v>1254.5</v>
      </c>
      <c r="AA2447" t="str">
        <f t="shared" si="654"/>
        <v>06/08/2016</v>
      </c>
    </row>
    <row r="2448" spans="1:27" x14ac:dyDescent="0.3">
      <c r="A2448" t="str">
        <f t="shared" si="659"/>
        <v>048314</v>
      </c>
      <c r="B2448" t="str">
        <f t="shared" si="652"/>
        <v>070417</v>
      </c>
      <c r="C2448" t="s">
        <v>2425</v>
      </c>
      <c r="D2448" t="s">
        <v>3839</v>
      </c>
      <c r="E2448" t="s">
        <v>3840</v>
      </c>
      <c r="F2448" t="s">
        <v>3841</v>
      </c>
      <c r="G2448" t="s">
        <v>3842</v>
      </c>
      <c r="H2448" t="str">
        <f t="shared" si="655"/>
        <v>048314</v>
      </c>
      <c r="I2448" t="s">
        <v>833</v>
      </c>
      <c r="J2448" t="str">
        <f t="shared" si="661"/>
        <v>2015-07-01 00:00:00.0</v>
      </c>
      <c r="K2448" t="s">
        <v>834</v>
      </c>
      <c r="L2448" t="s">
        <v>0</v>
      </c>
      <c r="M2448" t="str">
        <f t="shared" si="650"/>
        <v>048314</v>
      </c>
      <c r="N2448">
        <v>1</v>
      </c>
      <c r="O2448">
        <v>1</v>
      </c>
      <c r="P2448" t="str">
        <f>"07"</f>
        <v>07</v>
      </c>
      <c r="Q2448" t="s">
        <v>835</v>
      </c>
      <c r="S2448" t="s">
        <v>836</v>
      </c>
      <c r="T2448" t="s">
        <v>836</v>
      </c>
      <c r="U2448" t="str">
        <f t="shared" si="660"/>
        <v>2500-12-31 00:00:00.0</v>
      </c>
      <c r="V2448" t="s">
        <v>837</v>
      </c>
      <c r="W2448" t="str">
        <f>"048314-070417-**-**"</f>
        <v>048314-070417-**-**</v>
      </c>
      <c r="X2448" t="s">
        <v>838</v>
      </c>
      <c r="Y2448">
        <v>1125</v>
      </c>
      <c r="Z2448">
        <v>1125</v>
      </c>
      <c r="AA2448" t="str">
        <f t="shared" si="654"/>
        <v>06/08/2016</v>
      </c>
    </row>
    <row r="2449" spans="1:27" x14ac:dyDescent="0.3">
      <c r="A2449" t="str">
        <f t="shared" si="659"/>
        <v>048314</v>
      </c>
      <c r="B2449" t="str">
        <f t="shared" si="652"/>
        <v>070417</v>
      </c>
      <c r="C2449" t="s">
        <v>2173</v>
      </c>
      <c r="D2449" t="s">
        <v>3839</v>
      </c>
      <c r="E2449" t="s">
        <v>3840</v>
      </c>
      <c r="F2449" t="s">
        <v>3841</v>
      </c>
      <c r="G2449" t="s">
        <v>3842</v>
      </c>
      <c r="H2449" t="str">
        <f t="shared" si="655"/>
        <v>048314</v>
      </c>
      <c r="I2449" t="s">
        <v>833</v>
      </c>
      <c r="J2449" t="str">
        <f>"2015-11-09 00:00:00.0"</f>
        <v>2015-11-09 00:00:00.0</v>
      </c>
      <c r="K2449" t="s">
        <v>834</v>
      </c>
      <c r="L2449" t="s">
        <v>0</v>
      </c>
      <c r="M2449" t="str">
        <f>"046425"</f>
        <v>046425</v>
      </c>
      <c r="N2449">
        <v>0.27222200000000002</v>
      </c>
      <c r="O2449">
        <v>0.27222200000000002</v>
      </c>
      <c r="P2449" t="str">
        <f>"08"</f>
        <v>08</v>
      </c>
      <c r="Q2449" t="str">
        <f>"15"</f>
        <v>15</v>
      </c>
      <c r="R2449" t="str">
        <f>"2"</f>
        <v>2</v>
      </c>
      <c r="S2449" t="s">
        <v>836</v>
      </c>
      <c r="T2449" t="s">
        <v>836</v>
      </c>
      <c r="U2449" t="str">
        <f>"2016-02-02 00:00:00.0"</f>
        <v>2016-02-02 00:00:00.0</v>
      </c>
      <c r="V2449" t="s">
        <v>837</v>
      </c>
      <c r="W2449" t="str">
        <f>"048314-070417-**-**"</f>
        <v>048314-070417-**-**</v>
      </c>
      <c r="X2449" t="s">
        <v>838</v>
      </c>
      <c r="Y2449">
        <v>306.25</v>
      </c>
      <c r="Z2449">
        <v>1125</v>
      </c>
      <c r="AA2449" t="str">
        <f t="shared" si="654"/>
        <v>06/08/2016</v>
      </c>
    </row>
    <row r="2450" spans="1:27" x14ac:dyDescent="0.3">
      <c r="A2450" t="str">
        <f t="shared" si="659"/>
        <v>048314</v>
      </c>
      <c r="B2450" t="str">
        <f t="shared" si="652"/>
        <v>070417</v>
      </c>
      <c r="C2450" t="s">
        <v>2110</v>
      </c>
      <c r="D2450" t="s">
        <v>3839</v>
      </c>
      <c r="E2450" t="s">
        <v>3840</v>
      </c>
      <c r="F2450" t="s">
        <v>3841</v>
      </c>
      <c r="G2450" t="s">
        <v>3842</v>
      </c>
      <c r="H2450" t="str">
        <f t="shared" si="655"/>
        <v>048314</v>
      </c>
      <c r="I2450" t="s">
        <v>833</v>
      </c>
      <c r="J2450" t="str">
        <f t="shared" ref="J2450:J2477" si="662">"2015-07-01 00:00:00.0"</f>
        <v>2015-07-01 00:00:00.0</v>
      </c>
      <c r="K2450" t="s">
        <v>834</v>
      </c>
      <c r="L2450" t="s">
        <v>0</v>
      </c>
      <c r="M2450" t="str">
        <f t="shared" ref="M2450:M2513" si="663">"048314"</f>
        <v>048314</v>
      </c>
      <c r="N2450">
        <v>1</v>
      </c>
      <c r="O2450">
        <v>1</v>
      </c>
      <c r="P2450" t="str">
        <f>"08"</f>
        <v>08</v>
      </c>
      <c r="Q2450" t="s">
        <v>835</v>
      </c>
      <c r="S2450" t="s">
        <v>836</v>
      </c>
      <c r="T2450" t="s">
        <v>836</v>
      </c>
      <c r="U2450" t="str">
        <f t="shared" ref="U2450:U2478" si="664">"2500-12-31 00:00:00.0"</f>
        <v>2500-12-31 00:00:00.0</v>
      </c>
      <c r="V2450" t="s">
        <v>837</v>
      </c>
      <c r="W2450" t="str">
        <f>"048314-070417-**-**"</f>
        <v>048314-070417-**-**</v>
      </c>
      <c r="X2450" t="s">
        <v>838</v>
      </c>
      <c r="Y2450">
        <v>1125</v>
      </c>
      <c r="Z2450">
        <v>1125</v>
      </c>
      <c r="AA2450" t="str">
        <f t="shared" si="654"/>
        <v>06/08/2016</v>
      </c>
    </row>
    <row r="2451" spans="1:27" x14ac:dyDescent="0.3">
      <c r="A2451" t="str">
        <f t="shared" si="659"/>
        <v>048314</v>
      </c>
      <c r="B2451" t="str">
        <f t="shared" si="652"/>
        <v>070417</v>
      </c>
      <c r="C2451" t="s">
        <v>1936</v>
      </c>
      <c r="D2451" t="s">
        <v>3839</v>
      </c>
      <c r="E2451" t="s">
        <v>3840</v>
      </c>
      <c r="F2451" t="s">
        <v>3841</v>
      </c>
      <c r="G2451" t="s">
        <v>3842</v>
      </c>
      <c r="H2451" t="str">
        <f t="shared" si="655"/>
        <v>048314</v>
      </c>
      <c r="I2451" t="s">
        <v>833</v>
      </c>
      <c r="J2451" t="str">
        <f t="shared" si="662"/>
        <v>2015-07-01 00:00:00.0</v>
      </c>
      <c r="K2451" t="s">
        <v>834</v>
      </c>
      <c r="L2451" t="s">
        <v>0</v>
      </c>
      <c r="M2451" t="str">
        <f t="shared" si="663"/>
        <v>048314</v>
      </c>
      <c r="N2451">
        <v>1</v>
      </c>
      <c r="O2451">
        <v>1</v>
      </c>
      <c r="P2451" t="str">
        <f>"09"</f>
        <v>09</v>
      </c>
      <c r="Q2451" t="s">
        <v>835</v>
      </c>
      <c r="S2451" t="s">
        <v>836</v>
      </c>
      <c r="T2451" t="s">
        <v>836</v>
      </c>
      <c r="U2451" t="str">
        <f t="shared" si="664"/>
        <v>2500-12-31 00:00:00.0</v>
      </c>
      <c r="V2451" t="s">
        <v>837</v>
      </c>
      <c r="W2451" t="str">
        <f>"048314-004796-**-**"</f>
        <v>048314-004796-**-**</v>
      </c>
      <c r="X2451" t="s">
        <v>838</v>
      </c>
      <c r="Y2451">
        <v>1254.5</v>
      </c>
      <c r="Z2451">
        <v>1254.5</v>
      </c>
      <c r="AA2451" t="str">
        <f t="shared" si="654"/>
        <v>06/08/2016</v>
      </c>
    </row>
    <row r="2452" spans="1:27" x14ac:dyDescent="0.3">
      <c r="A2452" t="str">
        <f t="shared" si="659"/>
        <v>048314</v>
      </c>
      <c r="B2452" t="str">
        <f t="shared" si="652"/>
        <v>070417</v>
      </c>
      <c r="C2452" t="s">
        <v>2286</v>
      </c>
      <c r="D2452" t="s">
        <v>3839</v>
      </c>
      <c r="E2452" t="s">
        <v>3840</v>
      </c>
      <c r="F2452" t="s">
        <v>3841</v>
      </c>
      <c r="G2452" t="s">
        <v>3842</v>
      </c>
      <c r="H2452" t="str">
        <f>"048397"</f>
        <v>048397</v>
      </c>
      <c r="I2452" t="s">
        <v>833</v>
      </c>
      <c r="J2452" t="str">
        <f t="shared" si="662"/>
        <v>2015-07-01 00:00:00.0</v>
      </c>
      <c r="K2452" t="s">
        <v>834</v>
      </c>
      <c r="L2452" t="s">
        <v>1</v>
      </c>
      <c r="M2452" t="str">
        <f t="shared" si="663"/>
        <v>048314</v>
      </c>
      <c r="N2452">
        <v>1</v>
      </c>
      <c r="O2452">
        <v>1</v>
      </c>
      <c r="P2452" t="str">
        <f>"08"</f>
        <v>08</v>
      </c>
      <c r="Q2452" t="s">
        <v>835</v>
      </c>
      <c r="S2452" t="s">
        <v>860</v>
      </c>
      <c r="T2452" t="s">
        <v>836</v>
      </c>
      <c r="U2452" t="str">
        <f t="shared" si="664"/>
        <v>2500-12-31 00:00:00.0</v>
      </c>
      <c r="V2452" t="s">
        <v>837</v>
      </c>
      <c r="W2452" t="str">
        <f>"048397-002444-**-**"</f>
        <v>048397-002444-**-**</v>
      </c>
      <c r="X2452" t="s">
        <v>838</v>
      </c>
      <c r="Y2452">
        <v>1113.0999999999999</v>
      </c>
      <c r="Z2452">
        <v>1113.0999999999999</v>
      </c>
      <c r="AA2452" t="str">
        <f t="shared" si="654"/>
        <v>06/08/2016</v>
      </c>
    </row>
    <row r="2453" spans="1:27" x14ac:dyDescent="0.3">
      <c r="A2453" t="str">
        <f t="shared" si="659"/>
        <v>048314</v>
      </c>
      <c r="B2453" t="str">
        <f t="shared" si="652"/>
        <v>070417</v>
      </c>
      <c r="C2453" t="s">
        <v>2484</v>
      </c>
      <c r="D2453" t="s">
        <v>3839</v>
      </c>
      <c r="E2453" t="s">
        <v>3840</v>
      </c>
      <c r="F2453" t="s">
        <v>3841</v>
      </c>
      <c r="G2453" t="s">
        <v>3842</v>
      </c>
      <c r="H2453" t="str">
        <f>"048397"</f>
        <v>048397</v>
      </c>
      <c r="I2453" t="s">
        <v>833</v>
      </c>
      <c r="J2453" t="str">
        <f t="shared" si="662"/>
        <v>2015-07-01 00:00:00.0</v>
      </c>
      <c r="K2453" t="s">
        <v>834</v>
      </c>
      <c r="L2453" t="s">
        <v>1</v>
      </c>
      <c r="M2453" t="str">
        <f t="shared" si="663"/>
        <v>048314</v>
      </c>
      <c r="N2453">
        <v>1</v>
      </c>
      <c r="O2453">
        <v>1</v>
      </c>
      <c r="P2453" t="str">
        <f>"07"</f>
        <v>07</v>
      </c>
      <c r="Q2453" t="s">
        <v>835</v>
      </c>
      <c r="S2453" t="s">
        <v>860</v>
      </c>
      <c r="T2453" t="s">
        <v>836</v>
      </c>
      <c r="U2453" t="str">
        <f t="shared" si="664"/>
        <v>2500-12-31 00:00:00.0</v>
      </c>
      <c r="V2453" t="s">
        <v>837</v>
      </c>
      <c r="W2453" t="str">
        <f>"048397-002444-**-**"</f>
        <v>048397-002444-**-**</v>
      </c>
      <c r="X2453" t="s">
        <v>838</v>
      </c>
      <c r="Y2453">
        <v>1113.0999999999999</v>
      </c>
      <c r="Z2453">
        <v>1113.0999999999999</v>
      </c>
      <c r="AA2453" t="str">
        <f t="shared" si="654"/>
        <v>06/08/2016</v>
      </c>
    </row>
    <row r="2454" spans="1:27" x14ac:dyDescent="0.3">
      <c r="A2454" t="str">
        <f t="shared" si="659"/>
        <v>048314</v>
      </c>
      <c r="B2454" t="str">
        <f t="shared" si="652"/>
        <v>070417</v>
      </c>
      <c r="C2454" t="s">
        <v>2860</v>
      </c>
      <c r="D2454" t="s">
        <v>3839</v>
      </c>
      <c r="E2454" t="s">
        <v>3840</v>
      </c>
      <c r="F2454" t="s">
        <v>3841</v>
      </c>
      <c r="G2454" t="s">
        <v>3842</v>
      </c>
      <c r="H2454" t="str">
        <f>"048314"</f>
        <v>048314</v>
      </c>
      <c r="I2454" t="s">
        <v>833</v>
      </c>
      <c r="J2454" t="str">
        <f t="shared" si="662"/>
        <v>2015-07-01 00:00:00.0</v>
      </c>
      <c r="K2454" t="s">
        <v>834</v>
      </c>
      <c r="L2454" t="s">
        <v>0</v>
      </c>
      <c r="M2454" t="str">
        <f t="shared" si="663"/>
        <v>048314</v>
      </c>
      <c r="N2454">
        <v>1</v>
      </c>
      <c r="O2454">
        <v>1</v>
      </c>
      <c r="P2454" t="str">
        <f>"06"</f>
        <v>06</v>
      </c>
      <c r="Q2454" t="s">
        <v>835</v>
      </c>
      <c r="S2454" t="s">
        <v>836</v>
      </c>
      <c r="T2454" t="s">
        <v>836</v>
      </c>
      <c r="U2454" t="str">
        <f t="shared" si="664"/>
        <v>2500-12-31 00:00:00.0</v>
      </c>
      <c r="V2454" t="s">
        <v>837</v>
      </c>
      <c r="W2454" t="str">
        <f>"048314-070417-**-**"</f>
        <v>048314-070417-**-**</v>
      </c>
      <c r="X2454" t="s">
        <v>838</v>
      </c>
      <c r="Y2454">
        <v>1125</v>
      </c>
      <c r="Z2454">
        <v>1125</v>
      </c>
      <c r="AA2454" t="str">
        <f t="shared" si="654"/>
        <v>06/08/2016</v>
      </c>
    </row>
    <row r="2455" spans="1:27" x14ac:dyDescent="0.3">
      <c r="A2455" t="str">
        <f t="shared" si="659"/>
        <v>048314</v>
      </c>
      <c r="B2455" t="str">
        <f t="shared" si="652"/>
        <v>070417</v>
      </c>
      <c r="C2455" t="s">
        <v>2288</v>
      </c>
      <c r="D2455" t="s">
        <v>3839</v>
      </c>
      <c r="E2455" t="s">
        <v>3840</v>
      </c>
      <c r="F2455" t="s">
        <v>3841</v>
      </c>
      <c r="G2455" t="s">
        <v>3842</v>
      </c>
      <c r="H2455" t="str">
        <f>"048314"</f>
        <v>048314</v>
      </c>
      <c r="I2455" t="s">
        <v>833</v>
      </c>
      <c r="J2455" t="str">
        <f t="shared" si="662"/>
        <v>2015-07-01 00:00:00.0</v>
      </c>
      <c r="K2455" t="s">
        <v>834</v>
      </c>
      <c r="L2455" t="s">
        <v>0</v>
      </c>
      <c r="M2455" t="str">
        <f t="shared" si="663"/>
        <v>048314</v>
      </c>
      <c r="N2455">
        <v>1</v>
      </c>
      <c r="O2455">
        <v>1</v>
      </c>
      <c r="P2455" t="str">
        <f>"09"</f>
        <v>09</v>
      </c>
      <c r="Q2455" t="s">
        <v>835</v>
      </c>
      <c r="S2455" t="s">
        <v>836</v>
      </c>
      <c r="T2455" t="s">
        <v>836</v>
      </c>
      <c r="U2455" t="str">
        <f t="shared" si="664"/>
        <v>2500-12-31 00:00:00.0</v>
      </c>
      <c r="V2455" t="s">
        <v>837</v>
      </c>
      <c r="W2455" t="str">
        <f>"048314-004796-**-**"</f>
        <v>048314-004796-**-**</v>
      </c>
      <c r="X2455" t="s">
        <v>838</v>
      </c>
      <c r="Y2455">
        <v>1254.5</v>
      </c>
      <c r="Z2455">
        <v>1254.5</v>
      </c>
      <c r="AA2455" t="str">
        <f t="shared" si="654"/>
        <v>06/08/2016</v>
      </c>
    </row>
    <row r="2456" spans="1:27" x14ac:dyDescent="0.3">
      <c r="A2456" t="str">
        <f t="shared" si="659"/>
        <v>048314</v>
      </c>
      <c r="B2456" t="str">
        <f t="shared" si="652"/>
        <v>070417</v>
      </c>
      <c r="C2456" t="s">
        <v>2426</v>
      </c>
      <c r="D2456" t="s">
        <v>3839</v>
      </c>
      <c r="E2456" t="s">
        <v>3840</v>
      </c>
      <c r="F2456" t="s">
        <v>3841</v>
      </c>
      <c r="G2456" t="s">
        <v>3842</v>
      </c>
      <c r="H2456" t="str">
        <f>"048314"</f>
        <v>048314</v>
      </c>
      <c r="I2456" t="s">
        <v>833</v>
      </c>
      <c r="J2456" t="str">
        <f t="shared" si="662"/>
        <v>2015-07-01 00:00:00.0</v>
      </c>
      <c r="K2456" t="s">
        <v>834</v>
      </c>
      <c r="L2456" t="s">
        <v>0</v>
      </c>
      <c r="M2456" t="str">
        <f t="shared" si="663"/>
        <v>048314</v>
      </c>
      <c r="N2456">
        <v>1</v>
      </c>
      <c r="O2456">
        <v>1</v>
      </c>
      <c r="P2456" t="str">
        <f>"07"</f>
        <v>07</v>
      </c>
      <c r="Q2456" t="s">
        <v>835</v>
      </c>
      <c r="S2456" t="s">
        <v>836</v>
      </c>
      <c r="T2456" t="s">
        <v>836</v>
      </c>
      <c r="U2456" t="str">
        <f t="shared" si="664"/>
        <v>2500-12-31 00:00:00.0</v>
      </c>
      <c r="V2456" t="s">
        <v>837</v>
      </c>
      <c r="W2456" t="str">
        <f>"048314-070417-**-**"</f>
        <v>048314-070417-**-**</v>
      </c>
      <c r="X2456" t="s">
        <v>838</v>
      </c>
      <c r="Y2456">
        <v>1125</v>
      </c>
      <c r="Z2456">
        <v>1125</v>
      </c>
      <c r="AA2456" t="str">
        <f t="shared" si="654"/>
        <v>06/08/2016</v>
      </c>
    </row>
    <row r="2457" spans="1:27" x14ac:dyDescent="0.3">
      <c r="A2457" t="str">
        <f t="shared" si="659"/>
        <v>048314</v>
      </c>
      <c r="B2457" t="str">
        <f t="shared" si="652"/>
        <v>070417</v>
      </c>
      <c r="C2457" t="s">
        <v>2661</v>
      </c>
      <c r="D2457" t="s">
        <v>3839</v>
      </c>
      <c r="E2457" t="s">
        <v>3840</v>
      </c>
      <c r="F2457" t="s">
        <v>3841</v>
      </c>
      <c r="G2457" t="s">
        <v>3842</v>
      </c>
      <c r="H2457" t="str">
        <f>"048397"</f>
        <v>048397</v>
      </c>
      <c r="I2457" t="s">
        <v>833</v>
      </c>
      <c r="J2457" t="str">
        <f t="shared" si="662"/>
        <v>2015-07-01 00:00:00.0</v>
      </c>
      <c r="K2457" t="s">
        <v>834</v>
      </c>
      <c r="L2457" t="s">
        <v>1</v>
      </c>
      <c r="M2457" t="str">
        <f t="shared" si="663"/>
        <v>048314</v>
      </c>
      <c r="N2457">
        <v>1</v>
      </c>
      <c r="O2457">
        <v>1</v>
      </c>
      <c r="P2457" t="str">
        <f>"06"</f>
        <v>06</v>
      </c>
      <c r="Q2457" t="str">
        <f>"05"</f>
        <v>05</v>
      </c>
      <c r="R2457" t="str">
        <f>"1"</f>
        <v>1</v>
      </c>
      <c r="S2457" t="s">
        <v>860</v>
      </c>
      <c r="T2457" t="s">
        <v>836</v>
      </c>
      <c r="U2457" t="str">
        <f t="shared" si="664"/>
        <v>2500-12-31 00:00:00.0</v>
      </c>
      <c r="V2457" t="s">
        <v>837</v>
      </c>
      <c r="W2457" t="str">
        <f>"048397-002444-**-**"</f>
        <v>048397-002444-**-**</v>
      </c>
      <c r="X2457" t="s">
        <v>838</v>
      </c>
      <c r="Y2457">
        <v>1113.0999999999999</v>
      </c>
      <c r="Z2457">
        <v>1113.0999999999999</v>
      </c>
      <c r="AA2457" t="str">
        <f t="shared" si="654"/>
        <v>06/08/2016</v>
      </c>
    </row>
    <row r="2458" spans="1:27" x14ac:dyDescent="0.3">
      <c r="A2458" t="str">
        <f t="shared" si="659"/>
        <v>048314</v>
      </c>
      <c r="B2458" t="str">
        <f t="shared" si="652"/>
        <v>070417</v>
      </c>
      <c r="C2458" t="s">
        <v>1835</v>
      </c>
      <c r="D2458" t="s">
        <v>3839</v>
      </c>
      <c r="E2458" t="s">
        <v>3840</v>
      </c>
      <c r="F2458" t="s">
        <v>3841</v>
      </c>
      <c r="G2458" t="s">
        <v>3842</v>
      </c>
      <c r="H2458" t="str">
        <f t="shared" ref="H2458:H2463" si="665">"048314"</f>
        <v>048314</v>
      </c>
      <c r="I2458" t="s">
        <v>833</v>
      </c>
      <c r="J2458" t="str">
        <f t="shared" si="662"/>
        <v>2015-07-01 00:00:00.0</v>
      </c>
      <c r="K2458" t="s">
        <v>834</v>
      </c>
      <c r="L2458" t="s">
        <v>0</v>
      </c>
      <c r="M2458" t="str">
        <f t="shared" si="663"/>
        <v>048314</v>
      </c>
      <c r="N2458">
        <v>1</v>
      </c>
      <c r="O2458">
        <v>1</v>
      </c>
      <c r="P2458" t="str">
        <f>"07"</f>
        <v>07</v>
      </c>
      <c r="Q2458" t="str">
        <f>"15"</f>
        <v>15</v>
      </c>
      <c r="R2458" t="str">
        <f>"2"</f>
        <v>2</v>
      </c>
      <c r="S2458" t="s">
        <v>836</v>
      </c>
      <c r="T2458" t="s">
        <v>836</v>
      </c>
      <c r="U2458" t="str">
        <f t="shared" si="664"/>
        <v>2500-12-31 00:00:00.0</v>
      </c>
      <c r="V2458" t="s">
        <v>837</v>
      </c>
      <c r="W2458" t="str">
        <f>"048314-070417-**-**"</f>
        <v>048314-070417-**-**</v>
      </c>
      <c r="X2458" t="s">
        <v>838</v>
      </c>
      <c r="Y2458">
        <v>1125</v>
      </c>
      <c r="Z2458">
        <v>1125</v>
      </c>
      <c r="AA2458" t="str">
        <f t="shared" si="654"/>
        <v>06/08/2016</v>
      </c>
    </row>
    <row r="2459" spans="1:27" x14ac:dyDescent="0.3">
      <c r="A2459" t="str">
        <f t="shared" si="659"/>
        <v>048314</v>
      </c>
      <c r="B2459" t="str">
        <f t="shared" si="652"/>
        <v>070417</v>
      </c>
      <c r="C2459" t="s">
        <v>1937</v>
      </c>
      <c r="D2459" t="s">
        <v>3839</v>
      </c>
      <c r="E2459" t="s">
        <v>3840</v>
      </c>
      <c r="F2459" t="s">
        <v>3841</v>
      </c>
      <c r="G2459" t="s">
        <v>3842</v>
      </c>
      <c r="H2459" t="str">
        <f t="shared" si="665"/>
        <v>048314</v>
      </c>
      <c r="I2459" t="s">
        <v>833</v>
      </c>
      <c r="J2459" t="str">
        <f t="shared" si="662"/>
        <v>2015-07-01 00:00:00.0</v>
      </c>
      <c r="K2459" t="s">
        <v>834</v>
      </c>
      <c r="L2459" t="s">
        <v>0</v>
      </c>
      <c r="M2459" t="str">
        <f t="shared" si="663"/>
        <v>048314</v>
      </c>
      <c r="N2459">
        <v>1</v>
      </c>
      <c r="O2459">
        <v>1</v>
      </c>
      <c r="P2459" t="str">
        <f>"09"</f>
        <v>09</v>
      </c>
      <c r="Q2459" t="s">
        <v>835</v>
      </c>
      <c r="S2459" t="s">
        <v>836</v>
      </c>
      <c r="T2459" t="s">
        <v>836</v>
      </c>
      <c r="U2459" t="str">
        <f t="shared" si="664"/>
        <v>2500-12-31 00:00:00.0</v>
      </c>
      <c r="V2459" t="s">
        <v>837</v>
      </c>
      <c r="W2459" t="str">
        <f>"048314-004796-**-**"</f>
        <v>048314-004796-**-**</v>
      </c>
      <c r="X2459" t="s">
        <v>838</v>
      </c>
      <c r="Y2459">
        <v>1254.5</v>
      </c>
      <c r="Z2459">
        <v>1254.5</v>
      </c>
      <c r="AA2459" t="str">
        <f t="shared" si="654"/>
        <v>06/08/2016</v>
      </c>
    </row>
    <row r="2460" spans="1:27" x14ac:dyDescent="0.3">
      <c r="A2460" t="str">
        <f t="shared" si="659"/>
        <v>048314</v>
      </c>
      <c r="B2460" t="str">
        <f t="shared" si="652"/>
        <v>070417</v>
      </c>
      <c r="C2460" t="s">
        <v>1655</v>
      </c>
      <c r="D2460" t="s">
        <v>3839</v>
      </c>
      <c r="E2460" t="s">
        <v>3840</v>
      </c>
      <c r="F2460" t="s">
        <v>3841</v>
      </c>
      <c r="G2460" t="s">
        <v>3842</v>
      </c>
      <c r="H2460" t="str">
        <f t="shared" si="665"/>
        <v>048314</v>
      </c>
      <c r="I2460" t="s">
        <v>833</v>
      </c>
      <c r="J2460" t="str">
        <f t="shared" si="662"/>
        <v>2015-07-01 00:00:00.0</v>
      </c>
      <c r="K2460" t="s">
        <v>834</v>
      </c>
      <c r="L2460" t="s">
        <v>0</v>
      </c>
      <c r="M2460" t="str">
        <f t="shared" si="663"/>
        <v>048314</v>
      </c>
      <c r="N2460">
        <v>1</v>
      </c>
      <c r="O2460">
        <v>1</v>
      </c>
      <c r="P2460" t="str">
        <f>"09"</f>
        <v>09</v>
      </c>
      <c r="Q2460" t="s">
        <v>835</v>
      </c>
      <c r="S2460" t="s">
        <v>836</v>
      </c>
      <c r="T2460" t="s">
        <v>836</v>
      </c>
      <c r="U2460" t="str">
        <f t="shared" si="664"/>
        <v>2500-12-31 00:00:00.0</v>
      </c>
      <c r="V2460" t="s">
        <v>837</v>
      </c>
      <c r="W2460" t="str">
        <f>"048314-004796-**-**"</f>
        <v>048314-004796-**-**</v>
      </c>
      <c r="X2460" t="s">
        <v>838</v>
      </c>
      <c r="Y2460">
        <v>1254.5</v>
      </c>
      <c r="Z2460">
        <v>1254.5</v>
      </c>
      <c r="AA2460" t="str">
        <f t="shared" si="654"/>
        <v>06/08/2016</v>
      </c>
    </row>
    <row r="2461" spans="1:27" x14ac:dyDescent="0.3">
      <c r="A2461" t="str">
        <f t="shared" si="659"/>
        <v>048314</v>
      </c>
      <c r="B2461" t="str">
        <f t="shared" si="652"/>
        <v>070417</v>
      </c>
      <c r="C2461" t="s">
        <v>2111</v>
      </c>
      <c r="D2461" t="s">
        <v>3839</v>
      </c>
      <c r="E2461" t="s">
        <v>3840</v>
      </c>
      <c r="F2461" t="s">
        <v>3841</v>
      </c>
      <c r="G2461" t="s">
        <v>3842</v>
      </c>
      <c r="H2461" t="str">
        <f t="shared" si="665"/>
        <v>048314</v>
      </c>
      <c r="I2461" t="s">
        <v>833</v>
      </c>
      <c r="J2461" t="str">
        <f t="shared" si="662"/>
        <v>2015-07-01 00:00:00.0</v>
      </c>
      <c r="K2461" t="s">
        <v>834</v>
      </c>
      <c r="L2461" t="s">
        <v>0</v>
      </c>
      <c r="M2461" t="str">
        <f t="shared" si="663"/>
        <v>048314</v>
      </c>
      <c r="N2461">
        <v>1</v>
      </c>
      <c r="O2461">
        <v>1</v>
      </c>
      <c r="P2461" t="str">
        <f>"08"</f>
        <v>08</v>
      </c>
      <c r="Q2461" t="s">
        <v>835</v>
      </c>
      <c r="S2461" t="s">
        <v>836</v>
      </c>
      <c r="T2461" t="s">
        <v>836</v>
      </c>
      <c r="U2461" t="str">
        <f t="shared" si="664"/>
        <v>2500-12-31 00:00:00.0</v>
      </c>
      <c r="V2461" t="s">
        <v>837</v>
      </c>
      <c r="W2461" t="str">
        <f>"048314-070417-**-**"</f>
        <v>048314-070417-**-**</v>
      </c>
      <c r="X2461" t="s">
        <v>838</v>
      </c>
      <c r="Y2461">
        <v>1125</v>
      </c>
      <c r="Z2461">
        <v>1125</v>
      </c>
      <c r="AA2461" t="str">
        <f t="shared" si="654"/>
        <v>06/08/2016</v>
      </c>
    </row>
    <row r="2462" spans="1:27" x14ac:dyDescent="0.3">
      <c r="A2462" t="str">
        <f t="shared" si="659"/>
        <v>048314</v>
      </c>
      <c r="B2462" t="str">
        <f t="shared" si="652"/>
        <v>070417</v>
      </c>
      <c r="C2462" t="s">
        <v>1828</v>
      </c>
      <c r="D2462" t="s">
        <v>3839</v>
      </c>
      <c r="E2462" t="s">
        <v>3840</v>
      </c>
      <c r="F2462" t="s">
        <v>3841</v>
      </c>
      <c r="G2462" t="s">
        <v>3842</v>
      </c>
      <c r="H2462" t="str">
        <f t="shared" si="665"/>
        <v>048314</v>
      </c>
      <c r="I2462" t="s">
        <v>833</v>
      </c>
      <c r="J2462" t="str">
        <f t="shared" si="662"/>
        <v>2015-07-01 00:00:00.0</v>
      </c>
      <c r="K2462" t="s">
        <v>834</v>
      </c>
      <c r="L2462" t="s">
        <v>0</v>
      </c>
      <c r="M2462" t="str">
        <f t="shared" si="663"/>
        <v>048314</v>
      </c>
      <c r="N2462">
        <v>1</v>
      </c>
      <c r="O2462">
        <v>1</v>
      </c>
      <c r="P2462" t="str">
        <f>"07"</f>
        <v>07</v>
      </c>
      <c r="Q2462" t="str">
        <f>"13"</f>
        <v>13</v>
      </c>
      <c r="R2462" t="str">
        <f>"6"</f>
        <v>6</v>
      </c>
      <c r="S2462" t="s">
        <v>836</v>
      </c>
      <c r="T2462" t="s">
        <v>836</v>
      </c>
      <c r="U2462" t="str">
        <f t="shared" si="664"/>
        <v>2500-12-31 00:00:00.0</v>
      </c>
      <c r="V2462" t="s">
        <v>837</v>
      </c>
      <c r="W2462" t="str">
        <f>"048314-070417-**-**"</f>
        <v>048314-070417-**-**</v>
      </c>
      <c r="X2462" t="s">
        <v>838</v>
      </c>
      <c r="Y2462">
        <v>1125</v>
      </c>
      <c r="Z2462">
        <v>1125</v>
      </c>
      <c r="AA2462" t="str">
        <f t="shared" si="654"/>
        <v>06/08/2016</v>
      </c>
    </row>
    <row r="2463" spans="1:27" x14ac:dyDescent="0.3">
      <c r="A2463" t="str">
        <f t="shared" si="659"/>
        <v>048314</v>
      </c>
      <c r="B2463" t="str">
        <f t="shared" si="652"/>
        <v>070417</v>
      </c>
      <c r="C2463" t="s">
        <v>2662</v>
      </c>
      <c r="D2463" t="s">
        <v>3839</v>
      </c>
      <c r="E2463" t="s">
        <v>3840</v>
      </c>
      <c r="F2463" t="s">
        <v>3841</v>
      </c>
      <c r="G2463" t="s">
        <v>3842</v>
      </c>
      <c r="H2463" t="str">
        <f t="shared" si="665"/>
        <v>048314</v>
      </c>
      <c r="I2463" t="s">
        <v>833</v>
      </c>
      <c r="J2463" t="str">
        <f t="shared" si="662"/>
        <v>2015-07-01 00:00:00.0</v>
      </c>
      <c r="K2463" t="s">
        <v>834</v>
      </c>
      <c r="L2463" t="s">
        <v>0</v>
      </c>
      <c r="M2463" t="str">
        <f t="shared" si="663"/>
        <v>048314</v>
      </c>
      <c r="N2463">
        <v>1</v>
      </c>
      <c r="O2463">
        <v>1</v>
      </c>
      <c r="P2463" t="str">
        <f>"07"</f>
        <v>07</v>
      </c>
      <c r="Q2463" t="s">
        <v>835</v>
      </c>
      <c r="S2463" t="s">
        <v>836</v>
      </c>
      <c r="T2463" t="s">
        <v>836</v>
      </c>
      <c r="U2463" t="str">
        <f t="shared" si="664"/>
        <v>2500-12-31 00:00:00.0</v>
      </c>
      <c r="V2463" t="s">
        <v>837</v>
      </c>
      <c r="W2463" t="str">
        <f>"048314-070417-**-**"</f>
        <v>048314-070417-**-**</v>
      </c>
      <c r="X2463" t="s">
        <v>838</v>
      </c>
      <c r="Y2463">
        <v>1125</v>
      </c>
      <c r="Z2463">
        <v>1125</v>
      </c>
      <c r="AA2463" t="str">
        <f t="shared" si="654"/>
        <v>06/08/2016</v>
      </c>
    </row>
    <row r="2464" spans="1:27" x14ac:dyDescent="0.3">
      <c r="A2464" t="str">
        <f t="shared" si="659"/>
        <v>048314</v>
      </c>
      <c r="B2464" t="str">
        <f t="shared" si="652"/>
        <v>070417</v>
      </c>
      <c r="C2464" t="s">
        <v>1098</v>
      </c>
      <c r="D2464" t="s">
        <v>3839</v>
      </c>
      <c r="E2464" t="s">
        <v>3840</v>
      </c>
      <c r="F2464" t="s">
        <v>3841</v>
      </c>
      <c r="G2464" t="s">
        <v>3842</v>
      </c>
      <c r="H2464" t="str">
        <f>"048397"</f>
        <v>048397</v>
      </c>
      <c r="I2464" t="s">
        <v>833</v>
      </c>
      <c r="J2464" t="str">
        <f t="shared" si="662"/>
        <v>2015-07-01 00:00:00.0</v>
      </c>
      <c r="K2464" t="s">
        <v>834</v>
      </c>
      <c r="L2464" t="s">
        <v>1</v>
      </c>
      <c r="M2464" t="str">
        <f t="shared" si="663"/>
        <v>048314</v>
      </c>
      <c r="N2464">
        <v>1</v>
      </c>
      <c r="O2464">
        <v>1</v>
      </c>
      <c r="P2464" t="str">
        <f>"08"</f>
        <v>08</v>
      </c>
      <c r="Q2464" t="s">
        <v>835</v>
      </c>
      <c r="S2464" t="s">
        <v>836</v>
      </c>
      <c r="T2464" t="s">
        <v>836</v>
      </c>
      <c r="U2464" t="str">
        <f t="shared" si="664"/>
        <v>2500-12-31 00:00:00.0</v>
      </c>
      <c r="V2464" t="s">
        <v>837</v>
      </c>
      <c r="W2464" t="str">
        <f>"048397-002444-**-**"</f>
        <v>048397-002444-**-**</v>
      </c>
      <c r="X2464" t="s">
        <v>838</v>
      </c>
      <c r="Y2464">
        <v>1113.0999999999999</v>
      </c>
      <c r="Z2464">
        <v>1113.0999999999999</v>
      </c>
      <c r="AA2464" t="str">
        <f t="shared" si="654"/>
        <v>06/08/2016</v>
      </c>
    </row>
    <row r="2465" spans="1:27" x14ac:dyDescent="0.3">
      <c r="A2465" t="str">
        <f t="shared" si="659"/>
        <v>048314</v>
      </c>
      <c r="B2465" t="str">
        <f t="shared" si="652"/>
        <v>070417</v>
      </c>
      <c r="C2465" t="s">
        <v>2751</v>
      </c>
      <c r="D2465" t="s">
        <v>3839</v>
      </c>
      <c r="E2465" t="s">
        <v>3840</v>
      </c>
      <c r="F2465" t="s">
        <v>3841</v>
      </c>
      <c r="G2465" t="s">
        <v>3842</v>
      </c>
      <c r="H2465" t="str">
        <f>"048397"</f>
        <v>048397</v>
      </c>
      <c r="I2465" t="s">
        <v>833</v>
      </c>
      <c r="J2465" t="str">
        <f t="shared" si="662"/>
        <v>2015-07-01 00:00:00.0</v>
      </c>
      <c r="K2465" t="s">
        <v>834</v>
      </c>
      <c r="L2465" t="s">
        <v>1</v>
      </c>
      <c r="M2465" t="str">
        <f t="shared" si="663"/>
        <v>048314</v>
      </c>
      <c r="N2465">
        <v>1</v>
      </c>
      <c r="O2465">
        <v>1</v>
      </c>
      <c r="P2465" t="str">
        <f>"06"</f>
        <v>06</v>
      </c>
      <c r="Q2465" t="s">
        <v>835</v>
      </c>
      <c r="S2465" t="s">
        <v>836</v>
      </c>
      <c r="T2465" t="s">
        <v>836</v>
      </c>
      <c r="U2465" t="str">
        <f t="shared" si="664"/>
        <v>2500-12-31 00:00:00.0</v>
      </c>
      <c r="V2465" t="s">
        <v>837</v>
      </c>
      <c r="W2465" t="str">
        <f>"048397-002444-**-**"</f>
        <v>048397-002444-**-**</v>
      </c>
      <c r="X2465" t="s">
        <v>838</v>
      </c>
      <c r="Y2465">
        <v>1113.0999999999999</v>
      </c>
      <c r="Z2465">
        <v>1113.0999999999999</v>
      </c>
      <c r="AA2465" t="str">
        <f t="shared" si="654"/>
        <v>06/08/2016</v>
      </c>
    </row>
    <row r="2466" spans="1:27" x14ac:dyDescent="0.3">
      <c r="A2466" t="str">
        <f t="shared" si="659"/>
        <v>048314</v>
      </c>
      <c r="B2466" t="str">
        <f t="shared" si="652"/>
        <v>070417</v>
      </c>
      <c r="C2466" t="s">
        <v>2663</v>
      </c>
      <c r="D2466" t="s">
        <v>3839</v>
      </c>
      <c r="E2466" t="s">
        <v>3840</v>
      </c>
      <c r="F2466" t="s">
        <v>3841</v>
      </c>
      <c r="G2466" t="s">
        <v>3842</v>
      </c>
      <c r="H2466" t="str">
        <f t="shared" ref="H2466:H2529" si="666">"048314"</f>
        <v>048314</v>
      </c>
      <c r="I2466" t="s">
        <v>833</v>
      </c>
      <c r="J2466" t="str">
        <f t="shared" si="662"/>
        <v>2015-07-01 00:00:00.0</v>
      </c>
      <c r="K2466" t="s">
        <v>834</v>
      </c>
      <c r="L2466" t="s">
        <v>0</v>
      </c>
      <c r="M2466" t="str">
        <f t="shared" si="663"/>
        <v>048314</v>
      </c>
      <c r="N2466">
        <v>1</v>
      </c>
      <c r="O2466">
        <v>1</v>
      </c>
      <c r="P2466" t="str">
        <f>"06"</f>
        <v>06</v>
      </c>
      <c r="Q2466" t="s">
        <v>835</v>
      </c>
      <c r="S2466" t="s">
        <v>836</v>
      </c>
      <c r="T2466" t="s">
        <v>836</v>
      </c>
      <c r="U2466" t="str">
        <f t="shared" si="664"/>
        <v>2500-12-31 00:00:00.0</v>
      </c>
      <c r="V2466" t="s">
        <v>837</v>
      </c>
      <c r="W2466" t="str">
        <f>"048314-070417-**-**"</f>
        <v>048314-070417-**-**</v>
      </c>
      <c r="X2466" t="s">
        <v>838</v>
      </c>
      <c r="Y2466">
        <v>1125</v>
      </c>
      <c r="Z2466">
        <v>1125</v>
      </c>
      <c r="AA2466" t="str">
        <f t="shared" si="654"/>
        <v>06/08/2016</v>
      </c>
    </row>
    <row r="2467" spans="1:27" x14ac:dyDescent="0.3">
      <c r="A2467" t="str">
        <f t="shared" si="659"/>
        <v>048314</v>
      </c>
      <c r="B2467" t="str">
        <f t="shared" si="652"/>
        <v>070417</v>
      </c>
      <c r="C2467" t="s">
        <v>2112</v>
      </c>
      <c r="D2467" t="s">
        <v>3839</v>
      </c>
      <c r="E2467" t="s">
        <v>3840</v>
      </c>
      <c r="F2467" t="s">
        <v>3841</v>
      </c>
      <c r="G2467" t="s">
        <v>3842</v>
      </c>
      <c r="H2467" t="str">
        <f t="shared" si="666"/>
        <v>048314</v>
      </c>
      <c r="I2467" t="s">
        <v>833</v>
      </c>
      <c r="J2467" t="str">
        <f t="shared" si="662"/>
        <v>2015-07-01 00:00:00.0</v>
      </c>
      <c r="K2467" t="s">
        <v>834</v>
      </c>
      <c r="L2467" t="s">
        <v>0</v>
      </c>
      <c r="M2467" t="str">
        <f t="shared" si="663"/>
        <v>048314</v>
      </c>
      <c r="N2467">
        <v>1</v>
      </c>
      <c r="O2467">
        <v>1</v>
      </c>
      <c r="P2467" t="str">
        <f>"08"</f>
        <v>08</v>
      </c>
      <c r="Q2467" t="s">
        <v>835</v>
      </c>
      <c r="S2467" t="s">
        <v>836</v>
      </c>
      <c r="T2467" t="s">
        <v>836</v>
      </c>
      <c r="U2467" t="str">
        <f t="shared" si="664"/>
        <v>2500-12-31 00:00:00.0</v>
      </c>
      <c r="V2467" t="s">
        <v>837</v>
      </c>
      <c r="W2467" t="str">
        <f>"048314-070417-**-**"</f>
        <v>048314-070417-**-**</v>
      </c>
      <c r="X2467" t="s">
        <v>838</v>
      </c>
      <c r="Y2467">
        <v>1125</v>
      </c>
      <c r="Z2467">
        <v>1125</v>
      </c>
      <c r="AA2467" t="str">
        <f t="shared" si="654"/>
        <v>06/08/2016</v>
      </c>
    </row>
    <row r="2468" spans="1:27" x14ac:dyDescent="0.3">
      <c r="A2468" t="str">
        <f t="shared" si="659"/>
        <v>048314</v>
      </c>
      <c r="B2468" t="str">
        <f t="shared" ref="B2468:B2531" si="667">"070417"</f>
        <v>070417</v>
      </c>
      <c r="C2468" t="s">
        <v>2354</v>
      </c>
      <c r="D2468" t="s">
        <v>3839</v>
      </c>
      <c r="E2468" t="s">
        <v>3840</v>
      </c>
      <c r="F2468" t="s">
        <v>3841</v>
      </c>
      <c r="G2468" t="s">
        <v>3842</v>
      </c>
      <c r="H2468" t="str">
        <f t="shared" si="666"/>
        <v>048314</v>
      </c>
      <c r="I2468" t="s">
        <v>833</v>
      </c>
      <c r="J2468" t="str">
        <f t="shared" si="662"/>
        <v>2015-07-01 00:00:00.0</v>
      </c>
      <c r="K2468" t="s">
        <v>834</v>
      </c>
      <c r="L2468" t="s">
        <v>0</v>
      </c>
      <c r="M2468" t="str">
        <f t="shared" si="663"/>
        <v>048314</v>
      </c>
      <c r="N2468">
        <v>1</v>
      </c>
      <c r="O2468">
        <v>1</v>
      </c>
      <c r="P2468" t="str">
        <f>"07"</f>
        <v>07</v>
      </c>
      <c r="Q2468" t="s">
        <v>835</v>
      </c>
      <c r="S2468" t="s">
        <v>836</v>
      </c>
      <c r="T2468" t="s">
        <v>836</v>
      </c>
      <c r="U2468" t="str">
        <f t="shared" si="664"/>
        <v>2500-12-31 00:00:00.0</v>
      </c>
      <c r="V2468" t="s">
        <v>837</v>
      </c>
      <c r="W2468" t="str">
        <f>"048314-070417-**-**"</f>
        <v>048314-070417-**-**</v>
      </c>
      <c r="X2468" t="s">
        <v>838</v>
      </c>
      <c r="Y2468">
        <v>1125</v>
      </c>
      <c r="Z2468">
        <v>1125</v>
      </c>
      <c r="AA2468" t="str">
        <f t="shared" si="654"/>
        <v>06/08/2016</v>
      </c>
    </row>
    <row r="2469" spans="1:27" x14ac:dyDescent="0.3">
      <c r="A2469" t="str">
        <f t="shared" si="659"/>
        <v>048314</v>
      </c>
      <c r="B2469" t="str">
        <f t="shared" si="667"/>
        <v>070417</v>
      </c>
      <c r="C2469" t="s">
        <v>1982</v>
      </c>
      <c r="D2469" t="s">
        <v>3839</v>
      </c>
      <c r="E2469" t="s">
        <v>3840</v>
      </c>
      <c r="F2469" t="s">
        <v>3841</v>
      </c>
      <c r="G2469" t="s">
        <v>3842</v>
      </c>
      <c r="H2469" t="str">
        <f t="shared" si="666"/>
        <v>048314</v>
      </c>
      <c r="I2469" t="s">
        <v>833</v>
      </c>
      <c r="J2469" t="str">
        <f t="shared" si="662"/>
        <v>2015-07-01 00:00:00.0</v>
      </c>
      <c r="K2469" t="s">
        <v>834</v>
      </c>
      <c r="L2469" t="s">
        <v>0</v>
      </c>
      <c r="M2469" t="str">
        <f t="shared" si="663"/>
        <v>048314</v>
      </c>
      <c r="N2469">
        <v>1</v>
      </c>
      <c r="O2469">
        <v>1</v>
      </c>
      <c r="P2469" t="str">
        <f>"09"</f>
        <v>09</v>
      </c>
      <c r="Q2469" t="s">
        <v>835</v>
      </c>
      <c r="S2469" t="s">
        <v>836</v>
      </c>
      <c r="T2469" t="s">
        <v>836</v>
      </c>
      <c r="U2469" t="str">
        <f t="shared" si="664"/>
        <v>2500-12-31 00:00:00.0</v>
      </c>
      <c r="V2469" t="s">
        <v>837</v>
      </c>
      <c r="W2469" t="str">
        <f>"048314-004796-**-**"</f>
        <v>048314-004796-**-**</v>
      </c>
      <c r="X2469" t="s">
        <v>838</v>
      </c>
      <c r="Y2469">
        <v>1254.5</v>
      </c>
      <c r="Z2469">
        <v>1254.5</v>
      </c>
      <c r="AA2469" t="str">
        <f t="shared" si="654"/>
        <v>06/08/2016</v>
      </c>
    </row>
    <row r="2470" spans="1:27" x14ac:dyDescent="0.3">
      <c r="A2470" t="str">
        <f t="shared" si="659"/>
        <v>048314</v>
      </c>
      <c r="B2470" t="str">
        <f t="shared" si="667"/>
        <v>070417</v>
      </c>
      <c r="C2470" t="s">
        <v>3246</v>
      </c>
      <c r="D2470" t="s">
        <v>3839</v>
      </c>
      <c r="E2470" t="s">
        <v>3840</v>
      </c>
      <c r="F2470" t="s">
        <v>3841</v>
      </c>
      <c r="G2470" t="s">
        <v>3842</v>
      </c>
      <c r="H2470" t="str">
        <f t="shared" si="666"/>
        <v>048314</v>
      </c>
      <c r="I2470" t="s">
        <v>833</v>
      </c>
      <c r="J2470" t="str">
        <f t="shared" si="662"/>
        <v>2015-07-01 00:00:00.0</v>
      </c>
      <c r="K2470" t="s">
        <v>834</v>
      </c>
      <c r="L2470" t="s">
        <v>0</v>
      </c>
      <c r="M2470" t="str">
        <f t="shared" si="663"/>
        <v>048314</v>
      </c>
      <c r="N2470">
        <v>1</v>
      </c>
      <c r="O2470">
        <v>1</v>
      </c>
      <c r="P2470" t="str">
        <f>"09"</f>
        <v>09</v>
      </c>
      <c r="Q2470" t="s">
        <v>835</v>
      </c>
      <c r="S2470" t="s">
        <v>836</v>
      </c>
      <c r="T2470" t="s">
        <v>836</v>
      </c>
      <c r="U2470" t="str">
        <f t="shared" si="664"/>
        <v>2500-12-31 00:00:00.0</v>
      </c>
      <c r="V2470" t="s">
        <v>837</v>
      </c>
      <c r="W2470" t="str">
        <f>"048314-004796-**-**"</f>
        <v>048314-004796-**-**</v>
      </c>
      <c r="X2470" t="s">
        <v>838</v>
      </c>
      <c r="Y2470">
        <v>1254.5</v>
      </c>
      <c r="Z2470">
        <v>1254.5</v>
      </c>
      <c r="AA2470" t="str">
        <f t="shared" si="654"/>
        <v>06/08/2016</v>
      </c>
    </row>
    <row r="2471" spans="1:27" x14ac:dyDescent="0.3">
      <c r="A2471" t="str">
        <f t="shared" si="659"/>
        <v>048314</v>
      </c>
      <c r="B2471" t="str">
        <f t="shared" si="667"/>
        <v>070417</v>
      </c>
      <c r="C2471" t="s">
        <v>1940</v>
      </c>
      <c r="D2471" t="s">
        <v>3839</v>
      </c>
      <c r="E2471" t="s">
        <v>3840</v>
      </c>
      <c r="F2471" t="s">
        <v>3841</v>
      </c>
      <c r="G2471" t="s">
        <v>3842</v>
      </c>
      <c r="H2471" t="str">
        <f t="shared" si="666"/>
        <v>048314</v>
      </c>
      <c r="I2471" t="s">
        <v>833</v>
      </c>
      <c r="J2471" t="str">
        <f t="shared" si="662"/>
        <v>2015-07-01 00:00:00.0</v>
      </c>
      <c r="K2471" t="s">
        <v>834</v>
      </c>
      <c r="L2471" t="s">
        <v>0</v>
      </c>
      <c r="M2471" t="str">
        <f t="shared" si="663"/>
        <v>048314</v>
      </c>
      <c r="N2471">
        <v>1</v>
      </c>
      <c r="O2471">
        <v>1</v>
      </c>
      <c r="P2471" t="str">
        <f>"08"</f>
        <v>08</v>
      </c>
      <c r="Q2471" t="s">
        <v>835</v>
      </c>
      <c r="S2471" t="s">
        <v>836</v>
      </c>
      <c r="T2471" t="s">
        <v>836</v>
      </c>
      <c r="U2471" t="str">
        <f t="shared" si="664"/>
        <v>2500-12-31 00:00:00.0</v>
      </c>
      <c r="V2471" t="s">
        <v>837</v>
      </c>
      <c r="W2471" t="str">
        <f t="shared" ref="W2471:W2483" si="668">"048314-070417-**-**"</f>
        <v>048314-070417-**-**</v>
      </c>
      <c r="X2471" t="s">
        <v>838</v>
      </c>
      <c r="Y2471">
        <v>1125</v>
      </c>
      <c r="Z2471">
        <v>1125</v>
      </c>
      <c r="AA2471" t="str">
        <f t="shared" ref="AA2471:AA2534" si="669">"06/08/2016"</f>
        <v>06/08/2016</v>
      </c>
    </row>
    <row r="2472" spans="1:27" x14ac:dyDescent="0.3">
      <c r="A2472" t="str">
        <f t="shared" si="659"/>
        <v>048314</v>
      </c>
      <c r="B2472" t="str">
        <f t="shared" si="667"/>
        <v>070417</v>
      </c>
      <c r="C2472" t="s">
        <v>3105</v>
      </c>
      <c r="D2472" t="s">
        <v>3839</v>
      </c>
      <c r="E2472" t="s">
        <v>3840</v>
      </c>
      <c r="F2472" t="s">
        <v>3841</v>
      </c>
      <c r="G2472" t="s">
        <v>3842</v>
      </c>
      <c r="H2472" t="str">
        <f t="shared" si="666"/>
        <v>048314</v>
      </c>
      <c r="I2472" t="s">
        <v>833</v>
      </c>
      <c r="J2472" t="str">
        <f t="shared" si="662"/>
        <v>2015-07-01 00:00:00.0</v>
      </c>
      <c r="K2472" t="s">
        <v>834</v>
      </c>
      <c r="L2472" t="s">
        <v>0</v>
      </c>
      <c r="M2472" t="str">
        <f t="shared" si="663"/>
        <v>048314</v>
      </c>
      <c r="N2472">
        <v>1</v>
      </c>
      <c r="O2472">
        <v>1</v>
      </c>
      <c r="P2472" t="str">
        <f>"07"</f>
        <v>07</v>
      </c>
      <c r="Q2472" t="s">
        <v>835</v>
      </c>
      <c r="S2472" t="s">
        <v>836</v>
      </c>
      <c r="T2472" t="s">
        <v>836</v>
      </c>
      <c r="U2472" t="str">
        <f t="shared" si="664"/>
        <v>2500-12-31 00:00:00.0</v>
      </c>
      <c r="V2472" t="s">
        <v>837</v>
      </c>
      <c r="W2472" t="str">
        <f t="shared" si="668"/>
        <v>048314-070417-**-**</v>
      </c>
      <c r="X2472" t="s">
        <v>838</v>
      </c>
      <c r="Y2472">
        <v>1125</v>
      </c>
      <c r="Z2472">
        <v>1125</v>
      </c>
      <c r="AA2472" t="str">
        <f t="shared" si="669"/>
        <v>06/08/2016</v>
      </c>
    </row>
    <row r="2473" spans="1:27" x14ac:dyDescent="0.3">
      <c r="A2473" t="str">
        <f t="shared" si="659"/>
        <v>048314</v>
      </c>
      <c r="B2473" t="str">
        <f t="shared" si="667"/>
        <v>070417</v>
      </c>
      <c r="C2473" t="s">
        <v>2427</v>
      </c>
      <c r="D2473" t="s">
        <v>3839</v>
      </c>
      <c r="E2473" t="s">
        <v>3840</v>
      </c>
      <c r="F2473" t="s">
        <v>3841</v>
      </c>
      <c r="G2473" t="s">
        <v>3842</v>
      </c>
      <c r="H2473" t="str">
        <f t="shared" si="666"/>
        <v>048314</v>
      </c>
      <c r="I2473" t="s">
        <v>833</v>
      </c>
      <c r="J2473" t="str">
        <f t="shared" si="662"/>
        <v>2015-07-01 00:00:00.0</v>
      </c>
      <c r="K2473" t="s">
        <v>834</v>
      </c>
      <c r="L2473" t="s">
        <v>0</v>
      </c>
      <c r="M2473" t="str">
        <f t="shared" si="663"/>
        <v>048314</v>
      </c>
      <c r="N2473">
        <v>1</v>
      </c>
      <c r="O2473">
        <v>1</v>
      </c>
      <c r="P2473" t="str">
        <f>"08"</f>
        <v>08</v>
      </c>
      <c r="Q2473" t="s">
        <v>835</v>
      </c>
      <c r="S2473" t="s">
        <v>836</v>
      </c>
      <c r="T2473" t="s">
        <v>836</v>
      </c>
      <c r="U2473" t="str">
        <f t="shared" si="664"/>
        <v>2500-12-31 00:00:00.0</v>
      </c>
      <c r="V2473" t="s">
        <v>837</v>
      </c>
      <c r="W2473" t="str">
        <f t="shared" si="668"/>
        <v>048314-070417-**-**</v>
      </c>
      <c r="X2473" t="s">
        <v>838</v>
      </c>
      <c r="Y2473">
        <v>1125</v>
      </c>
      <c r="Z2473">
        <v>1125</v>
      </c>
      <c r="AA2473" t="str">
        <f t="shared" si="669"/>
        <v>06/08/2016</v>
      </c>
    </row>
    <row r="2474" spans="1:27" x14ac:dyDescent="0.3">
      <c r="A2474" t="str">
        <f t="shared" si="659"/>
        <v>048314</v>
      </c>
      <c r="B2474" t="str">
        <f t="shared" si="667"/>
        <v>070417</v>
      </c>
      <c r="C2474" t="s">
        <v>2113</v>
      </c>
      <c r="D2474" t="s">
        <v>3839</v>
      </c>
      <c r="E2474" t="s">
        <v>3840</v>
      </c>
      <c r="F2474" t="s">
        <v>3841</v>
      </c>
      <c r="G2474" t="s">
        <v>3842</v>
      </c>
      <c r="H2474" t="str">
        <f t="shared" si="666"/>
        <v>048314</v>
      </c>
      <c r="I2474" t="s">
        <v>833</v>
      </c>
      <c r="J2474" t="str">
        <f t="shared" si="662"/>
        <v>2015-07-01 00:00:00.0</v>
      </c>
      <c r="K2474" t="s">
        <v>834</v>
      </c>
      <c r="L2474" t="s">
        <v>0</v>
      </c>
      <c r="M2474" t="str">
        <f t="shared" si="663"/>
        <v>048314</v>
      </c>
      <c r="N2474">
        <v>1</v>
      </c>
      <c r="O2474">
        <v>1</v>
      </c>
      <c r="P2474" t="str">
        <f>"08"</f>
        <v>08</v>
      </c>
      <c r="Q2474" t="s">
        <v>835</v>
      </c>
      <c r="S2474" t="s">
        <v>836</v>
      </c>
      <c r="T2474" t="s">
        <v>836</v>
      </c>
      <c r="U2474" t="str">
        <f t="shared" si="664"/>
        <v>2500-12-31 00:00:00.0</v>
      </c>
      <c r="V2474" t="s">
        <v>837</v>
      </c>
      <c r="W2474" t="str">
        <f t="shared" si="668"/>
        <v>048314-070417-**-**</v>
      </c>
      <c r="X2474" t="s">
        <v>838</v>
      </c>
      <c r="Y2474">
        <v>1125</v>
      </c>
      <c r="Z2474">
        <v>1125</v>
      </c>
      <c r="AA2474" t="str">
        <f t="shared" si="669"/>
        <v>06/08/2016</v>
      </c>
    </row>
    <row r="2475" spans="1:27" x14ac:dyDescent="0.3">
      <c r="A2475" t="str">
        <f t="shared" si="659"/>
        <v>048314</v>
      </c>
      <c r="B2475" t="str">
        <f t="shared" si="667"/>
        <v>070417</v>
      </c>
      <c r="C2475" t="s">
        <v>2664</v>
      </c>
      <c r="D2475" t="s">
        <v>3839</v>
      </c>
      <c r="E2475" t="s">
        <v>3840</v>
      </c>
      <c r="F2475" t="s">
        <v>3841</v>
      </c>
      <c r="G2475" t="s">
        <v>3842</v>
      </c>
      <c r="H2475" t="str">
        <f t="shared" si="666"/>
        <v>048314</v>
      </c>
      <c r="I2475" t="s">
        <v>833</v>
      </c>
      <c r="J2475" t="str">
        <f t="shared" si="662"/>
        <v>2015-07-01 00:00:00.0</v>
      </c>
      <c r="K2475" t="s">
        <v>834</v>
      </c>
      <c r="L2475" t="s">
        <v>0</v>
      </c>
      <c r="M2475" t="str">
        <f t="shared" si="663"/>
        <v>048314</v>
      </c>
      <c r="N2475">
        <v>1</v>
      </c>
      <c r="O2475">
        <v>1</v>
      </c>
      <c r="P2475" t="str">
        <f>"06"</f>
        <v>06</v>
      </c>
      <c r="Q2475" t="s">
        <v>835</v>
      </c>
      <c r="S2475" t="s">
        <v>836</v>
      </c>
      <c r="T2475" t="s">
        <v>836</v>
      </c>
      <c r="U2475" t="str">
        <f t="shared" si="664"/>
        <v>2500-12-31 00:00:00.0</v>
      </c>
      <c r="V2475" t="s">
        <v>837</v>
      </c>
      <c r="W2475" t="str">
        <f t="shared" si="668"/>
        <v>048314-070417-**-**</v>
      </c>
      <c r="X2475" t="s">
        <v>838</v>
      </c>
      <c r="Y2475">
        <v>1125</v>
      </c>
      <c r="Z2475">
        <v>1125</v>
      </c>
      <c r="AA2475" t="str">
        <f t="shared" si="669"/>
        <v>06/08/2016</v>
      </c>
    </row>
    <row r="2476" spans="1:27" x14ac:dyDescent="0.3">
      <c r="A2476" t="str">
        <f t="shared" si="659"/>
        <v>048314</v>
      </c>
      <c r="B2476" t="str">
        <f t="shared" si="667"/>
        <v>070417</v>
      </c>
      <c r="C2476" t="s">
        <v>2271</v>
      </c>
      <c r="D2476" t="s">
        <v>3839</v>
      </c>
      <c r="E2476" t="s">
        <v>3840</v>
      </c>
      <c r="F2476" t="s">
        <v>3841</v>
      </c>
      <c r="G2476" t="s">
        <v>3842</v>
      </c>
      <c r="H2476" t="str">
        <f t="shared" si="666"/>
        <v>048314</v>
      </c>
      <c r="I2476" t="s">
        <v>833</v>
      </c>
      <c r="J2476" t="str">
        <f t="shared" si="662"/>
        <v>2015-07-01 00:00:00.0</v>
      </c>
      <c r="K2476" t="s">
        <v>834</v>
      </c>
      <c r="L2476" t="s">
        <v>0</v>
      </c>
      <c r="M2476" t="str">
        <f t="shared" si="663"/>
        <v>048314</v>
      </c>
      <c r="N2476">
        <v>1</v>
      </c>
      <c r="O2476">
        <v>1</v>
      </c>
      <c r="P2476" t="str">
        <f>"08"</f>
        <v>08</v>
      </c>
      <c r="Q2476" t="s">
        <v>835</v>
      </c>
      <c r="S2476" t="s">
        <v>836</v>
      </c>
      <c r="T2476" t="s">
        <v>836</v>
      </c>
      <c r="U2476" t="str">
        <f t="shared" si="664"/>
        <v>2500-12-31 00:00:00.0</v>
      </c>
      <c r="V2476" t="s">
        <v>837</v>
      </c>
      <c r="W2476" t="str">
        <f t="shared" si="668"/>
        <v>048314-070417-**-**</v>
      </c>
      <c r="X2476" t="s">
        <v>838</v>
      </c>
      <c r="Y2476">
        <v>1125</v>
      </c>
      <c r="Z2476">
        <v>1125</v>
      </c>
      <c r="AA2476" t="str">
        <f t="shared" si="669"/>
        <v>06/08/2016</v>
      </c>
    </row>
    <row r="2477" spans="1:27" x14ac:dyDescent="0.3">
      <c r="A2477" t="str">
        <f t="shared" si="659"/>
        <v>048314</v>
      </c>
      <c r="B2477" t="str">
        <f t="shared" si="667"/>
        <v>070417</v>
      </c>
      <c r="C2477" t="s">
        <v>2114</v>
      </c>
      <c r="D2477" t="s">
        <v>3839</v>
      </c>
      <c r="E2477" t="s">
        <v>3840</v>
      </c>
      <c r="F2477" t="s">
        <v>3841</v>
      </c>
      <c r="G2477" t="s">
        <v>3842</v>
      </c>
      <c r="H2477" t="str">
        <f t="shared" si="666"/>
        <v>048314</v>
      </c>
      <c r="I2477" t="s">
        <v>833</v>
      </c>
      <c r="J2477" t="str">
        <f t="shared" si="662"/>
        <v>2015-07-01 00:00:00.0</v>
      </c>
      <c r="K2477" t="s">
        <v>834</v>
      </c>
      <c r="L2477" t="s">
        <v>0</v>
      </c>
      <c r="M2477" t="str">
        <f t="shared" si="663"/>
        <v>048314</v>
      </c>
      <c r="N2477">
        <v>1</v>
      </c>
      <c r="O2477">
        <v>1</v>
      </c>
      <c r="P2477" t="str">
        <f>"07"</f>
        <v>07</v>
      </c>
      <c r="Q2477" t="s">
        <v>835</v>
      </c>
      <c r="S2477" t="s">
        <v>836</v>
      </c>
      <c r="T2477" t="s">
        <v>836</v>
      </c>
      <c r="U2477" t="str">
        <f t="shared" si="664"/>
        <v>2500-12-31 00:00:00.0</v>
      </c>
      <c r="V2477" t="s">
        <v>837</v>
      </c>
      <c r="W2477" t="str">
        <f t="shared" si="668"/>
        <v>048314-070417-**-**</v>
      </c>
      <c r="X2477" t="s">
        <v>838</v>
      </c>
      <c r="Y2477">
        <v>1125</v>
      </c>
      <c r="Z2477">
        <v>1125</v>
      </c>
      <c r="AA2477" t="str">
        <f t="shared" si="669"/>
        <v>06/08/2016</v>
      </c>
    </row>
    <row r="2478" spans="1:27" x14ac:dyDescent="0.3">
      <c r="A2478" t="str">
        <f t="shared" si="659"/>
        <v>048314</v>
      </c>
      <c r="B2478" t="str">
        <f t="shared" si="667"/>
        <v>070417</v>
      </c>
      <c r="C2478" t="s">
        <v>2529</v>
      </c>
      <c r="D2478" t="s">
        <v>3839</v>
      </c>
      <c r="E2478" t="s">
        <v>3840</v>
      </c>
      <c r="F2478" t="s">
        <v>3841</v>
      </c>
      <c r="G2478" t="s">
        <v>3842</v>
      </c>
      <c r="H2478" t="str">
        <f t="shared" si="666"/>
        <v>048314</v>
      </c>
      <c r="I2478" t="s">
        <v>833</v>
      </c>
      <c r="J2478" t="str">
        <f>"2016-02-05 00:00:00.0"</f>
        <v>2016-02-05 00:00:00.0</v>
      </c>
      <c r="K2478" t="s">
        <v>834</v>
      </c>
      <c r="L2478" t="s">
        <v>0</v>
      </c>
      <c r="M2478" t="str">
        <f t="shared" si="663"/>
        <v>048314</v>
      </c>
      <c r="N2478">
        <v>0.44444400000000001</v>
      </c>
      <c r="O2478">
        <v>0.44444400000000001</v>
      </c>
      <c r="P2478" t="str">
        <f>"08"</f>
        <v>08</v>
      </c>
      <c r="Q2478" t="s">
        <v>835</v>
      </c>
      <c r="S2478" t="s">
        <v>860</v>
      </c>
      <c r="T2478" t="s">
        <v>836</v>
      </c>
      <c r="U2478" t="str">
        <f t="shared" si="664"/>
        <v>2500-12-31 00:00:00.0</v>
      </c>
      <c r="V2478" t="s">
        <v>837</v>
      </c>
      <c r="W2478" t="str">
        <f t="shared" si="668"/>
        <v>048314-070417-**-**</v>
      </c>
      <c r="X2478" t="s">
        <v>838</v>
      </c>
      <c r="Y2478">
        <v>500</v>
      </c>
      <c r="Z2478">
        <v>1125</v>
      </c>
      <c r="AA2478" t="str">
        <f t="shared" si="669"/>
        <v>06/08/2016</v>
      </c>
    </row>
    <row r="2479" spans="1:27" x14ac:dyDescent="0.3">
      <c r="A2479" t="str">
        <f t="shared" si="659"/>
        <v>048314</v>
      </c>
      <c r="B2479" t="str">
        <f t="shared" si="667"/>
        <v>070417</v>
      </c>
      <c r="C2479" t="s">
        <v>2529</v>
      </c>
      <c r="D2479" t="s">
        <v>3839</v>
      </c>
      <c r="E2479" t="s">
        <v>3840</v>
      </c>
      <c r="F2479" t="s">
        <v>3841</v>
      </c>
      <c r="G2479" t="s">
        <v>3842</v>
      </c>
      <c r="H2479" t="str">
        <f t="shared" si="666"/>
        <v>048314</v>
      </c>
      <c r="I2479" t="s">
        <v>833</v>
      </c>
      <c r="J2479" t="str">
        <f>"2015-07-01 00:00:00.0"</f>
        <v>2015-07-01 00:00:00.0</v>
      </c>
      <c r="K2479" t="s">
        <v>834</v>
      </c>
      <c r="L2479" t="s">
        <v>0</v>
      </c>
      <c r="M2479" t="str">
        <f t="shared" si="663"/>
        <v>048314</v>
      </c>
      <c r="N2479">
        <v>0.55555600000000005</v>
      </c>
      <c r="O2479">
        <v>0.55555600000000005</v>
      </c>
      <c r="P2479" t="str">
        <f>"08"</f>
        <v>08</v>
      </c>
      <c r="Q2479" t="s">
        <v>835</v>
      </c>
      <c r="S2479" t="s">
        <v>836</v>
      </c>
      <c r="T2479" t="s">
        <v>836</v>
      </c>
      <c r="U2479" t="str">
        <f>"2016-02-04 00:00:00.0"</f>
        <v>2016-02-04 00:00:00.0</v>
      </c>
      <c r="V2479" t="s">
        <v>837</v>
      </c>
      <c r="W2479" t="str">
        <f t="shared" si="668"/>
        <v>048314-070417-**-**</v>
      </c>
      <c r="X2479" t="s">
        <v>838</v>
      </c>
      <c r="Y2479">
        <v>625</v>
      </c>
      <c r="Z2479">
        <v>1125</v>
      </c>
      <c r="AA2479" t="str">
        <f t="shared" si="669"/>
        <v>06/08/2016</v>
      </c>
    </row>
    <row r="2480" spans="1:27" x14ac:dyDescent="0.3">
      <c r="A2480" t="str">
        <f t="shared" si="659"/>
        <v>048314</v>
      </c>
      <c r="B2480" t="str">
        <f t="shared" si="667"/>
        <v>070417</v>
      </c>
      <c r="C2480" t="s">
        <v>2485</v>
      </c>
      <c r="D2480" t="s">
        <v>3839</v>
      </c>
      <c r="E2480" t="s">
        <v>3840</v>
      </c>
      <c r="F2480" t="s">
        <v>3841</v>
      </c>
      <c r="G2480" t="s">
        <v>3842</v>
      </c>
      <c r="H2480" t="str">
        <f t="shared" si="666"/>
        <v>048314</v>
      </c>
      <c r="I2480" t="s">
        <v>833</v>
      </c>
      <c r="J2480" t="str">
        <f>"2016-02-05 00:00:00.0"</f>
        <v>2016-02-05 00:00:00.0</v>
      </c>
      <c r="K2480" t="s">
        <v>834</v>
      </c>
      <c r="L2480" t="s">
        <v>0</v>
      </c>
      <c r="M2480" t="str">
        <f t="shared" si="663"/>
        <v>048314</v>
      </c>
      <c r="N2480">
        <v>0.44444400000000001</v>
      </c>
      <c r="O2480">
        <v>0.44444400000000001</v>
      </c>
      <c r="P2480" t="str">
        <f>"07"</f>
        <v>07</v>
      </c>
      <c r="Q2480" t="s">
        <v>835</v>
      </c>
      <c r="S2480" t="s">
        <v>860</v>
      </c>
      <c r="T2480" t="s">
        <v>836</v>
      </c>
      <c r="U2480" t="str">
        <f>"2500-12-31 00:00:00.0"</f>
        <v>2500-12-31 00:00:00.0</v>
      </c>
      <c r="V2480" t="s">
        <v>837</v>
      </c>
      <c r="W2480" t="str">
        <f t="shared" si="668"/>
        <v>048314-070417-**-**</v>
      </c>
      <c r="X2480" t="s">
        <v>838</v>
      </c>
      <c r="Y2480">
        <v>500</v>
      </c>
      <c r="Z2480">
        <v>1125</v>
      </c>
      <c r="AA2480" t="str">
        <f t="shared" si="669"/>
        <v>06/08/2016</v>
      </c>
    </row>
    <row r="2481" spans="1:27" x14ac:dyDescent="0.3">
      <c r="A2481" t="str">
        <f t="shared" si="659"/>
        <v>048314</v>
      </c>
      <c r="B2481" t="str">
        <f t="shared" si="667"/>
        <v>070417</v>
      </c>
      <c r="C2481" t="s">
        <v>2485</v>
      </c>
      <c r="D2481" t="s">
        <v>3839</v>
      </c>
      <c r="E2481" t="s">
        <v>3840</v>
      </c>
      <c r="F2481" t="s">
        <v>3841</v>
      </c>
      <c r="G2481" t="s">
        <v>3842</v>
      </c>
      <c r="H2481" t="str">
        <f t="shared" si="666"/>
        <v>048314</v>
      </c>
      <c r="I2481" t="s">
        <v>833</v>
      </c>
      <c r="J2481" t="str">
        <f t="shared" ref="J2481:J2507" si="670">"2015-07-01 00:00:00.0"</f>
        <v>2015-07-01 00:00:00.0</v>
      </c>
      <c r="K2481" t="s">
        <v>834</v>
      </c>
      <c r="L2481" t="s">
        <v>0</v>
      </c>
      <c r="M2481" t="str">
        <f t="shared" si="663"/>
        <v>048314</v>
      </c>
      <c r="N2481">
        <v>0.55555600000000005</v>
      </c>
      <c r="O2481">
        <v>0.55555600000000005</v>
      </c>
      <c r="P2481" t="str">
        <f>"07"</f>
        <v>07</v>
      </c>
      <c r="Q2481" t="s">
        <v>835</v>
      </c>
      <c r="S2481" t="s">
        <v>836</v>
      </c>
      <c r="T2481" t="s">
        <v>836</v>
      </c>
      <c r="U2481" t="str">
        <f>"2016-02-04 00:00:00.0"</f>
        <v>2016-02-04 00:00:00.0</v>
      </c>
      <c r="V2481" t="s">
        <v>837</v>
      </c>
      <c r="W2481" t="str">
        <f t="shared" si="668"/>
        <v>048314-070417-**-**</v>
      </c>
      <c r="X2481" t="s">
        <v>838</v>
      </c>
      <c r="Y2481">
        <v>625</v>
      </c>
      <c r="Z2481">
        <v>1125</v>
      </c>
      <c r="AA2481" t="str">
        <f t="shared" si="669"/>
        <v>06/08/2016</v>
      </c>
    </row>
    <row r="2482" spans="1:27" x14ac:dyDescent="0.3">
      <c r="A2482" t="str">
        <f t="shared" si="659"/>
        <v>048314</v>
      </c>
      <c r="B2482" t="str">
        <f t="shared" si="667"/>
        <v>070417</v>
      </c>
      <c r="C2482" t="s">
        <v>1308</v>
      </c>
      <c r="D2482" t="s">
        <v>3839</v>
      </c>
      <c r="E2482" t="s">
        <v>3840</v>
      </c>
      <c r="F2482" t="s">
        <v>3841</v>
      </c>
      <c r="G2482" t="s">
        <v>3842</v>
      </c>
      <c r="H2482" t="str">
        <f t="shared" si="666"/>
        <v>048314</v>
      </c>
      <c r="I2482" t="s">
        <v>833</v>
      </c>
      <c r="J2482" t="str">
        <f t="shared" si="670"/>
        <v>2015-07-01 00:00:00.0</v>
      </c>
      <c r="K2482" t="s">
        <v>834</v>
      </c>
      <c r="L2482" t="s">
        <v>0</v>
      </c>
      <c r="M2482" t="str">
        <f t="shared" si="663"/>
        <v>048314</v>
      </c>
      <c r="N2482">
        <v>1</v>
      </c>
      <c r="O2482">
        <v>1</v>
      </c>
      <c r="P2482" t="str">
        <f>"08"</f>
        <v>08</v>
      </c>
      <c r="Q2482" t="str">
        <f>"06"</f>
        <v>06</v>
      </c>
      <c r="R2482" t="str">
        <f>"5"</f>
        <v>5</v>
      </c>
      <c r="S2482" t="s">
        <v>836</v>
      </c>
      <c r="T2482" t="s">
        <v>836</v>
      </c>
      <c r="U2482" t="str">
        <f t="shared" ref="U2482:U2506" si="671">"2500-12-31 00:00:00.0"</f>
        <v>2500-12-31 00:00:00.0</v>
      </c>
      <c r="V2482" t="s">
        <v>837</v>
      </c>
      <c r="W2482" t="str">
        <f t="shared" si="668"/>
        <v>048314-070417-**-**</v>
      </c>
      <c r="X2482" t="s">
        <v>838</v>
      </c>
      <c r="Y2482">
        <v>1125</v>
      </c>
      <c r="Z2482">
        <v>1125</v>
      </c>
      <c r="AA2482" t="str">
        <f t="shared" si="669"/>
        <v>06/08/2016</v>
      </c>
    </row>
    <row r="2483" spans="1:27" x14ac:dyDescent="0.3">
      <c r="A2483" t="str">
        <f t="shared" si="659"/>
        <v>048314</v>
      </c>
      <c r="B2483" t="str">
        <f t="shared" si="667"/>
        <v>070417</v>
      </c>
      <c r="C2483" t="s">
        <v>2665</v>
      </c>
      <c r="D2483" t="s">
        <v>3839</v>
      </c>
      <c r="E2483" t="s">
        <v>3840</v>
      </c>
      <c r="F2483" t="s">
        <v>3841</v>
      </c>
      <c r="G2483" t="s">
        <v>3842</v>
      </c>
      <c r="H2483" t="str">
        <f t="shared" si="666"/>
        <v>048314</v>
      </c>
      <c r="I2483" t="s">
        <v>833</v>
      </c>
      <c r="J2483" t="str">
        <f t="shared" si="670"/>
        <v>2015-07-01 00:00:00.0</v>
      </c>
      <c r="K2483" t="s">
        <v>834</v>
      </c>
      <c r="L2483" t="s">
        <v>0</v>
      </c>
      <c r="M2483" t="str">
        <f t="shared" si="663"/>
        <v>048314</v>
      </c>
      <c r="N2483">
        <v>1</v>
      </c>
      <c r="O2483">
        <v>1</v>
      </c>
      <c r="P2483" t="str">
        <f>"06"</f>
        <v>06</v>
      </c>
      <c r="Q2483" t="s">
        <v>835</v>
      </c>
      <c r="S2483" t="s">
        <v>836</v>
      </c>
      <c r="T2483" t="s">
        <v>836</v>
      </c>
      <c r="U2483" t="str">
        <f t="shared" si="671"/>
        <v>2500-12-31 00:00:00.0</v>
      </c>
      <c r="V2483" t="s">
        <v>837</v>
      </c>
      <c r="W2483" t="str">
        <f t="shared" si="668"/>
        <v>048314-070417-**-**</v>
      </c>
      <c r="X2483" t="s">
        <v>838</v>
      </c>
      <c r="Y2483">
        <v>1125</v>
      </c>
      <c r="Z2483">
        <v>1125</v>
      </c>
      <c r="AA2483" t="str">
        <f t="shared" si="669"/>
        <v>06/08/2016</v>
      </c>
    </row>
    <row r="2484" spans="1:27" x14ac:dyDescent="0.3">
      <c r="A2484" t="str">
        <f t="shared" si="659"/>
        <v>048314</v>
      </c>
      <c r="B2484" t="str">
        <f t="shared" si="667"/>
        <v>070417</v>
      </c>
      <c r="C2484" t="s">
        <v>1832</v>
      </c>
      <c r="D2484" t="s">
        <v>3839</v>
      </c>
      <c r="E2484" t="s">
        <v>3840</v>
      </c>
      <c r="F2484" t="s">
        <v>3841</v>
      </c>
      <c r="G2484" t="s">
        <v>3842</v>
      </c>
      <c r="H2484" t="str">
        <f t="shared" si="666"/>
        <v>048314</v>
      </c>
      <c r="I2484" t="s">
        <v>833</v>
      </c>
      <c r="J2484" t="str">
        <f t="shared" si="670"/>
        <v>2015-07-01 00:00:00.0</v>
      </c>
      <c r="K2484" t="s">
        <v>834</v>
      </c>
      <c r="L2484" t="s">
        <v>0</v>
      </c>
      <c r="M2484" t="str">
        <f t="shared" si="663"/>
        <v>048314</v>
      </c>
      <c r="N2484">
        <v>1</v>
      </c>
      <c r="O2484">
        <v>1</v>
      </c>
      <c r="P2484" t="str">
        <f>"09"</f>
        <v>09</v>
      </c>
      <c r="Q2484" t="s">
        <v>835</v>
      </c>
      <c r="S2484" t="s">
        <v>836</v>
      </c>
      <c r="T2484" t="s">
        <v>836</v>
      </c>
      <c r="U2484" t="str">
        <f t="shared" si="671"/>
        <v>2500-12-31 00:00:00.0</v>
      </c>
      <c r="V2484" t="s">
        <v>837</v>
      </c>
      <c r="W2484" t="str">
        <f>"048314-004796-**-**"</f>
        <v>048314-004796-**-**</v>
      </c>
      <c r="X2484" t="s">
        <v>838</v>
      </c>
      <c r="Y2484">
        <v>1254.5</v>
      </c>
      <c r="Z2484">
        <v>1254.5</v>
      </c>
      <c r="AA2484" t="str">
        <f t="shared" si="669"/>
        <v>06/08/2016</v>
      </c>
    </row>
    <row r="2485" spans="1:27" x14ac:dyDescent="0.3">
      <c r="A2485" t="str">
        <f t="shared" si="659"/>
        <v>048314</v>
      </c>
      <c r="B2485" t="str">
        <f t="shared" si="667"/>
        <v>070417</v>
      </c>
      <c r="C2485" t="s">
        <v>2115</v>
      </c>
      <c r="D2485" t="s">
        <v>3839</v>
      </c>
      <c r="E2485" t="s">
        <v>3840</v>
      </c>
      <c r="F2485" t="s">
        <v>3841</v>
      </c>
      <c r="G2485" t="s">
        <v>3842</v>
      </c>
      <c r="H2485" t="str">
        <f t="shared" si="666"/>
        <v>048314</v>
      </c>
      <c r="I2485" t="s">
        <v>833</v>
      </c>
      <c r="J2485" t="str">
        <f t="shared" si="670"/>
        <v>2015-07-01 00:00:00.0</v>
      </c>
      <c r="K2485" t="s">
        <v>834</v>
      </c>
      <c r="L2485" t="s">
        <v>0</v>
      </c>
      <c r="M2485" t="str">
        <f t="shared" si="663"/>
        <v>048314</v>
      </c>
      <c r="N2485">
        <v>1</v>
      </c>
      <c r="O2485">
        <v>1</v>
      </c>
      <c r="P2485" t="str">
        <f>"08"</f>
        <v>08</v>
      </c>
      <c r="Q2485" t="s">
        <v>835</v>
      </c>
      <c r="S2485" t="s">
        <v>836</v>
      </c>
      <c r="T2485" t="s">
        <v>836</v>
      </c>
      <c r="U2485" t="str">
        <f t="shared" si="671"/>
        <v>2500-12-31 00:00:00.0</v>
      </c>
      <c r="V2485" t="s">
        <v>837</v>
      </c>
      <c r="W2485" t="str">
        <f>"048314-070417-**-**"</f>
        <v>048314-070417-**-**</v>
      </c>
      <c r="X2485" t="s">
        <v>838</v>
      </c>
      <c r="Y2485">
        <v>1125</v>
      </c>
      <c r="Z2485">
        <v>1125</v>
      </c>
      <c r="AA2485" t="str">
        <f t="shared" si="669"/>
        <v>06/08/2016</v>
      </c>
    </row>
    <row r="2486" spans="1:27" x14ac:dyDescent="0.3">
      <c r="A2486" t="str">
        <f t="shared" si="659"/>
        <v>048314</v>
      </c>
      <c r="B2486" t="str">
        <f t="shared" si="667"/>
        <v>070417</v>
      </c>
      <c r="C2486" t="s">
        <v>2666</v>
      </c>
      <c r="D2486" t="s">
        <v>3839</v>
      </c>
      <c r="E2486" t="s">
        <v>3840</v>
      </c>
      <c r="F2486" t="s">
        <v>3841</v>
      </c>
      <c r="G2486" t="s">
        <v>3842</v>
      </c>
      <c r="H2486" t="str">
        <f t="shared" si="666"/>
        <v>048314</v>
      </c>
      <c r="I2486" t="s">
        <v>833</v>
      </c>
      <c r="J2486" t="str">
        <f t="shared" si="670"/>
        <v>2015-07-01 00:00:00.0</v>
      </c>
      <c r="K2486" t="s">
        <v>834</v>
      </c>
      <c r="L2486" t="s">
        <v>0</v>
      </c>
      <c r="M2486" t="str">
        <f t="shared" si="663"/>
        <v>048314</v>
      </c>
      <c r="N2486">
        <v>1</v>
      </c>
      <c r="O2486">
        <v>1</v>
      </c>
      <c r="P2486" t="str">
        <f>"06"</f>
        <v>06</v>
      </c>
      <c r="Q2486" t="s">
        <v>835</v>
      </c>
      <c r="S2486" t="s">
        <v>836</v>
      </c>
      <c r="T2486" t="s">
        <v>836</v>
      </c>
      <c r="U2486" t="str">
        <f t="shared" si="671"/>
        <v>2500-12-31 00:00:00.0</v>
      </c>
      <c r="V2486" t="s">
        <v>837</v>
      </c>
      <c r="W2486" t="str">
        <f>"048314-070417-**-**"</f>
        <v>048314-070417-**-**</v>
      </c>
      <c r="X2486" t="s">
        <v>838</v>
      </c>
      <c r="Y2486">
        <v>1125</v>
      </c>
      <c r="Z2486">
        <v>1125</v>
      </c>
      <c r="AA2486" t="str">
        <f t="shared" si="669"/>
        <v>06/08/2016</v>
      </c>
    </row>
    <row r="2487" spans="1:27" x14ac:dyDescent="0.3">
      <c r="A2487" t="str">
        <f t="shared" si="659"/>
        <v>048314</v>
      </c>
      <c r="B2487" t="str">
        <f t="shared" si="667"/>
        <v>070417</v>
      </c>
      <c r="C2487" t="s">
        <v>2667</v>
      </c>
      <c r="D2487" t="s">
        <v>3839</v>
      </c>
      <c r="E2487" t="s">
        <v>3840</v>
      </c>
      <c r="F2487" t="s">
        <v>3841</v>
      </c>
      <c r="G2487" t="s">
        <v>3842</v>
      </c>
      <c r="H2487" t="str">
        <f t="shared" si="666"/>
        <v>048314</v>
      </c>
      <c r="I2487" t="s">
        <v>833</v>
      </c>
      <c r="J2487" t="str">
        <f t="shared" si="670"/>
        <v>2015-07-01 00:00:00.0</v>
      </c>
      <c r="K2487" t="s">
        <v>834</v>
      </c>
      <c r="L2487" t="s">
        <v>0</v>
      </c>
      <c r="M2487" t="str">
        <f t="shared" si="663"/>
        <v>048314</v>
      </c>
      <c r="N2487">
        <v>1</v>
      </c>
      <c r="O2487">
        <v>1</v>
      </c>
      <c r="P2487" t="str">
        <f>"07"</f>
        <v>07</v>
      </c>
      <c r="Q2487" t="s">
        <v>835</v>
      </c>
      <c r="S2487" t="s">
        <v>836</v>
      </c>
      <c r="T2487" t="s">
        <v>836</v>
      </c>
      <c r="U2487" t="str">
        <f t="shared" si="671"/>
        <v>2500-12-31 00:00:00.0</v>
      </c>
      <c r="V2487" t="s">
        <v>837</v>
      </c>
      <c r="W2487" t="str">
        <f>"048314-070417-**-**"</f>
        <v>048314-070417-**-**</v>
      </c>
      <c r="X2487" t="s">
        <v>838</v>
      </c>
      <c r="Y2487">
        <v>1125</v>
      </c>
      <c r="Z2487">
        <v>1125</v>
      </c>
      <c r="AA2487" t="str">
        <f t="shared" si="669"/>
        <v>06/08/2016</v>
      </c>
    </row>
    <row r="2488" spans="1:27" x14ac:dyDescent="0.3">
      <c r="A2488" t="str">
        <f t="shared" si="659"/>
        <v>048314</v>
      </c>
      <c r="B2488" t="str">
        <f t="shared" si="667"/>
        <v>070417</v>
      </c>
      <c r="C2488" t="s">
        <v>2174</v>
      </c>
      <c r="D2488" t="s">
        <v>3839</v>
      </c>
      <c r="E2488" t="s">
        <v>3840</v>
      </c>
      <c r="F2488" t="s">
        <v>3841</v>
      </c>
      <c r="G2488" t="s">
        <v>3842</v>
      </c>
      <c r="H2488" t="str">
        <f t="shared" si="666"/>
        <v>048314</v>
      </c>
      <c r="I2488" t="s">
        <v>833</v>
      </c>
      <c r="J2488" t="str">
        <f t="shared" si="670"/>
        <v>2015-07-01 00:00:00.0</v>
      </c>
      <c r="K2488" t="s">
        <v>834</v>
      </c>
      <c r="L2488" t="s">
        <v>0</v>
      </c>
      <c r="M2488" t="str">
        <f t="shared" si="663"/>
        <v>048314</v>
      </c>
      <c r="N2488">
        <v>1</v>
      </c>
      <c r="O2488">
        <v>1</v>
      </c>
      <c r="P2488" t="str">
        <f>"09"</f>
        <v>09</v>
      </c>
      <c r="Q2488" t="s">
        <v>835</v>
      </c>
      <c r="S2488" t="s">
        <v>836</v>
      </c>
      <c r="T2488" t="s">
        <v>836</v>
      </c>
      <c r="U2488" t="str">
        <f t="shared" si="671"/>
        <v>2500-12-31 00:00:00.0</v>
      </c>
      <c r="V2488" t="s">
        <v>837</v>
      </c>
      <c r="W2488" t="str">
        <f>"048314-004796-**-**"</f>
        <v>048314-004796-**-**</v>
      </c>
      <c r="X2488" t="s">
        <v>838</v>
      </c>
      <c r="Y2488">
        <v>1254.5</v>
      </c>
      <c r="Z2488">
        <v>1254.5</v>
      </c>
      <c r="AA2488" t="str">
        <f t="shared" si="669"/>
        <v>06/08/2016</v>
      </c>
    </row>
    <row r="2489" spans="1:27" x14ac:dyDescent="0.3">
      <c r="A2489" t="str">
        <f t="shared" si="659"/>
        <v>048314</v>
      </c>
      <c r="B2489" t="str">
        <f t="shared" si="667"/>
        <v>070417</v>
      </c>
      <c r="C2489" t="s">
        <v>1705</v>
      </c>
      <c r="D2489" t="s">
        <v>3839</v>
      </c>
      <c r="E2489" t="s">
        <v>3840</v>
      </c>
      <c r="F2489" t="s">
        <v>3841</v>
      </c>
      <c r="G2489" t="s">
        <v>3842</v>
      </c>
      <c r="H2489" t="str">
        <f t="shared" si="666"/>
        <v>048314</v>
      </c>
      <c r="I2489" t="s">
        <v>833</v>
      </c>
      <c r="J2489" t="str">
        <f t="shared" si="670"/>
        <v>2015-07-01 00:00:00.0</v>
      </c>
      <c r="K2489" t="s">
        <v>834</v>
      </c>
      <c r="L2489" t="s">
        <v>0</v>
      </c>
      <c r="M2489" t="str">
        <f t="shared" si="663"/>
        <v>048314</v>
      </c>
      <c r="N2489">
        <v>1</v>
      </c>
      <c r="O2489">
        <v>1</v>
      </c>
      <c r="P2489" t="str">
        <f>"07"</f>
        <v>07</v>
      </c>
      <c r="Q2489" t="str">
        <f>"08"</f>
        <v>08</v>
      </c>
      <c r="R2489" t="str">
        <f>"3"</f>
        <v>3</v>
      </c>
      <c r="S2489" t="s">
        <v>860</v>
      </c>
      <c r="T2489" t="s">
        <v>836</v>
      </c>
      <c r="U2489" t="str">
        <f t="shared" si="671"/>
        <v>2500-12-31 00:00:00.0</v>
      </c>
      <c r="V2489" t="s">
        <v>837</v>
      </c>
      <c r="W2489" t="str">
        <f t="shared" ref="W2489:W2499" si="672">"048314-070417-**-**"</f>
        <v>048314-070417-**-**</v>
      </c>
      <c r="X2489" t="s">
        <v>838</v>
      </c>
      <c r="Y2489">
        <v>1125</v>
      </c>
      <c r="Z2489">
        <v>1125</v>
      </c>
      <c r="AA2489" t="str">
        <f t="shared" si="669"/>
        <v>06/08/2016</v>
      </c>
    </row>
    <row r="2490" spans="1:27" x14ac:dyDescent="0.3">
      <c r="A2490" t="str">
        <f t="shared" si="659"/>
        <v>048314</v>
      </c>
      <c r="B2490" t="str">
        <f t="shared" si="667"/>
        <v>070417</v>
      </c>
      <c r="C2490" t="s">
        <v>2355</v>
      </c>
      <c r="D2490" t="s">
        <v>3839</v>
      </c>
      <c r="E2490" t="s">
        <v>3840</v>
      </c>
      <c r="F2490" t="s">
        <v>3841</v>
      </c>
      <c r="G2490" t="s">
        <v>3842</v>
      </c>
      <c r="H2490" t="str">
        <f t="shared" si="666"/>
        <v>048314</v>
      </c>
      <c r="I2490" t="s">
        <v>833</v>
      </c>
      <c r="J2490" t="str">
        <f t="shared" si="670"/>
        <v>2015-07-01 00:00:00.0</v>
      </c>
      <c r="K2490" t="s">
        <v>834</v>
      </c>
      <c r="L2490" t="s">
        <v>0</v>
      </c>
      <c r="M2490" t="str">
        <f t="shared" si="663"/>
        <v>048314</v>
      </c>
      <c r="N2490">
        <v>1</v>
      </c>
      <c r="O2490">
        <v>1</v>
      </c>
      <c r="P2490" t="str">
        <f>"08"</f>
        <v>08</v>
      </c>
      <c r="Q2490" t="s">
        <v>835</v>
      </c>
      <c r="S2490" t="s">
        <v>836</v>
      </c>
      <c r="T2490" t="s">
        <v>836</v>
      </c>
      <c r="U2490" t="str">
        <f t="shared" si="671"/>
        <v>2500-12-31 00:00:00.0</v>
      </c>
      <c r="V2490" t="s">
        <v>837</v>
      </c>
      <c r="W2490" t="str">
        <f t="shared" si="672"/>
        <v>048314-070417-**-**</v>
      </c>
      <c r="X2490" t="s">
        <v>838</v>
      </c>
      <c r="Y2490">
        <v>1125</v>
      </c>
      <c r="Z2490">
        <v>1125</v>
      </c>
      <c r="AA2490" t="str">
        <f t="shared" si="669"/>
        <v>06/08/2016</v>
      </c>
    </row>
    <row r="2491" spans="1:27" x14ac:dyDescent="0.3">
      <c r="A2491" t="str">
        <f t="shared" si="659"/>
        <v>048314</v>
      </c>
      <c r="B2491" t="str">
        <f t="shared" si="667"/>
        <v>070417</v>
      </c>
      <c r="C2491" t="s">
        <v>1706</v>
      </c>
      <c r="D2491" t="s">
        <v>3839</v>
      </c>
      <c r="E2491" t="s">
        <v>3840</v>
      </c>
      <c r="F2491" t="s">
        <v>3841</v>
      </c>
      <c r="G2491" t="s">
        <v>3842</v>
      </c>
      <c r="H2491" t="str">
        <f t="shared" si="666"/>
        <v>048314</v>
      </c>
      <c r="I2491" t="s">
        <v>833</v>
      </c>
      <c r="J2491" t="str">
        <f t="shared" si="670"/>
        <v>2015-07-01 00:00:00.0</v>
      </c>
      <c r="K2491" t="s">
        <v>834</v>
      </c>
      <c r="L2491" t="s">
        <v>0</v>
      </c>
      <c r="M2491" t="str">
        <f t="shared" si="663"/>
        <v>048314</v>
      </c>
      <c r="N2491">
        <v>1</v>
      </c>
      <c r="O2491">
        <v>1</v>
      </c>
      <c r="P2491" t="str">
        <f>"07"</f>
        <v>07</v>
      </c>
      <c r="Q2491" t="s">
        <v>835</v>
      </c>
      <c r="S2491" t="s">
        <v>860</v>
      </c>
      <c r="T2491" t="s">
        <v>836</v>
      </c>
      <c r="U2491" t="str">
        <f t="shared" si="671"/>
        <v>2500-12-31 00:00:00.0</v>
      </c>
      <c r="V2491" t="s">
        <v>837</v>
      </c>
      <c r="W2491" t="str">
        <f t="shared" si="672"/>
        <v>048314-070417-**-**</v>
      </c>
      <c r="X2491" t="s">
        <v>838</v>
      </c>
      <c r="Y2491">
        <v>1125</v>
      </c>
      <c r="Z2491">
        <v>1125</v>
      </c>
      <c r="AA2491" t="str">
        <f t="shared" si="669"/>
        <v>06/08/2016</v>
      </c>
    </row>
    <row r="2492" spans="1:27" x14ac:dyDescent="0.3">
      <c r="A2492" t="str">
        <f t="shared" si="659"/>
        <v>048314</v>
      </c>
      <c r="B2492" t="str">
        <f t="shared" si="667"/>
        <v>070417</v>
      </c>
      <c r="C2492" t="s">
        <v>1707</v>
      </c>
      <c r="D2492" t="s">
        <v>3839</v>
      </c>
      <c r="E2492" t="s">
        <v>3840</v>
      </c>
      <c r="F2492" t="s">
        <v>3841</v>
      </c>
      <c r="G2492" t="s">
        <v>3842</v>
      </c>
      <c r="H2492" t="str">
        <f t="shared" si="666"/>
        <v>048314</v>
      </c>
      <c r="I2492" t="s">
        <v>833</v>
      </c>
      <c r="J2492" t="str">
        <f t="shared" si="670"/>
        <v>2015-07-01 00:00:00.0</v>
      </c>
      <c r="K2492" t="s">
        <v>834</v>
      </c>
      <c r="L2492" t="s">
        <v>0</v>
      </c>
      <c r="M2492" t="str">
        <f t="shared" si="663"/>
        <v>048314</v>
      </c>
      <c r="N2492">
        <v>1</v>
      </c>
      <c r="O2492">
        <v>1</v>
      </c>
      <c r="P2492" t="str">
        <f>"07"</f>
        <v>07</v>
      </c>
      <c r="Q2492" t="str">
        <f>"15"</f>
        <v>15</v>
      </c>
      <c r="R2492" t="str">
        <f>"2"</f>
        <v>2</v>
      </c>
      <c r="S2492" t="s">
        <v>860</v>
      </c>
      <c r="T2492" t="s">
        <v>836</v>
      </c>
      <c r="U2492" t="str">
        <f t="shared" si="671"/>
        <v>2500-12-31 00:00:00.0</v>
      </c>
      <c r="V2492" t="s">
        <v>837</v>
      </c>
      <c r="W2492" t="str">
        <f t="shared" si="672"/>
        <v>048314-070417-**-**</v>
      </c>
      <c r="X2492" t="s">
        <v>838</v>
      </c>
      <c r="Y2492">
        <v>1125</v>
      </c>
      <c r="Z2492">
        <v>1125</v>
      </c>
      <c r="AA2492" t="str">
        <f t="shared" si="669"/>
        <v>06/08/2016</v>
      </c>
    </row>
    <row r="2493" spans="1:27" x14ac:dyDescent="0.3">
      <c r="A2493" t="str">
        <f t="shared" si="659"/>
        <v>048314</v>
      </c>
      <c r="B2493" t="str">
        <f t="shared" si="667"/>
        <v>070417</v>
      </c>
      <c r="C2493" t="s">
        <v>1708</v>
      </c>
      <c r="D2493" t="s">
        <v>3839</v>
      </c>
      <c r="E2493" t="s">
        <v>3840</v>
      </c>
      <c r="F2493" t="s">
        <v>3841</v>
      </c>
      <c r="G2493" t="s">
        <v>3842</v>
      </c>
      <c r="H2493" t="str">
        <f t="shared" si="666"/>
        <v>048314</v>
      </c>
      <c r="I2493" t="s">
        <v>833</v>
      </c>
      <c r="J2493" t="str">
        <f t="shared" si="670"/>
        <v>2015-07-01 00:00:00.0</v>
      </c>
      <c r="K2493" t="s">
        <v>834</v>
      </c>
      <c r="L2493" t="s">
        <v>0</v>
      </c>
      <c r="M2493" t="str">
        <f t="shared" si="663"/>
        <v>048314</v>
      </c>
      <c r="N2493">
        <v>1</v>
      </c>
      <c r="O2493">
        <v>1</v>
      </c>
      <c r="P2493" t="str">
        <f>"07"</f>
        <v>07</v>
      </c>
      <c r="Q2493" t="s">
        <v>835</v>
      </c>
      <c r="S2493" t="s">
        <v>860</v>
      </c>
      <c r="T2493" t="s">
        <v>836</v>
      </c>
      <c r="U2493" t="str">
        <f t="shared" si="671"/>
        <v>2500-12-31 00:00:00.0</v>
      </c>
      <c r="V2493" t="s">
        <v>837</v>
      </c>
      <c r="W2493" t="str">
        <f t="shared" si="672"/>
        <v>048314-070417-**-**</v>
      </c>
      <c r="X2493" t="s">
        <v>838</v>
      </c>
      <c r="Y2493">
        <v>1125</v>
      </c>
      <c r="Z2493">
        <v>1125</v>
      </c>
      <c r="AA2493" t="str">
        <f t="shared" si="669"/>
        <v>06/08/2016</v>
      </c>
    </row>
    <row r="2494" spans="1:27" x14ac:dyDescent="0.3">
      <c r="A2494" t="str">
        <f t="shared" si="659"/>
        <v>048314</v>
      </c>
      <c r="B2494" t="str">
        <f t="shared" si="667"/>
        <v>070417</v>
      </c>
      <c r="C2494" t="s">
        <v>1709</v>
      </c>
      <c r="D2494" t="s">
        <v>3839</v>
      </c>
      <c r="E2494" t="s">
        <v>3840</v>
      </c>
      <c r="F2494" t="s">
        <v>3841</v>
      </c>
      <c r="G2494" t="s">
        <v>3842</v>
      </c>
      <c r="H2494" t="str">
        <f t="shared" si="666"/>
        <v>048314</v>
      </c>
      <c r="I2494" t="s">
        <v>833</v>
      </c>
      <c r="J2494" t="str">
        <f t="shared" si="670"/>
        <v>2015-07-01 00:00:00.0</v>
      </c>
      <c r="K2494" t="s">
        <v>834</v>
      </c>
      <c r="L2494" t="s">
        <v>0</v>
      </c>
      <c r="M2494" t="str">
        <f t="shared" si="663"/>
        <v>048314</v>
      </c>
      <c r="N2494">
        <v>1</v>
      </c>
      <c r="O2494">
        <v>1</v>
      </c>
      <c r="P2494" t="str">
        <f>"07"</f>
        <v>07</v>
      </c>
      <c r="Q2494" t="str">
        <f>"12"</f>
        <v>12</v>
      </c>
      <c r="R2494" t="str">
        <f>"6"</f>
        <v>6</v>
      </c>
      <c r="S2494" t="s">
        <v>860</v>
      </c>
      <c r="T2494" t="s">
        <v>836</v>
      </c>
      <c r="U2494" t="str">
        <f t="shared" si="671"/>
        <v>2500-12-31 00:00:00.0</v>
      </c>
      <c r="V2494" t="s">
        <v>837</v>
      </c>
      <c r="W2494" t="str">
        <f t="shared" si="672"/>
        <v>048314-070417-**-**</v>
      </c>
      <c r="X2494" t="s">
        <v>838</v>
      </c>
      <c r="Y2494">
        <v>1125</v>
      </c>
      <c r="Z2494">
        <v>1125</v>
      </c>
      <c r="AA2494" t="str">
        <f t="shared" si="669"/>
        <v>06/08/2016</v>
      </c>
    </row>
    <row r="2495" spans="1:27" x14ac:dyDescent="0.3">
      <c r="A2495" t="str">
        <f t="shared" si="659"/>
        <v>048314</v>
      </c>
      <c r="B2495" t="str">
        <f t="shared" si="667"/>
        <v>070417</v>
      </c>
      <c r="C2495" t="s">
        <v>2668</v>
      </c>
      <c r="D2495" t="s">
        <v>3839</v>
      </c>
      <c r="E2495" t="s">
        <v>3840</v>
      </c>
      <c r="F2495" t="s">
        <v>3841</v>
      </c>
      <c r="G2495" t="s">
        <v>3842</v>
      </c>
      <c r="H2495" t="str">
        <f t="shared" si="666"/>
        <v>048314</v>
      </c>
      <c r="I2495" t="s">
        <v>833</v>
      </c>
      <c r="J2495" t="str">
        <f t="shared" si="670"/>
        <v>2015-07-01 00:00:00.0</v>
      </c>
      <c r="K2495" t="s">
        <v>834</v>
      </c>
      <c r="L2495" t="s">
        <v>0</v>
      </c>
      <c r="M2495" t="str">
        <f t="shared" si="663"/>
        <v>048314</v>
      </c>
      <c r="N2495">
        <v>1</v>
      </c>
      <c r="O2495">
        <v>1</v>
      </c>
      <c r="P2495" t="str">
        <f>"06"</f>
        <v>06</v>
      </c>
      <c r="Q2495" t="s">
        <v>835</v>
      </c>
      <c r="S2495" t="s">
        <v>836</v>
      </c>
      <c r="T2495" t="s">
        <v>836</v>
      </c>
      <c r="U2495" t="str">
        <f t="shared" si="671"/>
        <v>2500-12-31 00:00:00.0</v>
      </c>
      <c r="V2495" t="s">
        <v>837</v>
      </c>
      <c r="W2495" t="str">
        <f t="shared" si="672"/>
        <v>048314-070417-**-**</v>
      </c>
      <c r="X2495" t="s">
        <v>838</v>
      </c>
      <c r="Y2495">
        <v>1125</v>
      </c>
      <c r="Z2495">
        <v>1125</v>
      </c>
      <c r="AA2495" t="str">
        <f t="shared" si="669"/>
        <v>06/08/2016</v>
      </c>
    </row>
    <row r="2496" spans="1:27" x14ac:dyDescent="0.3">
      <c r="A2496" t="str">
        <f t="shared" si="659"/>
        <v>048314</v>
      </c>
      <c r="B2496" t="str">
        <f t="shared" si="667"/>
        <v>070417</v>
      </c>
      <c r="C2496" t="s">
        <v>2116</v>
      </c>
      <c r="D2496" t="s">
        <v>3839</v>
      </c>
      <c r="E2496" t="s">
        <v>3840</v>
      </c>
      <c r="F2496" t="s">
        <v>3841</v>
      </c>
      <c r="G2496" t="s">
        <v>3842</v>
      </c>
      <c r="H2496" t="str">
        <f t="shared" si="666"/>
        <v>048314</v>
      </c>
      <c r="I2496" t="s">
        <v>833</v>
      </c>
      <c r="J2496" t="str">
        <f t="shared" si="670"/>
        <v>2015-07-01 00:00:00.0</v>
      </c>
      <c r="K2496" t="s">
        <v>834</v>
      </c>
      <c r="L2496" t="s">
        <v>0</v>
      </c>
      <c r="M2496" t="str">
        <f t="shared" si="663"/>
        <v>048314</v>
      </c>
      <c r="N2496">
        <v>1</v>
      </c>
      <c r="O2496">
        <v>1</v>
      </c>
      <c r="P2496" t="str">
        <f>"08"</f>
        <v>08</v>
      </c>
      <c r="Q2496" t="s">
        <v>835</v>
      </c>
      <c r="S2496" t="s">
        <v>836</v>
      </c>
      <c r="T2496" t="s">
        <v>836</v>
      </c>
      <c r="U2496" t="str">
        <f t="shared" si="671"/>
        <v>2500-12-31 00:00:00.0</v>
      </c>
      <c r="V2496" t="s">
        <v>837</v>
      </c>
      <c r="W2496" t="str">
        <f t="shared" si="672"/>
        <v>048314-070417-**-**</v>
      </c>
      <c r="X2496" t="s">
        <v>838</v>
      </c>
      <c r="Y2496">
        <v>1125</v>
      </c>
      <c r="Z2496">
        <v>1125</v>
      </c>
      <c r="AA2496" t="str">
        <f t="shared" si="669"/>
        <v>06/08/2016</v>
      </c>
    </row>
    <row r="2497" spans="1:27" x14ac:dyDescent="0.3">
      <c r="A2497" t="str">
        <f t="shared" si="659"/>
        <v>048314</v>
      </c>
      <c r="B2497" t="str">
        <f t="shared" si="667"/>
        <v>070417</v>
      </c>
      <c r="C2497" t="s">
        <v>3657</v>
      </c>
      <c r="D2497" t="s">
        <v>3839</v>
      </c>
      <c r="E2497" t="s">
        <v>3840</v>
      </c>
      <c r="F2497" t="s">
        <v>3841</v>
      </c>
      <c r="G2497" t="s">
        <v>3842</v>
      </c>
      <c r="H2497" t="str">
        <f t="shared" si="666"/>
        <v>048314</v>
      </c>
      <c r="I2497" t="s">
        <v>833</v>
      </c>
      <c r="J2497" t="str">
        <f t="shared" si="670"/>
        <v>2015-07-01 00:00:00.0</v>
      </c>
      <c r="K2497" t="s">
        <v>834</v>
      </c>
      <c r="L2497" t="s">
        <v>0</v>
      </c>
      <c r="M2497" t="str">
        <f t="shared" si="663"/>
        <v>048314</v>
      </c>
      <c r="N2497">
        <v>1</v>
      </c>
      <c r="O2497">
        <v>1</v>
      </c>
      <c r="P2497" t="str">
        <f>"08"</f>
        <v>08</v>
      </c>
      <c r="Q2497" t="s">
        <v>835</v>
      </c>
      <c r="S2497" t="s">
        <v>860</v>
      </c>
      <c r="T2497" t="s">
        <v>836</v>
      </c>
      <c r="U2497" t="str">
        <f t="shared" si="671"/>
        <v>2500-12-31 00:00:00.0</v>
      </c>
      <c r="V2497" t="s">
        <v>837</v>
      </c>
      <c r="W2497" t="str">
        <f t="shared" si="672"/>
        <v>048314-070417-**-**</v>
      </c>
      <c r="X2497" t="s">
        <v>838</v>
      </c>
      <c r="Y2497">
        <v>1125</v>
      </c>
      <c r="Z2497">
        <v>1125</v>
      </c>
      <c r="AA2497" t="str">
        <f t="shared" si="669"/>
        <v>06/08/2016</v>
      </c>
    </row>
    <row r="2498" spans="1:27" x14ac:dyDescent="0.3">
      <c r="A2498" t="str">
        <f t="shared" ref="A2498:A2561" si="673">"048314"</f>
        <v>048314</v>
      </c>
      <c r="B2498" t="str">
        <f t="shared" si="667"/>
        <v>070417</v>
      </c>
      <c r="C2498" t="s">
        <v>2670</v>
      </c>
      <c r="D2498" t="s">
        <v>3839</v>
      </c>
      <c r="E2498" t="s">
        <v>3840</v>
      </c>
      <c r="F2498" t="s">
        <v>3841</v>
      </c>
      <c r="G2498" t="s">
        <v>3842</v>
      </c>
      <c r="H2498" t="str">
        <f t="shared" si="666"/>
        <v>048314</v>
      </c>
      <c r="I2498" t="s">
        <v>833</v>
      </c>
      <c r="J2498" t="str">
        <f t="shared" si="670"/>
        <v>2015-07-01 00:00:00.0</v>
      </c>
      <c r="K2498" t="s">
        <v>834</v>
      </c>
      <c r="L2498" t="s">
        <v>0</v>
      </c>
      <c r="M2498" t="str">
        <f t="shared" si="663"/>
        <v>048314</v>
      </c>
      <c r="N2498">
        <v>1</v>
      </c>
      <c r="O2498">
        <v>1</v>
      </c>
      <c r="P2498" t="str">
        <f>"07"</f>
        <v>07</v>
      </c>
      <c r="Q2498" t="s">
        <v>835</v>
      </c>
      <c r="S2498" t="s">
        <v>836</v>
      </c>
      <c r="T2498" t="s">
        <v>836</v>
      </c>
      <c r="U2498" t="str">
        <f t="shared" si="671"/>
        <v>2500-12-31 00:00:00.0</v>
      </c>
      <c r="V2498" t="s">
        <v>837</v>
      </c>
      <c r="W2498" t="str">
        <f t="shared" si="672"/>
        <v>048314-070417-**-**</v>
      </c>
      <c r="X2498" t="s">
        <v>838</v>
      </c>
      <c r="Y2498">
        <v>1125</v>
      </c>
      <c r="Z2498">
        <v>1125</v>
      </c>
      <c r="AA2498" t="str">
        <f t="shared" si="669"/>
        <v>06/08/2016</v>
      </c>
    </row>
    <row r="2499" spans="1:27" x14ac:dyDescent="0.3">
      <c r="A2499" t="str">
        <f t="shared" si="673"/>
        <v>048314</v>
      </c>
      <c r="B2499" t="str">
        <f t="shared" si="667"/>
        <v>070417</v>
      </c>
      <c r="C2499" t="s">
        <v>2428</v>
      </c>
      <c r="D2499" t="s">
        <v>3839</v>
      </c>
      <c r="E2499" t="s">
        <v>3840</v>
      </c>
      <c r="F2499" t="s">
        <v>3841</v>
      </c>
      <c r="G2499" t="s">
        <v>3842</v>
      </c>
      <c r="H2499" t="str">
        <f t="shared" si="666"/>
        <v>048314</v>
      </c>
      <c r="I2499" t="s">
        <v>833</v>
      </c>
      <c r="J2499" t="str">
        <f t="shared" si="670"/>
        <v>2015-07-01 00:00:00.0</v>
      </c>
      <c r="K2499" t="s">
        <v>834</v>
      </c>
      <c r="L2499" t="s">
        <v>0</v>
      </c>
      <c r="M2499" t="str">
        <f t="shared" si="663"/>
        <v>048314</v>
      </c>
      <c r="N2499">
        <v>1</v>
      </c>
      <c r="O2499">
        <v>1</v>
      </c>
      <c r="P2499" t="str">
        <f>"07"</f>
        <v>07</v>
      </c>
      <c r="Q2499" t="s">
        <v>835</v>
      </c>
      <c r="S2499" t="s">
        <v>836</v>
      </c>
      <c r="T2499" t="s">
        <v>836</v>
      </c>
      <c r="U2499" t="str">
        <f t="shared" si="671"/>
        <v>2500-12-31 00:00:00.0</v>
      </c>
      <c r="V2499" t="s">
        <v>837</v>
      </c>
      <c r="W2499" t="str">
        <f t="shared" si="672"/>
        <v>048314-070417-**-**</v>
      </c>
      <c r="X2499" t="s">
        <v>838</v>
      </c>
      <c r="Y2499">
        <v>1125</v>
      </c>
      <c r="Z2499">
        <v>1125</v>
      </c>
      <c r="AA2499" t="str">
        <f t="shared" si="669"/>
        <v>06/08/2016</v>
      </c>
    </row>
    <row r="2500" spans="1:27" x14ac:dyDescent="0.3">
      <c r="A2500" t="str">
        <f t="shared" si="673"/>
        <v>048314</v>
      </c>
      <c r="B2500" t="str">
        <f t="shared" si="667"/>
        <v>070417</v>
      </c>
      <c r="C2500" t="s">
        <v>1844</v>
      </c>
      <c r="D2500" t="s">
        <v>3839</v>
      </c>
      <c r="E2500" t="s">
        <v>3840</v>
      </c>
      <c r="F2500" t="s">
        <v>3841</v>
      </c>
      <c r="G2500" t="s">
        <v>3842</v>
      </c>
      <c r="H2500" t="str">
        <f t="shared" si="666"/>
        <v>048314</v>
      </c>
      <c r="I2500" t="s">
        <v>833</v>
      </c>
      <c r="J2500" t="str">
        <f t="shared" si="670"/>
        <v>2015-07-01 00:00:00.0</v>
      </c>
      <c r="K2500" t="s">
        <v>834</v>
      </c>
      <c r="L2500" t="s">
        <v>0</v>
      </c>
      <c r="M2500" t="str">
        <f t="shared" si="663"/>
        <v>048314</v>
      </c>
      <c r="N2500">
        <v>1</v>
      </c>
      <c r="O2500">
        <v>1</v>
      </c>
      <c r="P2500" t="str">
        <f>"09"</f>
        <v>09</v>
      </c>
      <c r="Q2500" t="s">
        <v>835</v>
      </c>
      <c r="S2500" t="s">
        <v>836</v>
      </c>
      <c r="T2500" t="s">
        <v>836</v>
      </c>
      <c r="U2500" t="str">
        <f t="shared" si="671"/>
        <v>2500-12-31 00:00:00.0</v>
      </c>
      <c r="V2500" t="s">
        <v>837</v>
      </c>
      <c r="W2500" t="str">
        <f>"048314-004796-**-**"</f>
        <v>048314-004796-**-**</v>
      </c>
      <c r="X2500" t="s">
        <v>838</v>
      </c>
      <c r="Y2500">
        <v>1254.5</v>
      </c>
      <c r="Z2500">
        <v>1254.5</v>
      </c>
      <c r="AA2500" t="str">
        <f t="shared" si="669"/>
        <v>06/08/2016</v>
      </c>
    </row>
    <row r="2501" spans="1:27" x14ac:dyDescent="0.3">
      <c r="A2501" t="str">
        <f t="shared" si="673"/>
        <v>048314</v>
      </c>
      <c r="B2501" t="str">
        <f t="shared" si="667"/>
        <v>070417</v>
      </c>
      <c r="C2501" t="s">
        <v>3393</v>
      </c>
      <c r="D2501" t="s">
        <v>3839</v>
      </c>
      <c r="E2501" t="s">
        <v>3840</v>
      </c>
      <c r="F2501" t="s">
        <v>3841</v>
      </c>
      <c r="G2501" t="s">
        <v>3842</v>
      </c>
      <c r="H2501" t="str">
        <f t="shared" si="666"/>
        <v>048314</v>
      </c>
      <c r="I2501" t="s">
        <v>833</v>
      </c>
      <c r="J2501" t="str">
        <f t="shared" si="670"/>
        <v>2015-07-01 00:00:00.0</v>
      </c>
      <c r="K2501" t="s">
        <v>834</v>
      </c>
      <c r="L2501" t="s">
        <v>0</v>
      </c>
      <c r="M2501" t="str">
        <f t="shared" si="663"/>
        <v>048314</v>
      </c>
      <c r="N2501">
        <v>1</v>
      </c>
      <c r="O2501">
        <v>1</v>
      </c>
      <c r="P2501" t="str">
        <f>"07"</f>
        <v>07</v>
      </c>
      <c r="Q2501" t="s">
        <v>835</v>
      </c>
      <c r="S2501" t="s">
        <v>836</v>
      </c>
      <c r="T2501" t="s">
        <v>836</v>
      </c>
      <c r="U2501" t="str">
        <f t="shared" si="671"/>
        <v>2500-12-31 00:00:00.0</v>
      </c>
      <c r="V2501" t="s">
        <v>837</v>
      </c>
      <c r="W2501" t="str">
        <f>"048314-070417-**-**"</f>
        <v>048314-070417-**-**</v>
      </c>
      <c r="X2501" t="s">
        <v>838</v>
      </c>
      <c r="Y2501">
        <v>1125</v>
      </c>
      <c r="Z2501">
        <v>1125</v>
      </c>
      <c r="AA2501" t="str">
        <f t="shared" si="669"/>
        <v>06/08/2016</v>
      </c>
    </row>
    <row r="2502" spans="1:27" x14ac:dyDescent="0.3">
      <c r="A2502" t="str">
        <f t="shared" si="673"/>
        <v>048314</v>
      </c>
      <c r="B2502" t="str">
        <f t="shared" si="667"/>
        <v>070417</v>
      </c>
      <c r="C2502" t="s">
        <v>3423</v>
      </c>
      <c r="D2502" t="s">
        <v>3839</v>
      </c>
      <c r="E2502" t="s">
        <v>3840</v>
      </c>
      <c r="F2502" t="s">
        <v>3841</v>
      </c>
      <c r="G2502" t="s">
        <v>3842</v>
      </c>
      <c r="H2502" t="str">
        <f t="shared" si="666"/>
        <v>048314</v>
      </c>
      <c r="I2502" t="s">
        <v>833</v>
      </c>
      <c r="J2502" t="str">
        <f t="shared" si="670"/>
        <v>2015-07-01 00:00:00.0</v>
      </c>
      <c r="K2502" t="s">
        <v>834</v>
      </c>
      <c r="L2502" t="s">
        <v>0</v>
      </c>
      <c r="M2502" t="str">
        <f t="shared" si="663"/>
        <v>048314</v>
      </c>
      <c r="N2502">
        <v>1</v>
      </c>
      <c r="O2502">
        <v>1</v>
      </c>
      <c r="P2502" t="str">
        <f>"07"</f>
        <v>07</v>
      </c>
      <c r="Q2502" t="s">
        <v>835</v>
      </c>
      <c r="S2502" t="s">
        <v>836</v>
      </c>
      <c r="T2502" t="s">
        <v>836</v>
      </c>
      <c r="U2502" t="str">
        <f t="shared" si="671"/>
        <v>2500-12-31 00:00:00.0</v>
      </c>
      <c r="V2502" t="s">
        <v>837</v>
      </c>
      <c r="W2502" t="str">
        <f>"048314-070417-**-**"</f>
        <v>048314-070417-**-**</v>
      </c>
      <c r="X2502" t="s">
        <v>838</v>
      </c>
      <c r="Y2502">
        <v>1125</v>
      </c>
      <c r="Z2502">
        <v>1125</v>
      </c>
      <c r="AA2502" t="str">
        <f t="shared" si="669"/>
        <v>06/08/2016</v>
      </c>
    </row>
    <row r="2503" spans="1:27" x14ac:dyDescent="0.3">
      <c r="A2503" t="str">
        <f t="shared" si="673"/>
        <v>048314</v>
      </c>
      <c r="B2503" t="str">
        <f t="shared" si="667"/>
        <v>070417</v>
      </c>
      <c r="C2503" t="s">
        <v>2866</v>
      </c>
      <c r="D2503" t="s">
        <v>3839</v>
      </c>
      <c r="E2503" t="s">
        <v>3840</v>
      </c>
      <c r="F2503" t="s">
        <v>3841</v>
      </c>
      <c r="G2503" t="s">
        <v>3842</v>
      </c>
      <c r="H2503" t="str">
        <f t="shared" si="666"/>
        <v>048314</v>
      </c>
      <c r="I2503" t="s">
        <v>833</v>
      </c>
      <c r="J2503" t="str">
        <f t="shared" si="670"/>
        <v>2015-07-01 00:00:00.0</v>
      </c>
      <c r="K2503" t="s">
        <v>834</v>
      </c>
      <c r="L2503" t="s">
        <v>0</v>
      </c>
      <c r="M2503" t="str">
        <f t="shared" si="663"/>
        <v>048314</v>
      </c>
      <c r="N2503">
        <v>1</v>
      </c>
      <c r="O2503">
        <v>1</v>
      </c>
      <c r="P2503" t="str">
        <f>"06"</f>
        <v>06</v>
      </c>
      <c r="Q2503" t="s">
        <v>835</v>
      </c>
      <c r="S2503" t="s">
        <v>836</v>
      </c>
      <c r="T2503" t="s">
        <v>836</v>
      </c>
      <c r="U2503" t="str">
        <f t="shared" si="671"/>
        <v>2500-12-31 00:00:00.0</v>
      </c>
      <c r="V2503" t="s">
        <v>837</v>
      </c>
      <c r="W2503" t="str">
        <f>"048314-070417-**-**"</f>
        <v>048314-070417-**-**</v>
      </c>
      <c r="X2503" t="s">
        <v>838</v>
      </c>
      <c r="Y2503">
        <v>1125</v>
      </c>
      <c r="Z2503">
        <v>1125</v>
      </c>
      <c r="AA2503" t="str">
        <f t="shared" si="669"/>
        <v>06/08/2016</v>
      </c>
    </row>
    <row r="2504" spans="1:27" x14ac:dyDescent="0.3">
      <c r="A2504" t="str">
        <f t="shared" si="673"/>
        <v>048314</v>
      </c>
      <c r="B2504" t="str">
        <f t="shared" si="667"/>
        <v>070417</v>
      </c>
      <c r="C2504" t="s">
        <v>2214</v>
      </c>
      <c r="D2504" t="s">
        <v>3839</v>
      </c>
      <c r="E2504" t="s">
        <v>3840</v>
      </c>
      <c r="F2504" t="s">
        <v>3841</v>
      </c>
      <c r="G2504" t="s">
        <v>3842</v>
      </c>
      <c r="H2504" t="str">
        <f t="shared" si="666"/>
        <v>048314</v>
      </c>
      <c r="I2504" t="s">
        <v>833</v>
      </c>
      <c r="J2504" t="str">
        <f t="shared" si="670"/>
        <v>2015-07-01 00:00:00.0</v>
      </c>
      <c r="K2504" t="s">
        <v>834</v>
      </c>
      <c r="L2504" t="s">
        <v>0</v>
      </c>
      <c r="M2504" t="str">
        <f t="shared" si="663"/>
        <v>048314</v>
      </c>
      <c r="N2504">
        <v>1</v>
      </c>
      <c r="O2504">
        <v>1</v>
      </c>
      <c r="P2504" t="str">
        <f>"09"</f>
        <v>09</v>
      </c>
      <c r="Q2504" t="s">
        <v>835</v>
      </c>
      <c r="S2504" t="s">
        <v>836</v>
      </c>
      <c r="T2504" t="s">
        <v>836</v>
      </c>
      <c r="U2504" t="str">
        <f t="shared" si="671"/>
        <v>2500-12-31 00:00:00.0</v>
      </c>
      <c r="V2504" t="s">
        <v>837</v>
      </c>
      <c r="W2504" t="str">
        <f>"048314-004796-**-**"</f>
        <v>048314-004796-**-**</v>
      </c>
      <c r="X2504" t="s">
        <v>838</v>
      </c>
      <c r="Y2504">
        <v>1254.5</v>
      </c>
      <c r="Z2504">
        <v>1254.5</v>
      </c>
      <c r="AA2504" t="str">
        <f t="shared" si="669"/>
        <v>06/08/2016</v>
      </c>
    </row>
    <row r="2505" spans="1:27" x14ac:dyDescent="0.3">
      <c r="A2505" t="str">
        <f t="shared" si="673"/>
        <v>048314</v>
      </c>
      <c r="B2505" t="str">
        <f t="shared" si="667"/>
        <v>070417</v>
      </c>
      <c r="C2505" t="s">
        <v>2061</v>
      </c>
      <c r="D2505" t="s">
        <v>3839</v>
      </c>
      <c r="E2505" t="s">
        <v>3840</v>
      </c>
      <c r="F2505" t="s">
        <v>3841</v>
      </c>
      <c r="G2505" t="s">
        <v>3842</v>
      </c>
      <c r="H2505" t="str">
        <f t="shared" si="666"/>
        <v>048314</v>
      </c>
      <c r="I2505" t="s">
        <v>833</v>
      </c>
      <c r="J2505" t="str">
        <f t="shared" si="670"/>
        <v>2015-07-01 00:00:00.0</v>
      </c>
      <c r="K2505" t="s">
        <v>834</v>
      </c>
      <c r="L2505" t="s">
        <v>0</v>
      </c>
      <c r="M2505" t="str">
        <f t="shared" si="663"/>
        <v>048314</v>
      </c>
      <c r="N2505">
        <v>1</v>
      </c>
      <c r="O2505">
        <v>1</v>
      </c>
      <c r="P2505" t="str">
        <f>"08"</f>
        <v>08</v>
      </c>
      <c r="Q2505" t="s">
        <v>835</v>
      </c>
      <c r="S2505" t="s">
        <v>836</v>
      </c>
      <c r="T2505" t="s">
        <v>836</v>
      </c>
      <c r="U2505" t="str">
        <f t="shared" si="671"/>
        <v>2500-12-31 00:00:00.0</v>
      </c>
      <c r="V2505" t="s">
        <v>837</v>
      </c>
      <c r="W2505" t="str">
        <f>"048314-070417-**-**"</f>
        <v>048314-070417-**-**</v>
      </c>
      <c r="X2505" t="s">
        <v>838</v>
      </c>
      <c r="Y2505">
        <v>1125</v>
      </c>
      <c r="Z2505">
        <v>1125</v>
      </c>
      <c r="AA2505" t="str">
        <f t="shared" si="669"/>
        <v>06/08/2016</v>
      </c>
    </row>
    <row r="2506" spans="1:27" x14ac:dyDescent="0.3">
      <c r="A2506" t="str">
        <f t="shared" si="673"/>
        <v>048314</v>
      </c>
      <c r="B2506" t="str">
        <f t="shared" si="667"/>
        <v>070417</v>
      </c>
      <c r="C2506" t="s">
        <v>3132</v>
      </c>
      <c r="D2506" t="s">
        <v>3839</v>
      </c>
      <c r="E2506" t="s">
        <v>3840</v>
      </c>
      <c r="F2506" t="s">
        <v>3841</v>
      </c>
      <c r="G2506" t="s">
        <v>3842</v>
      </c>
      <c r="H2506" t="str">
        <f t="shared" si="666"/>
        <v>048314</v>
      </c>
      <c r="I2506" t="s">
        <v>833</v>
      </c>
      <c r="J2506" t="str">
        <f t="shared" si="670"/>
        <v>2015-07-01 00:00:00.0</v>
      </c>
      <c r="K2506" t="s">
        <v>834</v>
      </c>
      <c r="L2506" t="s">
        <v>0</v>
      </c>
      <c r="M2506" t="str">
        <f t="shared" si="663"/>
        <v>048314</v>
      </c>
      <c r="N2506">
        <v>1</v>
      </c>
      <c r="O2506">
        <v>1</v>
      </c>
      <c r="P2506" t="str">
        <f>"06"</f>
        <v>06</v>
      </c>
      <c r="Q2506" t="s">
        <v>835</v>
      </c>
      <c r="S2506" t="s">
        <v>836</v>
      </c>
      <c r="T2506" t="s">
        <v>836</v>
      </c>
      <c r="U2506" t="str">
        <f t="shared" si="671"/>
        <v>2500-12-31 00:00:00.0</v>
      </c>
      <c r="V2506" t="s">
        <v>837</v>
      </c>
      <c r="W2506" t="str">
        <f>"048314-070417-**-**"</f>
        <v>048314-070417-**-**</v>
      </c>
      <c r="X2506" t="s">
        <v>838</v>
      </c>
      <c r="Y2506">
        <v>1125</v>
      </c>
      <c r="Z2506">
        <v>1125</v>
      </c>
      <c r="AA2506" t="str">
        <f t="shared" si="669"/>
        <v>06/08/2016</v>
      </c>
    </row>
    <row r="2507" spans="1:27" x14ac:dyDescent="0.3">
      <c r="A2507" t="str">
        <f t="shared" si="673"/>
        <v>048314</v>
      </c>
      <c r="B2507" t="str">
        <f t="shared" si="667"/>
        <v>070417</v>
      </c>
      <c r="C2507" t="s">
        <v>1941</v>
      </c>
      <c r="D2507" t="s">
        <v>3839</v>
      </c>
      <c r="E2507" t="s">
        <v>3840</v>
      </c>
      <c r="F2507" t="s">
        <v>3841</v>
      </c>
      <c r="G2507" t="s">
        <v>3842</v>
      </c>
      <c r="H2507" t="str">
        <f t="shared" si="666"/>
        <v>048314</v>
      </c>
      <c r="I2507" t="s">
        <v>833</v>
      </c>
      <c r="J2507" t="str">
        <f t="shared" si="670"/>
        <v>2015-07-01 00:00:00.0</v>
      </c>
      <c r="K2507" t="s">
        <v>834</v>
      </c>
      <c r="L2507" t="s">
        <v>0</v>
      </c>
      <c r="M2507" t="str">
        <f t="shared" si="663"/>
        <v>048314</v>
      </c>
      <c r="N2507">
        <v>0.69430099999999995</v>
      </c>
      <c r="O2507">
        <v>0.69430099999999995</v>
      </c>
      <c r="P2507" t="str">
        <f>"09"</f>
        <v>09</v>
      </c>
      <c r="Q2507" t="str">
        <f>"10"</f>
        <v>10</v>
      </c>
      <c r="R2507" t="str">
        <f>"2"</f>
        <v>2</v>
      </c>
      <c r="S2507" t="s">
        <v>836</v>
      </c>
      <c r="T2507" t="s">
        <v>836</v>
      </c>
      <c r="U2507" t="str">
        <f>"2016-03-15 00:00:00.0"</f>
        <v>2016-03-15 00:00:00.0</v>
      </c>
      <c r="V2507" t="s">
        <v>837</v>
      </c>
      <c r="W2507" t="str">
        <f>"048314-004796-**-**"</f>
        <v>048314-004796-**-**</v>
      </c>
      <c r="X2507" t="s">
        <v>838</v>
      </c>
      <c r="Y2507">
        <v>871</v>
      </c>
      <c r="Z2507">
        <v>1254.5</v>
      </c>
      <c r="AA2507" t="str">
        <f t="shared" si="669"/>
        <v>06/08/2016</v>
      </c>
    </row>
    <row r="2508" spans="1:27" x14ac:dyDescent="0.3">
      <c r="A2508" t="str">
        <f t="shared" si="673"/>
        <v>048314</v>
      </c>
      <c r="B2508" t="str">
        <f t="shared" si="667"/>
        <v>070417</v>
      </c>
      <c r="C2508" t="s">
        <v>1941</v>
      </c>
      <c r="D2508" t="s">
        <v>3839</v>
      </c>
      <c r="E2508" t="s">
        <v>3840</v>
      </c>
      <c r="F2508" t="s">
        <v>3841</v>
      </c>
      <c r="G2508" t="s">
        <v>3842</v>
      </c>
      <c r="H2508" t="str">
        <f t="shared" si="666"/>
        <v>048314</v>
      </c>
      <c r="I2508" t="s">
        <v>833</v>
      </c>
      <c r="J2508" t="str">
        <f>"2016-03-16 00:00:00.0"</f>
        <v>2016-03-16 00:00:00.0</v>
      </c>
      <c r="K2508" t="s">
        <v>834</v>
      </c>
      <c r="L2508" t="s">
        <v>0</v>
      </c>
      <c r="M2508" t="str">
        <f t="shared" si="663"/>
        <v>048314</v>
      </c>
      <c r="N2508">
        <v>0.305699</v>
      </c>
      <c r="O2508">
        <v>0.305699</v>
      </c>
      <c r="P2508" t="str">
        <f>"09"</f>
        <v>09</v>
      </c>
      <c r="Q2508" t="s">
        <v>835</v>
      </c>
      <c r="S2508" t="s">
        <v>836</v>
      </c>
      <c r="T2508" t="s">
        <v>836</v>
      </c>
      <c r="U2508" t="str">
        <f t="shared" ref="U2508:U2548" si="674">"2500-12-31 00:00:00.0"</f>
        <v>2500-12-31 00:00:00.0</v>
      </c>
      <c r="V2508" t="s">
        <v>837</v>
      </c>
      <c r="W2508" t="str">
        <f>"048314-004796-**-**"</f>
        <v>048314-004796-**-**</v>
      </c>
      <c r="X2508" t="s">
        <v>838</v>
      </c>
      <c r="Y2508">
        <v>383.5</v>
      </c>
      <c r="Z2508">
        <v>1254.5</v>
      </c>
      <c r="AA2508" t="str">
        <f t="shared" si="669"/>
        <v>06/08/2016</v>
      </c>
    </row>
    <row r="2509" spans="1:27" x14ac:dyDescent="0.3">
      <c r="A2509" t="str">
        <f t="shared" si="673"/>
        <v>048314</v>
      </c>
      <c r="B2509" t="str">
        <f t="shared" si="667"/>
        <v>070417</v>
      </c>
      <c r="C2509" t="s">
        <v>3059</v>
      </c>
      <c r="D2509" t="s">
        <v>3839</v>
      </c>
      <c r="E2509" t="s">
        <v>3840</v>
      </c>
      <c r="F2509" t="s">
        <v>3841</v>
      </c>
      <c r="G2509" t="s">
        <v>3842</v>
      </c>
      <c r="H2509" t="str">
        <f t="shared" si="666"/>
        <v>048314</v>
      </c>
      <c r="I2509" t="s">
        <v>833</v>
      </c>
      <c r="J2509" t="str">
        <f>"2015-08-31 00:00:00.0"</f>
        <v>2015-08-31 00:00:00.0</v>
      </c>
      <c r="K2509" t="s">
        <v>834</v>
      </c>
      <c r="L2509" t="s">
        <v>0</v>
      </c>
      <c r="M2509" t="str">
        <f t="shared" si="663"/>
        <v>048314</v>
      </c>
      <c r="N2509">
        <v>1</v>
      </c>
      <c r="O2509">
        <v>1</v>
      </c>
      <c r="P2509" t="str">
        <f>"05"</f>
        <v>05</v>
      </c>
      <c r="Q2509" t="s">
        <v>835</v>
      </c>
      <c r="S2509" t="s">
        <v>860</v>
      </c>
      <c r="T2509" t="s">
        <v>836</v>
      </c>
      <c r="U2509" t="str">
        <f t="shared" si="674"/>
        <v>2500-12-31 00:00:00.0</v>
      </c>
      <c r="V2509" t="s">
        <v>837</v>
      </c>
      <c r="W2509" t="str">
        <f t="shared" ref="W2509:W2515" si="675">"048314-070417-**-**"</f>
        <v>048314-070417-**-**</v>
      </c>
      <c r="X2509" t="s">
        <v>838</v>
      </c>
      <c r="Y2509">
        <v>1125</v>
      </c>
      <c r="Z2509">
        <v>1125</v>
      </c>
      <c r="AA2509" t="str">
        <f t="shared" si="669"/>
        <v>06/08/2016</v>
      </c>
    </row>
    <row r="2510" spans="1:27" x14ac:dyDescent="0.3">
      <c r="A2510" t="str">
        <f t="shared" si="673"/>
        <v>048314</v>
      </c>
      <c r="B2510" t="str">
        <f t="shared" si="667"/>
        <v>070417</v>
      </c>
      <c r="C2510" t="s">
        <v>2539</v>
      </c>
      <c r="D2510" t="s">
        <v>3839</v>
      </c>
      <c r="E2510" t="s">
        <v>3840</v>
      </c>
      <c r="F2510" t="s">
        <v>3841</v>
      </c>
      <c r="G2510" t="s">
        <v>3842</v>
      </c>
      <c r="H2510" t="str">
        <f t="shared" si="666"/>
        <v>048314</v>
      </c>
      <c r="I2510" t="s">
        <v>833</v>
      </c>
      <c r="J2510" t="str">
        <f>"2015-08-31 00:00:00.0"</f>
        <v>2015-08-31 00:00:00.0</v>
      </c>
      <c r="K2510" t="s">
        <v>834</v>
      </c>
      <c r="L2510" t="s">
        <v>0</v>
      </c>
      <c r="M2510" t="str">
        <f t="shared" si="663"/>
        <v>048314</v>
      </c>
      <c r="N2510">
        <v>1</v>
      </c>
      <c r="O2510">
        <v>1</v>
      </c>
      <c r="P2510" t="str">
        <f>"07"</f>
        <v>07</v>
      </c>
      <c r="Q2510" t="s">
        <v>835</v>
      </c>
      <c r="S2510" t="s">
        <v>860</v>
      </c>
      <c r="T2510" t="s">
        <v>836</v>
      </c>
      <c r="U2510" t="str">
        <f t="shared" si="674"/>
        <v>2500-12-31 00:00:00.0</v>
      </c>
      <c r="V2510" t="s">
        <v>837</v>
      </c>
      <c r="W2510" t="str">
        <f t="shared" si="675"/>
        <v>048314-070417-**-**</v>
      </c>
      <c r="X2510" t="s">
        <v>838</v>
      </c>
      <c r="Y2510">
        <v>1125</v>
      </c>
      <c r="Z2510">
        <v>1125</v>
      </c>
      <c r="AA2510" t="str">
        <f t="shared" si="669"/>
        <v>06/08/2016</v>
      </c>
    </row>
    <row r="2511" spans="1:27" x14ac:dyDescent="0.3">
      <c r="A2511" t="str">
        <f t="shared" si="673"/>
        <v>048314</v>
      </c>
      <c r="B2511" t="str">
        <f t="shared" si="667"/>
        <v>070417</v>
      </c>
      <c r="C2511" t="s">
        <v>2356</v>
      </c>
      <c r="D2511" t="s">
        <v>3839</v>
      </c>
      <c r="E2511" t="s">
        <v>3840</v>
      </c>
      <c r="F2511" t="s">
        <v>3841</v>
      </c>
      <c r="G2511" t="s">
        <v>3842</v>
      </c>
      <c r="H2511" t="str">
        <f t="shared" si="666"/>
        <v>048314</v>
      </c>
      <c r="I2511" t="s">
        <v>833</v>
      </c>
      <c r="J2511" t="str">
        <f t="shared" ref="J2511:J2534" si="676">"2015-07-01 00:00:00.0"</f>
        <v>2015-07-01 00:00:00.0</v>
      </c>
      <c r="K2511" t="s">
        <v>834</v>
      </c>
      <c r="L2511" t="s">
        <v>0</v>
      </c>
      <c r="M2511" t="str">
        <f t="shared" si="663"/>
        <v>048314</v>
      </c>
      <c r="N2511">
        <v>1</v>
      </c>
      <c r="O2511">
        <v>1</v>
      </c>
      <c r="P2511" t="str">
        <f>"07"</f>
        <v>07</v>
      </c>
      <c r="Q2511" t="s">
        <v>835</v>
      </c>
      <c r="S2511" t="s">
        <v>836</v>
      </c>
      <c r="T2511" t="s">
        <v>836</v>
      </c>
      <c r="U2511" t="str">
        <f t="shared" si="674"/>
        <v>2500-12-31 00:00:00.0</v>
      </c>
      <c r="V2511" t="s">
        <v>837</v>
      </c>
      <c r="W2511" t="str">
        <f t="shared" si="675"/>
        <v>048314-070417-**-**</v>
      </c>
      <c r="X2511" t="s">
        <v>838</v>
      </c>
      <c r="Y2511">
        <v>1125</v>
      </c>
      <c r="Z2511">
        <v>1125</v>
      </c>
      <c r="AA2511" t="str">
        <f t="shared" si="669"/>
        <v>06/08/2016</v>
      </c>
    </row>
    <row r="2512" spans="1:27" x14ac:dyDescent="0.3">
      <c r="A2512" t="str">
        <f t="shared" si="673"/>
        <v>048314</v>
      </c>
      <c r="B2512" t="str">
        <f t="shared" si="667"/>
        <v>070417</v>
      </c>
      <c r="C2512" t="s">
        <v>2753</v>
      </c>
      <c r="D2512" t="s">
        <v>3839</v>
      </c>
      <c r="E2512" t="s">
        <v>3840</v>
      </c>
      <c r="F2512" t="s">
        <v>3841</v>
      </c>
      <c r="G2512" t="s">
        <v>3842</v>
      </c>
      <c r="H2512" t="str">
        <f t="shared" si="666"/>
        <v>048314</v>
      </c>
      <c r="I2512" t="s">
        <v>833</v>
      </c>
      <c r="J2512" t="str">
        <f t="shared" si="676"/>
        <v>2015-07-01 00:00:00.0</v>
      </c>
      <c r="K2512" t="s">
        <v>834</v>
      </c>
      <c r="L2512" t="s">
        <v>0</v>
      </c>
      <c r="M2512" t="str">
        <f t="shared" si="663"/>
        <v>048314</v>
      </c>
      <c r="N2512">
        <v>1</v>
      </c>
      <c r="O2512">
        <v>1</v>
      </c>
      <c r="P2512" t="str">
        <f>"06"</f>
        <v>06</v>
      </c>
      <c r="Q2512" t="s">
        <v>835</v>
      </c>
      <c r="S2512" t="s">
        <v>836</v>
      </c>
      <c r="T2512" t="s">
        <v>836</v>
      </c>
      <c r="U2512" t="str">
        <f t="shared" si="674"/>
        <v>2500-12-31 00:00:00.0</v>
      </c>
      <c r="V2512" t="s">
        <v>837</v>
      </c>
      <c r="W2512" t="str">
        <f t="shared" si="675"/>
        <v>048314-070417-**-**</v>
      </c>
      <c r="X2512" t="s">
        <v>838</v>
      </c>
      <c r="Y2512">
        <v>1125</v>
      </c>
      <c r="Z2512">
        <v>1125</v>
      </c>
      <c r="AA2512" t="str">
        <f t="shared" si="669"/>
        <v>06/08/2016</v>
      </c>
    </row>
    <row r="2513" spans="1:27" x14ac:dyDescent="0.3">
      <c r="A2513" t="str">
        <f t="shared" si="673"/>
        <v>048314</v>
      </c>
      <c r="B2513" t="str">
        <f t="shared" si="667"/>
        <v>070417</v>
      </c>
      <c r="C2513" t="s">
        <v>2062</v>
      </c>
      <c r="D2513" t="s">
        <v>3839</v>
      </c>
      <c r="E2513" t="s">
        <v>3840</v>
      </c>
      <c r="F2513" t="s">
        <v>3841</v>
      </c>
      <c r="G2513" t="s">
        <v>3842</v>
      </c>
      <c r="H2513" t="str">
        <f t="shared" si="666"/>
        <v>048314</v>
      </c>
      <c r="I2513" t="s">
        <v>833</v>
      </c>
      <c r="J2513" t="str">
        <f t="shared" si="676"/>
        <v>2015-07-01 00:00:00.0</v>
      </c>
      <c r="K2513" t="s">
        <v>834</v>
      </c>
      <c r="L2513" t="s">
        <v>0</v>
      </c>
      <c r="M2513" t="str">
        <f t="shared" si="663"/>
        <v>048314</v>
      </c>
      <c r="N2513">
        <v>1</v>
      </c>
      <c r="O2513">
        <v>1</v>
      </c>
      <c r="P2513" t="str">
        <f>"07"</f>
        <v>07</v>
      </c>
      <c r="Q2513" t="s">
        <v>835</v>
      </c>
      <c r="S2513" t="s">
        <v>860</v>
      </c>
      <c r="T2513" t="s">
        <v>836</v>
      </c>
      <c r="U2513" t="str">
        <f t="shared" si="674"/>
        <v>2500-12-31 00:00:00.0</v>
      </c>
      <c r="V2513" t="s">
        <v>837</v>
      </c>
      <c r="W2513" t="str">
        <f t="shared" si="675"/>
        <v>048314-070417-**-**</v>
      </c>
      <c r="X2513" t="s">
        <v>838</v>
      </c>
      <c r="Y2513">
        <v>1125</v>
      </c>
      <c r="Z2513">
        <v>1125</v>
      </c>
      <c r="AA2513" t="str">
        <f t="shared" si="669"/>
        <v>06/08/2016</v>
      </c>
    </row>
    <row r="2514" spans="1:27" x14ac:dyDescent="0.3">
      <c r="A2514" t="str">
        <f t="shared" si="673"/>
        <v>048314</v>
      </c>
      <c r="B2514" t="str">
        <f t="shared" si="667"/>
        <v>070417</v>
      </c>
      <c r="C2514" t="s">
        <v>3171</v>
      </c>
      <c r="D2514" t="s">
        <v>3839</v>
      </c>
      <c r="E2514" t="s">
        <v>3840</v>
      </c>
      <c r="F2514" t="s">
        <v>3841</v>
      </c>
      <c r="G2514" t="s">
        <v>3842</v>
      </c>
      <c r="H2514" t="str">
        <f t="shared" si="666"/>
        <v>048314</v>
      </c>
      <c r="I2514" t="s">
        <v>833</v>
      </c>
      <c r="J2514" t="str">
        <f t="shared" si="676"/>
        <v>2015-07-01 00:00:00.0</v>
      </c>
      <c r="K2514" t="s">
        <v>834</v>
      </c>
      <c r="L2514" t="s">
        <v>0</v>
      </c>
      <c r="M2514" t="str">
        <f t="shared" ref="M2514:M2577" si="677">"048314"</f>
        <v>048314</v>
      </c>
      <c r="N2514">
        <v>1</v>
      </c>
      <c r="O2514">
        <v>1</v>
      </c>
      <c r="P2514" t="str">
        <f>"06"</f>
        <v>06</v>
      </c>
      <c r="Q2514" t="s">
        <v>835</v>
      </c>
      <c r="S2514" t="s">
        <v>836</v>
      </c>
      <c r="T2514" t="s">
        <v>836</v>
      </c>
      <c r="U2514" t="str">
        <f t="shared" si="674"/>
        <v>2500-12-31 00:00:00.0</v>
      </c>
      <c r="V2514" t="s">
        <v>837</v>
      </c>
      <c r="W2514" t="str">
        <f t="shared" si="675"/>
        <v>048314-070417-**-**</v>
      </c>
      <c r="X2514" t="s">
        <v>838</v>
      </c>
      <c r="Y2514">
        <v>1125</v>
      </c>
      <c r="Z2514">
        <v>1125</v>
      </c>
      <c r="AA2514" t="str">
        <f t="shared" si="669"/>
        <v>06/08/2016</v>
      </c>
    </row>
    <row r="2515" spans="1:27" x14ac:dyDescent="0.3">
      <c r="A2515" t="str">
        <f t="shared" si="673"/>
        <v>048314</v>
      </c>
      <c r="B2515" t="str">
        <f t="shared" si="667"/>
        <v>070417</v>
      </c>
      <c r="C2515" t="s">
        <v>2672</v>
      </c>
      <c r="D2515" t="s">
        <v>3839</v>
      </c>
      <c r="E2515" t="s">
        <v>3840</v>
      </c>
      <c r="F2515" t="s">
        <v>3841</v>
      </c>
      <c r="G2515" t="s">
        <v>3842</v>
      </c>
      <c r="H2515" t="str">
        <f t="shared" si="666"/>
        <v>048314</v>
      </c>
      <c r="I2515" t="s">
        <v>833</v>
      </c>
      <c r="J2515" t="str">
        <f t="shared" si="676"/>
        <v>2015-07-01 00:00:00.0</v>
      </c>
      <c r="K2515" t="s">
        <v>834</v>
      </c>
      <c r="L2515" t="s">
        <v>0</v>
      </c>
      <c r="M2515" t="str">
        <f t="shared" si="677"/>
        <v>048314</v>
      </c>
      <c r="N2515">
        <v>1</v>
      </c>
      <c r="O2515">
        <v>1</v>
      </c>
      <c r="P2515" t="str">
        <f>"06"</f>
        <v>06</v>
      </c>
      <c r="Q2515" t="s">
        <v>835</v>
      </c>
      <c r="S2515" t="s">
        <v>836</v>
      </c>
      <c r="T2515" t="s">
        <v>836</v>
      </c>
      <c r="U2515" t="str">
        <f t="shared" si="674"/>
        <v>2500-12-31 00:00:00.0</v>
      </c>
      <c r="V2515" t="s">
        <v>837</v>
      </c>
      <c r="W2515" t="str">
        <f t="shared" si="675"/>
        <v>048314-070417-**-**</v>
      </c>
      <c r="X2515" t="s">
        <v>838</v>
      </c>
      <c r="Y2515">
        <v>1125</v>
      </c>
      <c r="Z2515">
        <v>1125</v>
      </c>
      <c r="AA2515" t="str">
        <f t="shared" si="669"/>
        <v>06/08/2016</v>
      </c>
    </row>
    <row r="2516" spans="1:27" x14ac:dyDescent="0.3">
      <c r="A2516" t="str">
        <f t="shared" si="673"/>
        <v>048314</v>
      </c>
      <c r="B2516" t="str">
        <f t="shared" si="667"/>
        <v>070417</v>
      </c>
      <c r="C2516" t="s">
        <v>1874</v>
      </c>
      <c r="D2516" t="s">
        <v>3839</v>
      </c>
      <c r="E2516" t="s">
        <v>3840</v>
      </c>
      <c r="F2516" t="s">
        <v>3841</v>
      </c>
      <c r="G2516" t="s">
        <v>3842</v>
      </c>
      <c r="H2516" t="str">
        <f t="shared" si="666"/>
        <v>048314</v>
      </c>
      <c r="I2516" t="s">
        <v>833</v>
      </c>
      <c r="J2516" t="str">
        <f t="shared" si="676"/>
        <v>2015-07-01 00:00:00.0</v>
      </c>
      <c r="K2516" t="s">
        <v>834</v>
      </c>
      <c r="L2516" t="s">
        <v>0</v>
      </c>
      <c r="M2516" t="str">
        <f t="shared" si="677"/>
        <v>048314</v>
      </c>
      <c r="N2516">
        <v>1</v>
      </c>
      <c r="O2516">
        <v>1</v>
      </c>
      <c r="P2516" t="str">
        <f>"09"</f>
        <v>09</v>
      </c>
      <c r="Q2516" t="s">
        <v>835</v>
      </c>
      <c r="S2516" t="s">
        <v>836</v>
      </c>
      <c r="T2516" t="s">
        <v>836</v>
      </c>
      <c r="U2516" t="str">
        <f t="shared" si="674"/>
        <v>2500-12-31 00:00:00.0</v>
      </c>
      <c r="V2516" t="s">
        <v>837</v>
      </c>
      <c r="W2516" t="str">
        <f>"048314-004796-**-**"</f>
        <v>048314-004796-**-**</v>
      </c>
      <c r="X2516" t="s">
        <v>838</v>
      </c>
      <c r="Y2516">
        <v>1254.5</v>
      </c>
      <c r="Z2516">
        <v>1254.5</v>
      </c>
      <c r="AA2516" t="str">
        <f t="shared" si="669"/>
        <v>06/08/2016</v>
      </c>
    </row>
    <row r="2517" spans="1:27" x14ac:dyDescent="0.3">
      <c r="A2517" t="str">
        <f t="shared" si="673"/>
        <v>048314</v>
      </c>
      <c r="B2517" t="str">
        <f t="shared" si="667"/>
        <v>070417</v>
      </c>
      <c r="C2517" t="s">
        <v>3172</v>
      </c>
      <c r="D2517" t="s">
        <v>3839</v>
      </c>
      <c r="E2517" t="s">
        <v>3840</v>
      </c>
      <c r="F2517" t="s">
        <v>3841</v>
      </c>
      <c r="G2517" t="s">
        <v>3842</v>
      </c>
      <c r="H2517" t="str">
        <f t="shared" si="666"/>
        <v>048314</v>
      </c>
      <c r="I2517" t="s">
        <v>833</v>
      </c>
      <c r="J2517" t="str">
        <f t="shared" si="676"/>
        <v>2015-07-01 00:00:00.0</v>
      </c>
      <c r="K2517" t="s">
        <v>834</v>
      </c>
      <c r="L2517" t="s">
        <v>0</v>
      </c>
      <c r="M2517" t="str">
        <f t="shared" si="677"/>
        <v>048314</v>
      </c>
      <c r="N2517">
        <v>1</v>
      </c>
      <c r="O2517">
        <v>1</v>
      </c>
      <c r="P2517" t="str">
        <f>"07"</f>
        <v>07</v>
      </c>
      <c r="Q2517" t="s">
        <v>835</v>
      </c>
      <c r="S2517" t="s">
        <v>836</v>
      </c>
      <c r="T2517" t="s">
        <v>836</v>
      </c>
      <c r="U2517" t="str">
        <f t="shared" si="674"/>
        <v>2500-12-31 00:00:00.0</v>
      </c>
      <c r="V2517" t="s">
        <v>837</v>
      </c>
      <c r="W2517" t="str">
        <f>"048314-070417-**-**"</f>
        <v>048314-070417-**-**</v>
      </c>
      <c r="X2517" t="s">
        <v>838</v>
      </c>
      <c r="Y2517">
        <v>1125</v>
      </c>
      <c r="Z2517">
        <v>1125</v>
      </c>
      <c r="AA2517" t="str">
        <f t="shared" si="669"/>
        <v>06/08/2016</v>
      </c>
    </row>
    <row r="2518" spans="1:27" x14ac:dyDescent="0.3">
      <c r="A2518" t="str">
        <f t="shared" si="673"/>
        <v>048314</v>
      </c>
      <c r="B2518" t="str">
        <f t="shared" si="667"/>
        <v>070417</v>
      </c>
      <c r="C2518" t="s">
        <v>3442</v>
      </c>
      <c r="D2518" t="s">
        <v>3839</v>
      </c>
      <c r="E2518" t="s">
        <v>3840</v>
      </c>
      <c r="F2518" t="s">
        <v>3841</v>
      </c>
      <c r="G2518" t="s">
        <v>3842</v>
      </c>
      <c r="H2518" t="str">
        <f t="shared" si="666"/>
        <v>048314</v>
      </c>
      <c r="I2518" t="s">
        <v>833</v>
      </c>
      <c r="J2518" t="str">
        <f t="shared" si="676"/>
        <v>2015-07-01 00:00:00.0</v>
      </c>
      <c r="K2518" t="s">
        <v>834</v>
      </c>
      <c r="L2518" t="s">
        <v>0</v>
      </c>
      <c r="M2518" t="str">
        <f t="shared" si="677"/>
        <v>048314</v>
      </c>
      <c r="N2518">
        <v>1</v>
      </c>
      <c r="O2518">
        <v>1</v>
      </c>
      <c r="P2518" t="str">
        <f>"06"</f>
        <v>06</v>
      </c>
      <c r="Q2518" t="s">
        <v>835</v>
      </c>
      <c r="S2518" t="s">
        <v>836</v>
      </c>
      <c r="T2518" t="s">
        <v>836</v>
      </c>
      <c r="U2518" t="str">
        <f t="shared" si="674"/>
        <v>2500-12-31 00:00:00.0</v>
      </c>
      <c r="V2518" t="s">
        <v>837</v>
      </c>
      <c r="W2518" t="str">
        <f>"048314-070417-**-**"</f>
        <v>048314-070417-**-**</v>
      </c>
      <c r="X2518" t="s">
        <v>838</v>
      </c>
      <c r="Y2518">
        <v>1125</v>
      </c>
      <c r="Z2518">
        <v>1125</v>
      </c>
      <c r="AA2518" t="str">
        <f t="shared" si="669"/>
        <v>06/08/2016</v>
      </c>
    </row>
    <row r="2519" spans="1:27" x14ac:dyDescent="0.3">
      <c r="A2519" t="str">
        <f t="shared" si="673"/>
        <v>048314</v>
      </c>
      <c r="B2519" t="str">
        <f t="shared" si="667"/>
        <v>070417</v>
      </c>
      <c r="C2519" t="s">
        <v>1942</v>
      </c>
      <c r="D2519" t="s">
        <v>3839</v>
      </c>
      <c r="E2519" t="s">
        <v>3840</v>
      </c>
      <c r="F2519" t="s">
        <v>3841</v>
      </c>
      <c r="G2519" t="s">
        <v>3842</v>
      </c>
      <c r="H2519" t="str">
        <f t="shared" si="666"/>
        <v>048314</v>
      </c>
      <c r="I2519" t="s">
        <v>833</v>
      </c>
      <c r="J2519" t="str">
        <f t="shared" si="676"/>
        <v>2015-07-01 00:00:00.0</v>
      </c>
      <c r="K2519" t="s">
        <v>834</v>
      </c>
      <c r="L2519" t="s">
        <v>0</v>
      </c>
      <c r="M2519" t="str">
        <f t="shared" si="677"/>
        <v>048314</v>
      </c>
      <c r="N2519">
        <v>1</v>
      </c>
      <c r="O2519">
        <v>1</v>
      </c>
      <c r="P2519" t="str">
        <f>"09"</f>
        <v>09</v>
      </c>
      <c r="Q2519" t="s">
        <v>835</v>
      </c>
      <c r="S2519" t="s">
        <v>836</v>
      </c>
      <c r="T2519" t="s">
        <v>836</v>
      </c>
      <c r="U2519" t="str">
        <f t="shared" si="674"/>
        <v>2500-12-31 00:00:00.0</v>
      </c>
      <c r="V2519" t="s">
        <v>837</v>
      </c>
      <c r="W2519" t="str">
        <f>"048314-004796-**-**"</f>
        <v>048314-004796-**-**</v>
      </c>
      <c r="X2519" t="s">
        <v>838</v>
      </c>
      <c r="Y2519">
        <v>1254.5</v>
      </c>
      <c r="Z2519">
        <v>1254.5</v>
      </c>
      <c r="AA2519" t="str">
        <f t="shared" si="669"/>
        <v>06/08/2016</v>
      </c>
    </row>
    <row r="2520" spans="1:27" x14ac:dyDescent="0.3">
      <c r="A2520" t="str">
        <f t="shared" si="673"/>
        <v>048314</v>
      </c>
      <c r="B2520" t="str">
        <f t="shared" si="667"/>
        <v>070417</v>
      </c>
      <c r="C2520" t="s">
        <v>1875</v>
      </c>
      <c r="D2520" t="s">
        <v>3839</v>
      </c>
      <c r="E2520" t="s">
        <v>3840</v>
      </c>
      <c r="F2520" t="s">
        <v>3841</v>
      </c>
      <c r="G2520" t="s">
        <v>3842</v>
      </c>
      <c r="H2520" t="str">
        <f t="shared" si="666"/>
        <v>048314</v>
      </c>
      <c r="I2520" t="s">
        <v>833</v>
      </c>
      <c r="J2520" t="str">
        <f t="shared" si="676"/>
        <v>2015-07-01 00:00:00.0</v>
      </c>
      <c r="K2520" t="s">
        <v>834</v>
      </c>
      <c r="L2520" t="s">
        <v>0</v>
      </c>
      <c r="M2520" t="str">
        <f t="shared" si="677"/>
        <v>048314</v>
      </c>
      <c r="N2520">
        <v>1</v>
      </c>
      <c r="O2520">
        <v>1</v>
      </c>
      <c r="P2520" t="str">
        <f>"09"</f>
        <v>09</v>
      </c>
      <c r="Q2520" t="s">
        <v>835</v>
      </c>
      <c r="S2520" t="s">
        <v>836</v>
      </c>
      <c r="T2520" t="s">
        <v>836</v>
      </c>
      <c r="U2520" t="str">
        <f t="shared" si="674"/>
        <v>2500-12-31 00:00:00.0</v>
      </c>
      <c r="V2520" t="s">
        <v>837</v>
      </c>
      <c r="W2520" t="str">
        <f>"048314-004796-**-**"</f>
        <v>048314-004796-**-**</v>
      </c>
      <c r="X2520" t="s">
        <v>838</v>
      </c>
      <c r="Y2520">
        <v>1254.5</v>
      </c>
      <c r="Z2520">
        <v>1254.5</v>
      </c>
      <c r="AA2520" t="str">
        <f t="shared" si="669"/>
        <v>06/08/2016</v>
      </c>
    </row>
    <row r="2521" spans="1:27" x14ac:dyDescent="0.3">
      <c r="A2521" t="str">
        <f t="shared" si="673"/>
        <v>048314</v>
      </c>
      <c r="B2521" t="str">
        <f t="shared" si="667"/>
        <v>070417</v>
      </c>
      <c r="C2521" t="s">
        <v>2429</v>
      </c>
      <c r="D2521" t="s">
        <v>3839</v>
      </c>
      <c r="E2521" t="s">
        <v>3840</v>
      </c>
      <c r="F2521" t="s">
        <v>3841</v>
      </c>
      <c r="G2521" t="s">
        <v>3842</v>
      </c>
      <c r="H2521" t="str">
        <f t="shared" si="666"/>
        <v>048314</v>
      </c>
      <c r="I2521" t="s">
        <v>833</v>
      </c>
      <c r="J2521" t="str">
        <f t="shared" si="676"/>
        <v>2015-07-01 00:00:00.0</v>
      </c>
      <c r="K2521" t="s">
        <v>834</v>
      </c>
      <c r="L2521" t="s">
        <v>0</v>
      </c>
      <c r="M2521" t="str">
        <f t="shared" si="677"/>
        <v>048314</v>
      </c>
      <c r="N2521">
        <v>1</v>
      </c>
      <c r="O2521">
        <v>1</v>
      </c>
      <c r="P2521" t="str">
        <f>"07"</f>
        <v>07</v>
      </c>
      <c r="Q2521" t="s">
        <v>835</v>
      </c>
      <c r="S2521" t="s">
        <v>836</v>
      </c>
      <c r="T2521" t="s">
        <v>836</v>
      </c>
      <c r="U2521" t="str">
        <f t="shared" si="674"/>
        <v>2500-12-31 00:00:00.0</v>
      </c>
      <c r="V2521" t="s">
        <v>837</v>
      </c>
      <c r="W2521" t="str">
        <f>"048314-070417-**-**"</f>
        <v>048314-070417-**-**</v>
      </c>
      <c r="X2521" t="s">
        <v>838</v>
      </c>
      <c r="Y2521">
        <v>1125</v>
      </c>
      <c r="Z2521">
        <v>1125</v>
      </c>
      <c r="AA2521" t="str">
        <f t="shared" si="669"/>
        <v>06/08/2016</v>
      </c>
    </row>
    <row r="2522" spans="1:27" x14ac:dyDescent="0.3">
      <c r="A2522" t="str">
        <f t="shared" si="673"/>
        <v>048314</v>
      </c>
      <c r="B2522" t="str">
        <f t="shared" si="667"/>
        <v>070417</v>
      </c>
      <c r="C2522" t="s">
        <v>1943</v>
      </c>
      <c r="D2522" t="s">
        <v>3839</v>
      </c>
      <c r="E2522" t="s">
        <v>3840</v>
      </c>
      <c r="F2522" t="s">
        <v>3841</v>
      </c>
      <c r="G2522" t="s">
        <v>3842</v>
      </c>
      <c r="H2522" t="str">
        <f t="shared" si="666"/>
        <v>048314</v>
      </c>
      <c r="I2522" t="s">
        <v>833</v>
      </c>
      <c r="J2522" t="str">
        <f t="shared" si="676"/>
        <v>2015-07-01 00:00:00.0</v>
      </c>
      <c r="K2522" t="s">
        <v>834</v>
      </c>
      <c r="L2522" t="s">
        <v>0</v>
      </c>
      <c r="M2522" t="str">
        <f t="shared" si="677"/>
        <v>048314</v>
      </c>
      <c r="N2522">
        <v>1</v>
      </c>
      <c r="O2522">
        <v>1</v>
      </c>
      <c r="P2522" t="str">
        <f>"09"</f>
        <v>09</v>
      </c>
      <c r="Q2522" t="s">
        <v>835</v>
      </c>
      <c r="S2522" t="s">
        <v>836</v>
      </c>
      <c r="T2522" t="s">
        <v>836</v>
      </c>
      <c r="U2522" t="str">
        <f t="shared" si="674"/>
        <v>2500-12-31 00:00:00.0</v>
      </c>
      <c r="V2522" t="s">
        <v>837</v>
      </c>
      <c r="W2522" t="str">
        <f>"048314-004796-**-**"</f>
        <v>048314-004796-**-**</v>
      </c>
      <c r="X2522" t="s">
        <v>838</v>
      </c>
      <c r="Y2522">
        <v>1254.5</v>
      </c>
      <c r="Z2522">
        <v>1254.5</v>
      </c>
      <c r="AA2522" t="str">
        <f t="shared" si="669"/>
        <v>06/08/2016</v>
      </c>
    </row>
    <row r="2523" spans="1:27" x14ac:dyDescent="0.3">
      <c r="A2523" t="str">
        <f t="shared" si="673"/>
        <v>048314</v>
      </c>
      <c r="B2523" t="str">
        <f t="shared" si="667"/>
        <v>070417</v>
      </c>
      <c r="C2523" t="s">
        <v>1876</v>
      </c>
      <c r="D2523" t="s">
        <v>3839</v>
      </c>
      <c r="E2523" t="s">
        <v>3840</v>
      </c>
      <c r="F2523" t="s">
        <v>3841</v>
      </c>
      <c r="G2523" t="s">
        <v>3842</v>
      </c>
      <c r="H2523" t="str">
        <f t="shared" si="666"/>
        <v>048314</v>
      </c>
      <c r="I2523" t="s">
        <v>833</v>
      </c>
      <c r="J2523" t="str">
        <f t="shared" si="676"/>
        <v>2015-07-01 00:00:00.0</v>
      </c>
      <c r="K2523" t="s">
        <v>834</v>
      </c>
      <c r="L2523" t="s">
        <v>0</v>
      </c>
      <c r="M2523" t="str">
        <f t="shared" si="677"/>
        <v>048314</v>
      </c>
      <c r="N2523">
        <v>1</v>
      </c>
      <c r="O2523">
        <v>1</v>
      </c>
      <c r="P2523" t="str">
        <f>"09"</f>
        <v>09</v>
      </c>
      <c r="Q2523" t="s">
        <v>835</v>
      </c>
      <c r="S2523" t="s">
        <v>836</v>
      </c>
      <c r="T2523" t="s">
        <v>836</v>
      </c>
      <c r="U2523" t="str">
        <f t="shared" si="674"/>
        <v>2500-12-31 00:00:00.0</v>
      </c>
      <c r="V2523" t="s">
        <v>837</v>
      </c>
      <c r="W2523" t="str">
        <f>"048314-004796-**-**"</f>
        <v>048314-004796-**-**</v>
      </c>
      <c r="X2523" t="s">
        <v>838</v>
      </c>
      <c r="Y2523">
        <v>1254.5</v>
      </c>
      <c r="Z2523">
        <v>1254.5</v>
      </c>
      <c r="AA2523" t="str">
        <f t="shared" si="669"/>
        <v>06/08/2016</v>
      </c>
    </row>
    <row r="2524" spans="1:27" x14ac:dyDescent="0.3">
      <c r="A2524" t="str">
        <f t="shared" si="673"/>
        <v>048314</v>
      </c>
      <c r="B2524" t="str">
        <f t="shared" si="667"/>
        <v>070417</v>
      </c>
      <c r="C2524" t="s">
        <v>2530</v>
      </c>
      <c r="D2524" t="s">
        <v>3839</v>
      </c>
      <c r="E2524" t="s">
        <v>3840</v>
      </c>
      <c r="F2524" t="s">
        <v>3841</v>
      </c>
      <c r="G2524" t="s">
        <v>3842</v>
      </c>
      <c r="H2524" t="str">
        <f t="shared" si="666"/>
        <v>048314</v>
      </c>
      <c r="I2524" t="s">
        <v>833</v>
      </c>
      <c r="J2524" t="str">
        <f t="shared" si="676"/>
        <v>2015-07-01 00:00:00.0</v>
      </c>
      <c r="K2524" t="s">
        <v>834</v>
      </c>
      <c r="L2524" t="s">
        <v>0</v>
      </c>
      <c r="M2524" t="str">
        <f t="shared" si="677"/>
        <v>048314</v>
      </c>
      <c r="N2524">
        <v>1</v>
      </c>
      <c r="O2524">
        <v>1</v>
      </c>
      <c r="P2524" t="str">
        <f>"07"</f>
        <v>07</v>
      </c>
      <c r="Q2524" t="s">
        <v>835</v>
      </c>
      <c r="S2524" t="s">
        <v>836</v>
      </c>
      <c r="T2524" t="s">
        <v>836</v>
      </c>
      <c r="U2524" t="str">
        <f t="shared" si="674"/>
        <v>2500-12-31 00:00:00.0</v>
      </c>
      <c r="V2524" t="s">
        <v>837</v>
      </c>
      <c r="W2524" t="str">
        <f t="shared" ref="W2524:W2531" si="678">"048314-070417-**-**"</f>
        <v>048314-070417-**-**</v>
      </c>
      <c r="X2524" t="s">
        <v>838</v>
      </c>
      <c r="Y2524">
        <v>1125</v>
      </c>
      <c r="Z2524">
        <v>1125</v>
      </c>
      <c r="AA2524" t="str">
        <f t="shared" si="669"/>
        <v>06/08/2016</v>
      </c>
    </row>
    <row r="2525" spans="1:27" x14ac:dyDescent="0.3">
      <c r="A2525" t="str">
        <f t="shared" si="673"/>
        <v>048314</v>
      </c>
      <c r="B2525" t="str">
        <f t="shared" si="667"/>
        <v>070417</v>
      </c>
      <c r="C2525" t="s">
        <v>2673</v>
      </c>
      <c r="D2525" t="s">
        <v>3839</v>
      </c>
      <c r="E2525" t="s">
        <v>3840</v>
      </c>
      <c r="F2525" t="s">
        <v>3841</v>
      </c>
      <c r="G2525" t="s">
        <v>3842</v>
      </c>
      <c r="H2525" t="str">
        <f t="shared" si="666"/>
        <v>048314</v>
      </c>
      <c r="I2525" t="s">
        <v>833</v>
      </c>
      <c r="J2525" t="str">
        <f t="shared" si="676"/>
        <v>2015-07-01 00:00:00.0</v>
      </c>
      <c r="K2525" t="s">
        <v>834</v>
      </c>
      <c r="L2525" t="s">
        <v>0</v>
      </c>
      <c r="M2525" t="str">
        <f t="shared" si="677"/>
        <v>048314</v>
      </c>
      <c r="N2525">
        <v>1</v>
      </c>
      <c r="O2525">
        <v>1</v>
      </c>
      <c r="P2525" t="str">
        <f>"06"</f>
        <v>06</v>
      </c>
      <c r="Q2525" t="s">
        <v>835</v>
      </c>
      <c r="S2525" t="s">
        <v>836</v>
      </c>
      <c r="T2525" t="s">
        <v>836</v>
      </c>
      <c r="U2525" t="str">
        <f t="shared" si="674"/>
        <v>2500-12-31 00:00:00.0</v>
      </c>
      <c r="V2525" t="s">
        <v>837</v>
      </c>
      <c r="W2525" t="str">
        <f t="shared" si="678"/>
        <v>048314-070417-**-**</v>
      </c>
      <c r="X2525" t="s">
        <v>838</v>
      </c>
      <c r="Y2525">
        <v>1125</v>
      </c>
      <c r="Z2525">
        <v>1125</v>
      </c>
      <c r="AA2525" t="str">
        <f t="shared" si="669"/>
        <v>06/08/2016</v>
      </c>
    </row>
    <row r="2526" spans="1:27" x14ac:dyDescent="0.3">
      <c r="A2526" t="str">
        <f t="shared" si="673"/>
        <v>048314</v>
      </c>
      <c r="B2526" t="str">
        <f t="shared" si="667"/>
        <v>070417</v>
      </c>
      <c r="C2526" t="s">
        <v>2947</v>
      </c>
      <c r="D2526" t="s">
        <v>3839</v>
      </c>
      <c r="E2526" t="s">
        <v>3840</v>
      </c>
      <c r="F2526" t="s">
        <v>3841</v>
      </c>
      <c r="G2526" t="s">
        <v>3842</v>
      </c>
      <c r="H2526" t="str">
        <f t="shared" si="666"/>
        <v>048314</v>
      </c>
      <c r="I2526" t="s">
        <v>833</v>
      </c>
      <c r="J2526" t="str">
        <f t="shared" si="676"/>
        <v>2015-07-01 00:00:00.0</v>
      </c>
      <c r="K2526" t="s">
        <v>834</v>
      </c>
      <c r="L2526" t="s">
        <v>0</v>
      </c>
      <c r="M2526" t="str">
        <f t="shared" si="677"/>
        <v>048314</v>
      </c>
      <c r="N2526">
        <v>1</v>
      </c>
      <c r="O2526">
        <v>1</v>
      </c>
      <c r="P2526" t="str">
        <f>"06"</f>
        <v>06</v>
      </c>
      <c r="Q2526" t="s">
        <v>835</v>
      </c>
      <c r="S2526" t="s">
        <v>836</v>
      </c>
      <c r="T2526" t="s">
        <v>836</v>
      </c>
      <c r="U2526" t="str">
        <f t="shared" si="674"/>
        <v>2500-12-31 00:00:00.0</v>
      </c>
      <c r="V2526" t="s">
        <v>837</v>
      </c>
      <c r="W2526" t="str">
        <f t="shared" si="678"/>
        <v>048314-070417-**-**</v>
      </c>
      <c r="X2526" t="s">
        <v>838</v>
      </c>
      <c r="Y2526">
        <v>1125</v>
      </c>
      <c r="Z2526">
        <v>1125</v>
      </c>
      <c r="AA2526" t="str">
        <f t="shared" si="669"/>
        <v>06/08/2016</v>
      </c>
    </row>
    <row r="2527" spans="1:27" x14ac:dyDescent="0.3">
      <c r="A2527" t="str">
        <f t="shared" si="673"/>
        <v>048314</v>
      </c>
      <c r="B2527" t="str">
        <f t="shared" si="667"/>
        <v>070417</v>
      </c>
      <c r="C2527" t="s">
        <v>2674</v>
      </c>
      <c r="D2527" t="s">
        <v>3839</v>
      </c>
      <c r="E2527" t="s">
        <v>3840</v>
      </c>
      <c r="F2527" t="s">
        <v>3841</v>
      </c>
      <c r="G2527" t="s">
        <v>3842</v>
      </c>
      <c r="H2527" t="str">
        <f t="shared" si="666"/>
        <v>048314</v>
      </c>
      <c r="I2527" t="s">
        <v>833</v>
      </c>
      <c r="J2527" t="str">
        <f t="shared" si="676"/>
        <v>2015-07-01 00:00:00.0</v>
      </c>
      <c r="K2527" t="s">
        <v>834</v>
      </c>
      <c r="L2527" t="s">
        <v>0</v>
      </c>
      <c r="M2527" t="str">
        <f t="shared" si="677"/>
        <v>048314</v>
      </c>
      <c r="N2527">
        <v>1</v>
      </c>
      <c r="O2527">
        <v>1</v>
      </c>
      <c r="P2527" t="str">
        <f>"06"</f>
        <v>06</v>
      </c>
      <c r="Q2527" t="s">
        <v>835</v>
      </c>
      <c r="S2527" t="s">
        <v>836</v>
      </c>
      <c r="T2527" t="s">
        <v>836</v>
      </c>
      <c r="U2527" t="str">
        <f t="shared" si="674"/>
        <v>2500-12-31 00:00:00.0</v>
      </c>
      <c r="V2527" t="s">
        <v>837</v>
      </c>
      <c r="W2527" t="str">
        <f t="shared" si="678"/>
        <v>048314-070417-**-**</v>
      </c>
      <c r="X2527" t="s">
        <v>838</v>
      </c>
      <c r="Y2527">
        <v>1125</v>
      </c>
      <c r="Z2527">
        <v>1125</v>
      </c>
      <c r="AA2527" t="str">
        <f t="shared" si="669"/>
        <v>06/08/2016</v>
      </c>
    </row>
    <row r="2528" spans="1:27" x14ac:dyDescent="0.3">
      <c r="A2528" t="str">
        <f t="shared" si="673"/>
        <v>048314</v>
      </c>
      <c r="B2528" t="str">
        <f t="shared" si="667"/>
        <v>070417</v>
      </c>
      <c r="C2528" t="s">
        <v>2117</v>
      </c>
      <c r="D2528" t="s">
        <v>3839</v>
      </c>
      <c r="E2528" t="s">
        <v>3840</v>
      </c>
      <c r="F2528" t="s">
        <v>3841</v>
      </c>
      <c r="G2528" t="s">
        <v>3842</v>
      </c>
      <c r="H2528" t="str">
        <f t="shared" si="666"/>
        <v>048314</v>
      </c>
      <c r="I2528" t="s">
        <v>833</v>
      </c>
      <c r="J2528" t="str">
        <f t="shared" si="676"/>
        <v>2015-07-01 00:00:00.0</v>
      </c>
      <c r="K2528" t="s">
        <v>834</v>
      </c>
      <c r="L2528" t="s">
        <v>0</v>
      </c>
      <c r="M2528" t="str">
        <f t="shared" si="677"/>
        <v>048314</v>
      </c>
      <c r="N2528">
        <v>1</v>
      </c>
      <c r="O2528">
        <v>1</v>
      </c>
      <c r="P2528" t="str">
        <f>"08"</f>
        <v>08</v>
      </c>
      <c r="Q2528" t="s">
        <v>835</v>
      </c>
      <c r="S2528" t="s">
        <v>836</v>
      </c>
      <c r="T2528" t="s">
        <v>836</v>
      </c>
      <c r="U2528" t="str">
        <f t="shared" si="674"/>
        <v>2500-12-31 00:00:00.0</v>
      </c>
      <c r="V2528" t="s">
        <v>837</v>
      </c>
      <c r="W2528" t="str">
        <f t="shared" si="678"/>
        <v>048314-070417-**-**</v>
      </c>
      <c r="X2528" t="s">
        <v>838</v>
      </c>
      <c r="Y2528">
        <v>1125</v>
      </c>
      <c r="Z2528">
        <v>1125</v>
      </c>
      <c r="AA2528" t="str">
        <f t="shared" si="669"/>
        <v>06/08/2016</v>
      </c>
    </row>
    <row r="2529" spans="1:27" x14ac:dyDescent="0.3">
      <c r="A2529" t="str">
        <f t="shared" si="673"/>
        <v>048314</v>
      </c>
      <c r="B2529" t="str">
        <f t="shared" si="667"/>
        <v>070417</v>
      </c>
      <c r="C2529" t="s">
        <v>2357</v>
      </c>
      <c r="D2529" t="s">
        <v>3839</v>
      </c>
      <c r="E2529" t="s">
        <v>3840</v>
      </c>
      <c r="F2529" t="s">
        <v>3841</v>
      </c>
      <c r="G2529" t="s">
        <v>3842</v>
      </c>
      <c r="H2529" t="str">
        <f t="shared" si="666"/>
        <v>048314</v>
      </c>
      <c r="I2529" t="s">
        <v>833</v>
      </c>
      <c r="J2529" t="str">
        <f t="shared" si="676"/>
        <v>2015-07-01 00:00:00.0</v>
      </c>
      <c r="K2529" t="s">
        <v>834</v>
      </c>
      <c r="L2529" t="s">
        <v>0</v>
      </c>
      <c r="M2529" t="str">
        <f t="shared" si="677"/>
        <v>048314</v>
      </c>
      <c r="N2529">
        <v>1</v>
      </c>
      <c r="O2529">
        <v>1</v>
      </c>
      <c r="P2529" t="str">
        <f>"07"</f>
        <v>07</v>
      </c>
      <c r="Q2529" t="s">
        <v>835</v>
      </c>
      <c r="S2529" t="s">
        <v>836</v>
      </c>
      <c r="T2529" t="s">
        <v>836</v>
      </c>
      <c r="U2529" t="str">
        <f t="shared" si="674"/>
        <v>2500-12-31 00:00:00.0</v>
      </c>
      <c r="V2529" t="s">
        <v>837</v>
      </c>
      <c r="W2529" t="str">
        <f t="shared" si="678"/>
        <v>048314-070417-**-**</v>
      </c>
      <c r="X2529" t="s">
        <v>838</v>
      </c>
      <c r="Y2529">
        <v>1125</v>
      </c>
      <c r="Z2529">
        <v>1125</v>
      </c>
      <c r="AA2529" t="str">
        <f t="shared" si="669"/>
        <v>06/08/2016</v>
      </c>
    </row>
    <row r="2530" spans="1:27" x14ac:dyDescent="0.3">
      <c r="A2530" t="str">
        <f t="shared" si="673"/>
        <v>048314</v>
      </c>
      <c r="B2530" t="str">
        <f t="shared" si="667"/>
        <v>070417</v>
      </c>
      <c r="C2530" t="s">
        <v>2253</v>
      </c>
      <c r="D2530" t="s">
        <v>3839</v>
      </c>
      <c r="E2530" t="s">
        <v>3840</v>
      </c>
      <c r="F2530" t="s">
        <v>3841</v>
      </c>
      <c r="G2530" t="s">
        <v>3842</v>
      </c>
      <c r="H2530" t="str">
        <f t="shared" ref="H2530:H2547" si="679">"048314"</f>
        <v>048314</v>
      </c>
      <c r="I2530" t="s">
        <v>833</v>
      </c>
      <c r="J2530" t="str">
        <f t="shared" si="676"/>
        <v>2015-07-01 00:00:00.0</v>
      </c>
      <c r="K2530" t="s">
        <v>834</v>
      </c>
      <c r="L2530" t="s">
        <v>0</v>
      </c>
      <c r="M2530" t="str">
        <f t="shared" si="677"/>
        <v>048314</v>
      </c>
      <c r="N2530">
        <v>1</v>
      </c>
      <c r="O2530">
        <v>1</v>
      </c>
      <c r="P2530" t="str">
        <f>"08"</f>
        <v>08</v>
      </c>
      <c r="Q2530" t="s">
        <v>835</v>
      </c>
      <c r="S2530" t="s">
        <v>836</v>
      </c>
      <c r="T2530" t="s">
        <v>836</v>
      </c>
      <c r="U2530" t="str">
        <f t="shared" si="674"/>
        <v>2500-12-31 00:00:00.0</v>
      </c>
      <c r="V2530" t="s">
        <v>837</v>
      </c>
      <c r="W2530" t="str">
        <f t="shared" si="678"/>
        <v>048314-070417-**-**</v>
      </c>
      <c r="X2530" t="s">
        <v>838</v>
      </c>
      <c r="Y2530">
        <v>1125</v>
      </c>
      <c r="Z2530">
        <v>1125</v>
      </c>
      <c r="AA2530" t="str">
        <f t="shared" si="669"/>
        <v>06/08/2016</v>
      </c>
    </row>
    <row r="2531" spans="1:27" x14ac:dyDescent="0.3">
      <c r="A2531" t="str">
        <f t="shared" si="673"/>
        <v>048314</v>
      </c>
      <c r="B2531" t="str">
        <f t="shared" si="667"/>
        <v>070417</v>
      </c>
      <c r="C2531" t="s">
        <v>3507</v>
      </c>
      <c r="D2531" t="s">
        <v>3839</v>
      </c>
      <c r="E2531" t="s">
        <v>3840</v>
      </c>
      <c r="F2531" t="s">
        <v>3841</v>
      </c>
      <c r="G2531" t="s">
        <v>3842</v>
      </c>
      <c r="H2531" t="str">
        <f t="shared" si="679"/>
        <v>048314</v>
      </c>
      <c r="I2531" t="s">
        <v>833</v>
      </c>
      <c r="J2531" t="str">
        <f t="shared" si="676"/>
        <v>2015-07-01 00:00:00.0</v>
      </c>
      <c r="K2531" t="s">
        <v>834</v>
      </c>
      <c r="L2531" t="s">
        <v>0</v>
      </c>
      <c r="M2531" t="str">
        <f t="shared" si="677"/>
        <v>048314</v>
      </c>
      <c r="N2531">
        <v>1</v>
      </c>
      <c r="O2531">
        <v>1</v>
      </c>
      <c r="P2531" t="str">
        <f>"07"</f>
        <v>07</v>
      </c>
      <c r="Q2531" t="s">
        <v>835</v>
      </c>
      <c r="S2531" t="s">
        <v>836</v>
      </c>
      <c r="T2531" t="s">
        <v>836</v>
      </c>
      <c r="U2531" t="str">
        <f t="shared" si="674"/>
        <v>2500-12-31 00:00:00.0</v>
      </c>
      <c r="V2531" t="s">
        <v>837</v>
      </c>
      <c r="W2531" t="str">
        <f t="shared" si="678"/>
        <v>048314-070417-**-**</v>
      </c>
      <c r="X2531" t="s">
        <v>838</v>
      </c>
      <c r="Y2531">
        <v>1125</v>
      </c>
      <c r="Z2531">
        <v>1125</v>
      </c>
      <c r="AA2531" t="str">
        <f t="shared" si="669"/>
        <v>06/08/2016</v>
      </c>
    </row>
    <row r="2532" spans="1:27" x14ac:dyDescent="0.3">
      <c r="A2532" t="str">
        <f t="shared" si="673"/>
        <v>048314</v>
      </c>
      <c r="B2532" t="str">
        <f t="shared" ref="B2532:B2595" si="680">"070417"</f>
        <v>070417</v>
      </c>
      <c r="C2532" t="s">
        <v>1944</v>
      </c>
      <c r="D2532" t="s">
        <v>3839</v>
      </c>
      <c r="E2532" t="s">
        <v>3840</v>
      </c>
      <c r="F2532" t="s">
        <v>3841</v>
      </c>
      <c r="G2532" t="s">
        <v>3842</v>
      </c>
      <c r="H2532" t="str">
        <f t="shared" si="679"/>
        <v>048314</v>
      </c>
      <c r="I2532" t="s">
        <v>833</v>
      </c>
      <c r="J2532" t="str">
        <f t="shared" si="676"/>
        <v>2015-07-01 00:00:00.0</v>
      </c>
      <c r="K2532" t="s">
        <v>834</v>
      </c>
      <c r="L2532" t="s">
        <v>0</v>
      </c>
      <c r="M2532" t="str">
        <f t="shared" si="677"/>
        <v>048314</v>
      </c>
      <c r="N2532">
        <v>1</v>
      </c>
      <c r="O2532">
        <v>1</v>
      </c>
      <c r="P2532" t="str">
        <f>"09"</f>
        <v>09</v>
      </c>
      <c r="Q2532" t="s">
        <v>835</v>
      </c>
      <c r="S2532" t="s">
        <v>836</v>
      </c>
      <c r="T2532" t="s">
        <v>836</v>
      </c>
      <c r="U2532" t="str">
        <f t="shared" si="674"/>
        <v>2500-12-31 00:00:00.0</v>
      </c>
      <c r="V2532" t="s">
        <v>837</v>
      </c>
      <c r="W2532" t="str">
        <f>"048314-004796-**-**"</f>
        <v>048314-004796-**-**</v>
      </c>
      <c r="X2532" t="s">
        <v>838</v>
      </c>
      <c r="Y2532">
        <v>1254.5</v>
      </c>
      <c r="Z2532">
        <v>1254.5</v>
      </c>
      <c r="AA2532" t="str">
        <f t="shared" si="669"/>
        <v>06/08/2016</v>
      </c>
    </row>
    <row r="2533" spans="1:27" x14ac:dyDescent="0.3">
      <c r="A2533" t="str">
        <f t="shared" si="673"/>
        <v>048314</v>
      </c>
      <c r="B2533" t="str">
        <f t="shared" si="680"/>
        <v>070417</v>
      </c>
      <c r="C2533" t="s">
        <v>2675</v>
      </c>
      <c r="D2533" t="s">
        <v>3839</v>
      </c>
      <c r="E2533" t="s">
        <v>3840</v>
      </c>
      <c r="F2533" t="s">
        <v>3841</v>
      </c>
      <c r="G2533" t="s">
        <v>3842</v>
      </c>
      <c r="H2533" t="str">
        <f t="shared" si="679"/>
        <v>048314</v>
      </c>
      <c r="I2533" t="s">
        <v>833</v>
      </c>
      <c r="J2533" t="str">
        <f t="shared" si="676"/>
        <v>2015-07-01 00:00:00.0</v>
      </c>
      <c r="K2533" t="s">
        <v>834</v>
      </c>
      <c r="L2533" t="s">
        <v>0</v>
      </c>
      <c r="M2533" t="str">
        <f t="shared" si="677"/>
        <v>048314</v>
      </c>
      <c r="N2533">
        <v>1</v>
      </c>
      <c r="O2533">
        <v>1</v>
      </c>
      <c r="P2533" t="str">
        <f>"06"</f>
        <v>06</v>
      </c>
      <c r="Q2533" t="s">
        <v>835</v>
      </c>
      <c r="S2533" t="s">
        <v>836</v>
      </c>
      <c r="T2533" t="s">
        <v>836</v>
      </c>
      <c r="U2533" t="str">
        <f t="shared" si="674"/>
        <v>2500-12-31 00:00:00.0</v>
      </c>
      <c r="V2533" t="s">
        <v>837</v>
      </c>
      <c r="W2533" t="str">
        <f>"048314-070417-**-**"</f>
        <v>048314-070417-**-**</v>
      </c>
      <c r="X2533" t="s">
        <v>838</v>
      </c>
      <c r="Y2533">
        <v>1125</v>
      </c>
      <c r="Z2533">
        <v>1125</v>
      </c>
      <c r="AA2533" t="str">
        <f t="shared" si="669"/>
        <v>06/08/2016</v>
      </c>
    </row>
    <row r="2534" spans="1:27" x14ac:dyDescent="0.3">
      <c r="A2534" t="str">
        <f t="shared" si="673"/>
        <v>048314</v>
      </c>
      <c r="B2534" t="str">
        <f t="shared" si="680"/>
        <v>070417</v>
      </c>
      <c r="C2534" t="s">
        <v>1945</v>
      </c>
      <c r="D2534" t="s">
        <v>3839</v>
      </c>
      <c r="E2534" t="s">
        <v>3840</v>
      </c>
      <c r="F2534" t="s">
        <v>3841</v>
      </c>
      <c r="G2534" t="s">
        <v>3842</v>
      </c>
      <c r="H2534" t="str">
        <f t="shared" si="679"/>
        <v>048314</v>
      </c>
      <c r="I2534" t="s">
        <v>833</v>
      </c>
      <c r="J2534" t="str">
        <f t="shared" si="676"/>
        <v>2015-07-01 00:00:00.0</v>
      </c>
      <c r="K2534" t="s">
        <v>834</v>
      </c>
      <c r="L2534" t="s">
        <v>0</v>
      </c>
      <c r="M2534" t="str">
        <f t="shared" si="677"/>
        <v>048314</v>
      </c>
      <c r="N2534">
        <v>1</v>
      </c>
      <c r="O2534">
        <v>1</v>
      </c>
      <c r="P2534" t="str">
        <f>"09"</f>
        <v>09</v>
      </c>
      <c r="Q2534" t="s">
        <v>835</v>
      </c>
      <c r="S2534" t="s">
        <v>836</v>
      </c>
      <c r="T2534" t="s">
        <v>836</v>
      </c>
      <c r="U2534" t="str">
        <f t="shared" si="674"/>
        <v>2500-12-31 00:00:00.0</v>
      </c>
      <c r="V2534" t="s">
        <v>837</v>
      </c>
      <c r="W2534" t="str">
        <f>"048314-004796-**-**"</f>
        <v>048314-004796-**-**</v>
      </c>
      <c r="X2534" t="s">
        <v>838</v>
      </c>
      <c r="Y2534">
        <v>1254.5</v>
      </c>
      <c r="Z2534">
        <v>1254.5</v>
      </c>
      <c r="AA2534" t="str">
        <f t="shared" si="669"/>
        <v>06/08/2016</v>
      </c>
    </row>
    <row r="2535" spans="1:27" x14ac:dyDescent="0.3">
      <c r="A2535" t="str">
        <f t="shared" si="673"/>
        <v>048314</v>
      </c>
      <c r="B2535" t="str">
        <f t="shared" si="680"/>
        <v>070417</v>
      </c>
      <c r="C2535" t="s">
        <v>2239</v>
      </c>
      <c r="D2535" t="s">
        <v>3839</v>
      </c>
      <c r="E2535" t="s">
        <v>3840</v>
      </c>
      <c r="F2535" t="s">
        <v>3841</v>
      </c>
      <c r="G2535" t="s">
        <v>3842</v>
      </c>
      <c r="H2535" t="str">
        <f t="shared" si="679"/>
        <v>048314</v>
      </c>
      <c r="I2535" t="s">
        <v>833</v>
      </c>
      <c r="J2535" t="str">
        <f>"2015-08-31 00:00:00.0"</f>
        <v>2015-08-31 00:00:00.0</v>
      </c>
      <c r="K2535" t="s">
        <v>834</v>
      </c>
      <c r="L2535" t="s">
        <v>0</v>
      </c>
      <c r="M2535" t="str">
        <f t="shared" si="677"/>
        <v>048314</v>
      </c>
      <c r="N2535">
        <v>1</v>
      </c>
      <c r="O2535">
        <v>1</v>
      </c>
      <c r="P2535" t="str">
        <f>"08"</f>
        <v>08</v>
      </c>
      <c r="Q2535" t="s">
        <v>835</v>
      </c>
      <c r="S2535" t="s">
        <v>836</v>
      </c>
      <c r="T2535" t="s">
        <v>836</v>
      </c>
      <c r="U2535" t="str">
        <f t="shared" si="674"/>
        <v>2500-12-31 00:00:00.0</v>
      </c>
      <c r="V2535" t="s">
        <v>837</v>
      </c>
      <c r="W2535" t="str">
        <f>"048314-070417-**-**"</f>
        <v>048314-070417-**-**</v>
      </c>
      <c r="X2535" t="s">
        <v>838</v>
      </c>
      <c r="Y2535">
        <v>1125</v>
      </c>
      <c r="Z2535">
        <v>1125</v>
      </c>
      <c r="AA2535" t="str">
        <f t="shared" ref="AA2535:AA2547" si="681">"06/08/2016"</f>
        <v>06/08/2016</v>
      </c>
    </row>
    <row r="2536" spans="1:27" x14ac:dyDescent="0.3">
      <c r="A2536" t="str">
        <f t="shared" si="673"/>
        <v>048314</v>
      </c>
      <c r="B2536" t="str">
        <f t="shared" si="680"/>
        <v>070417</v>
      </c>
      <c r="C2536" t="s">
        <v>3266</v>
      </c>
      <c r="D2536" t="s">
        <v>3839</v>
      </c>
      <c r="E2536" t="s">
        <v>3840</v>
      </c>
      <c r="F2536" t="s">
        <v>3841</v>
      </c>
      <c r="G2536" t="s">
        <v>3842</v>
      </c>
      <c r="H2536" t="str">
        <f t="shared" si="679"/>
        <v>048314</v>
      </c>
      <c r="I2536" t="s">
        <v>833</v>
      </c>
      <c r="J2536" t="str">
        <f t="shared" ref="J2536:J2547" si="682">"2015-07-01 00:00:00.0"</f>
        <v>2015-07-01 00:00:00.0</v>
      </c>
      <c r="K2536" t="s">
        <v>834</v>
      </c>
      <c r="L2536" t="s">
        <v>0</v>
      </c>
      <c r="M2536" t="str">
        <f t="shared" si="677"/>
        <v>048314</v>
      </c>
      <c r="N2536">
        <v>1</v>
      </c>
      <c r="O2536">
        <v>1</v>
      </c>
      <c r="P2536" t="str">
        <f>"09"</f>
        <v>09</v>
      </c>
      <c r="Q2536" t="s">
        <v>835</v>
      </c>
      <c r="S2536" t="s">
        <v>836</v>
      </c>
      <c r="T2536" t="s">
        <v>836</v>
      </c>
      <c r="U2536" t="str">
        <f t="shared" si="674"/>
        <v>2500-12-31 00:00:00.0</v>
      </c>
      <c r="V2536" t="s">
        <v>837</v>
      </c>
      <c r="W2536" t="str">
        <f>"048314-004796-**-**"</f>
        <v>048314-004796-**-**</v>
      </c>
      <c r="X2536" t="s">
        <v>838</v>
      </c>
      <c r="Y2536">
        <v>1254.5</v>
      </c>
      <c r="Z2536">
        <v>1254.5</v>
      </c>
      <c r="AA2536" t="str">
        <f t="shared" si="681"/>
        <v>06/08/2016</v>
      </c>
    </row>
    <row r="2537" spans="1:27" x14ac:dyDescent="0.3">
      <c r="A2537" t="str">
        <f t="shared" si="673"/>
        <v>048314</v>
      </c>
      <c r="B2537" t="str">
        <f t="shared" si="680"/>
        <v>070417</v>
      </c>
      <c r="C2537" t="s">
        <v>2314</v>
      </c>
      <c r="D2537" t="s">
        <v>3839</v>
      </c>
      <c r="E2537" t="s">
        <v>3840</v>
      </c>
      <c r="F2537" t="s">
        <v>3841</v>
      </c>
      <c r="G2537" t="s">
        <v>3842</v>
      </c>
      <c r="H2537" t="str">
        <f t="shared" si="679"/>
        <v>048314</v>
      </c>
      <c r="I2537" t="s">
        <v>833</v>
      </c>
      <c r="J2537" t="str">
        <f t="shared" si="682"/>
        <v>2015-07-01 00:00:00.0</v>
      </c>
      <c r="K2537" t="s">
        <v>834</v>
      </c>
      <c r="L2537" t="s">
        <v>0</v>
      </c>
      <c r="M2537" t="str">
        <f t="shared" si="677"/>
        <v>048314</v>
      </c>
      <c r="N2537">
        <v>1</v>
      </c>
      <c r="O2537">
        <v>1</v>
      </c>
      <c r="P2537" t="str">
        <f>"07"</f>
        <v>07</v>
      </c>
      <c r="Q2537" t="s">
        <v>835</v>
      </c>
      <c r="S2537" t="s">
        <v>836</v>
      </c>
      <c r="T2537" t="s">
        <v>836</v>
      </c>
      <c r="U2537" t="str">
        <f t="shared" si="674"/>
        <v>2500-12-31 00:00:00.0</v>
      </c>
      <c r="V2537" t="s">
        <v>837</v>
      </c>
      <c r="W2537" t="str">
        <f t="shared" ref="W2537:W2543" si="683">"048314-070417-**-**"</f>
        <v>048314-070417-**-**</v>
      </c>
      <c r="X2537" t="s">
        <v>838</v>
      </c>
      <c r="Y2537">
        <v>1125</v>
      </c>
      <c r="Z2537">
        <v>1125</v>
      </c>
      <c r="AA2537" t="str">
        <f t="shared" si="681"/>
        <v>06/08/2016</v>
      </c>
    </row>
    <row r="2538" spans="1:27" x14ac:dyDescent="0.3">
      <c r="A2538" t="str">
        <f t="shared" si="673"/>
        <v>048314</v>
      </c>
      <c r="B2538" t="str">
        <f t="shared" si="680"/>
        <v>070417</v>
      </c>
      <c r="C2538" t="s">
        <v>2676</v>
      </c>
      <c r="D2538" t="s">
        <v>3839</v>
      </c>
      <c r="E2538" t="s">
        <v>3840</v>
      </c>
      <c r="F2538" t="s">
        <v>3841</v>
      </c>
      <c r="G2538" t="s">
        <v>3842</v>
      </c>
      <c r="H2538" t="str">
        <f t="shared" si="679"/>
        <v>048314</v>
      </c>
      <c r="I2538" t="s">
        <v>833</v>
      </c>
      <c r="J2538" t="str">
        <f t="shared" si="682"/>
        <v>2015-07-01 00:00:00.0</v>
      </c>
      <c r="K2538" t="s">
        <v>834</v>
      </c>
      <c r="L2538" t="s">
        <v>0</v>
      </c>
      <c r="M2538" t="str">
        <f t="shared" si="677"/>
        <v>048314</v>
      </c>
      <c r="N2538">
        <v>1</v>
      </c>
      <c r="O2538">
        <v>1</v>
      </c>
      <c r="P2538" t="str">
        <f>"06"</f>
        <v>06</v>
      </c>
      <c r="Q2538" t="s">
        <v>835</v>
      </c>
      <c r="S2538" t="s">
        <v>836</v>
      </c>
      <c r="T2538" t="s">
        <v>836</v>
      </c>
      <c r="U2538" t="str">
        <f t="shared" si="674"/>
        <v>2500-12-31 00:00:00.0</v>
      </c>
      <c r="V2538" t="s">
        <v>837</v>
      </c>
      <c r="W2538" t="str">
        <f t="shared" si="683"/>
        <v>048314-070417-**-**</v>
      </c>
      <c r="X2538" t="s">
        <v>838</v>
      </c>
      <c r="Y2538">
        <v>1125</v>
      </c>
      <c r="Z2538">
        <v>1125</v>
      </c>
      <c r="AA2538" t="str">
        <f t="shared" si="681"/>
        <v>06/08/2016</v>
      </c>
    </row>
    <row r="2539" spans="1:27" x14ac:dyDescent="0.3">
      <c r="A2539" t="str">
        <f t="shared" si="673"/>
        <v>048314</v>
      </c>
      <c r="B2539" t="str">
        <f t="shared" si="680"/>
        <v>070417</v>
      </c>
      <c r="C2539" t="s">
        <v>2677</v>
      </c>
      <c r="D2539" t="s">
        <v>3839</v>
      </c>
      <c r="E2539" t="s">
        <v>3840</v>
      </c>
      <c r="F2539" t="s">
        <v>3841</v>
      </c>
      <c r="G2539" t="s">
        <v>3842</v>
      </c>
      <c r="H2539" t="str">
        <f t="shared" si="679"/>
        <v>048314</v>
      </c>
      <c r="I2539" t="s">
        <v>833</v>
      </c>
      <c r="J2539" t="str">
        <f t="shared" si="682"/>
        <v>2015-07-01 00:00:00.0</v>
      </c>
      <c r="K2539" t="s">
        <v>834</v>
      </c>
      <c r="L2539" t="s">
        <v>0</v>
      </c>
      <c r="M2539" t="str">
        <f t="shared" si="677"/>
        <v>048314</v>
      </c>
      <c r="N2539">
        <v>1</v>
      </c>
      <c r="O2539">
        <v>1</v>
      </c>
      <c r="P2539" t="str">
        <f>"06"</f>
        <v>06</v>
      </c>
      <c r="Q2539" t="s">
        <v>835</v>
      </c>
      <c r="S2539" t="s">
        <v>836</v>
      </c>
      <c r="T2539" t="s">
        <v>836</v>
      </c>
      <c r="U2539" t="str">
        <f t="shared" si="674"/>
        <v>2500-12-31 00:00:00.0</v>
      </c>
      <c r="V2539" t="s">
        <v>837</v>
      </c>
      <c r="W2539" t="str">
        <f t="shared" si="683"/>
        <v>048314-070417-**-**</v>
      </c>
      <c r="X2539" t="s">
        <v>838</v>
      </c>
      <c r="Y2539">
        <v>1125</v>
      </c>
      <c r="Z2539">
        <v>1125</v>
      </c>
      <c r="AA2539" t="str">
        <f t="shared" si="681"/>
        <v>06/08/2016</v>
      </c>
    </row>
    <row r="2540" spans="1:27" x14ac:dyDescent="0.3">
      <c r="A2540" t="str">
        <f t="shared" si="673"/>
        <v>048314</v>
      </c>
      <c r="B2540" t="str">
        <f t="shared" si="680"/>
        <v>070417</v>
      </c>
      <c r="C2540" t="s">
        <v>2678</v>
      </c>
      <c r="D2540" t="s">
        <v>3839</v>
      </c>
      <c r="E2540" t="s">
        <v>3840</v>
      </c>
      <c r="F2540" t="s">
        <v>3841</v>
      </c>
      <c r="G2540" t="s">
        <v>3842</v>
      </c>
      <c r="H2540" t="str">
        <f t="shared" si="679"/>
        <v>048314</v>
      </c>
      <c r="I2540" t="s">
        <v>833</v>
      </c>
      <c r="J2540" t="str">
        <f t="shared" si="682"/>
        <v>2015-07-01 00:00:00.0</v>
      </c>
      <c r="K2540" t="s">
        <v>834</v>
      </c>
      <c r="L2540" t="s">
        <v>0</v>
      </c>
      <c r="M2540" t="str">
        <f t="shared" si="677"/>
        <v>048314</v>
      </c>
      <c r="N2540">
        <v>1</v>
      </c>
      <c r="O2540">
        <v>1</v>
      </c>
      <c r="P2540" t="str">
        <f>"06"</f>
        <v>06</v>
      </c>
      <c r="Q2540" t="s">
        <v>835</v>
      </c>
      <c r="S2540" t="s">
        <v>836</v>
      </c>
      <c r="T2540" t="s">
        <v>836</v>
      </c>
      <c r="U2540" t="str">
        <f t="shared" si="674"/>
        <v>2500-12-31 00:00:00.0</v>
      </c>
      <c r="V2540" t="s">
        <v>837</v>
      </c>
      <c r="W2540" t="str">
        <f t="shared" si="683"/>
        <v>048314-070417-**-**</v>
      </c>
      <c r="X2540" t="s">
        <v>838</v>
      </c>
      <c r="Y2540">
        <v>1125</v>
      </c>
      <c r="Z2540">
        <v>1125</v>
      </c>
      <c r="AA2540" t="str">
        <f t="shared" si="681"/>
        <v>06/08/2016</v>
      </c>
    </row>
    <row r="2541" spans="1:27" x14ac:dyDescent="0.3">
      <c r="A2541" t="str">
        <f t="shared" si="673"/>
        <v>048314</v>
      </c>
      <c r="B2541" t="str">
        <f t="shared" si="680"/>
        <v>070417</v>
      </c>
      <c r="C2541" t="s">
        <v>2074</v>
      </c>
      <c r="D2541" t="s">
        <v>3839</v>
      </c>
      <c r="E2541" t="s">
        <v>3840</v>
      </c>
      <c r="F2541" t="s">
        <v>3841</v>
      </c>
      <c r="G2541" t="s">
        <v>3842</v>
      </c>
      <c r="H2541" t="str">
        <f t="shared" si="679"/>
        <v>048314</v>
      </c>
      <c r="I2541" t="s">
        <v>833</v>
      </c>
      <c r="J2541" t="str">
        <f t="shared" si="682"/>
        <v>2015-07-01 00:00:00.0</v>
      </c>
      <c r="K2541" t="s">
        <v>834</v>
      </c>
      <c r="L2541" t="s">
        <v>0</v>
      </c>
      <c r="M2541" t="str">
        <f t="shared" si="677"/>
        <v>048314</v>
      </c>
      <c r="N2541">
        <v>1</v>
      </c>
      <c r="O2541">
        <v>1</v>
      </c>
      <c r="P2541" t="str">
        <f>"08"</f>
        <v>08</v>
      </c>
      <c r="Q2541" t="s">
        <v>835</v>
      </c>
      <c r="S2541" t="s">
        <v>836</v>
      </c>
      <c r="T2541" t="s">
        <v>836</v>
      </c>
      <c r="U2541" t="str">
        <f t="shared" si="674"/>
        <v>2500-12-31 00:00:00.0</v>
      </c>
      <c r="V2541" t="s">
        <v>837</v>
      </c>
      <c r="W2541" t="str">
        <f t="shared" si="683"/>
        <v>048314-070417-**-**</v>
      </c>
      <c r="X2541" t="s">
        <v>838</v>
      </c>
      <c r="Y2541">
        <v>1125</v>
      </c>
      <c r="Z2541">
        <v>1125</v>
      </c>
      <c r="AA2541" t="str">
        <f t="shared" si="681"/>
        <v>06/08/2016</v>
      </c>
    </row>
    <row r="2542" spans="1:27" x14ac:dyDescent="0.3">
      <c r="A2542" t="str">
        <f t="shared" si="673"/>
        <v>048314</v>
      </c>
      <c r="B2542" t="str">
        <f t="shared" si="680"/>
        <v>070417</v>
      </c>
      <c r="C2542" t="s">
        <v>3130</v>
      </c>
      <c r="D2542" t="s">
        <v>3839</v>
      </c>
      <c r="E2542" t="s">
        <v>3840</v>
      </c>
      <c r="F2542" t="s">
        <v>3841</v>
      </c>
      <c r="G2542" t="s">
        <v>3842</v>
      </c>
      <c r="H2542" t="str">
        <f t="shared" si="679"/>
        <v>048314</v>
      </c>
      <c r="I2542" t="s">
        <v>833</v>
      </c>
      <c r="J2542" t="str">
        <f t="shared" si="682"/>
        <v>2015-07-01 00:00:00.0</v>
      </c>
      <c r="K2542" t="s">
        <v>834</v>
      </c>
      <c r="L2542" t="s">
        <v>0</v>
      </c>
      <c r="M2542" t="str">
        <f t="shared" si="677"/>
        <v>048314</v>
      </c>
      <c r="N2542">
        <v>1</v>
      </c>
      <c r="O2542">
        <v>1</v>
      </c>
      <c r="P2542" t="str">
        <f>"06"</f>
        <v>06</v>
      </c>
      <c r="Q2542" t="s">
        <v>835</v>
      </c>
      <c r="S2542" t="s">
        <v>860</v>
      </c>
      <c r="T2542" t="s">
        <v>836</v>
      </c>
      <c r="U2542" t="str">
        <f t="shared" si="674"/>
        <v>2500-12-31 00:00:00.0</v>
      </c>
      <c r="V2542" t="s">
        <v>837</v>
      </c>
      <c r="W2542" t="str">
        <f t="shared" si="683"/>
        <v>048314-070417-**-**</v>
      </c>
      <c r="X2542" t="s">
        <v>838</v>
      </c>
      <c r="Y2542">
        <v>1125</v>
      </c>
      <c r="Z2542">
        <v>1125</v>
      </c>
      <c r="AA2542" t="str">
        <f t="shared" si="681"/>
        <v>06/08/2016</v>
      </c>
    </row>
    <row r="2543" spans="1:27" x14ac:dyDescent="0.3">
      <c r="A2543" t="str">
        <f t="shared" si="673"/>
        <v>048314</v>
      </c>
      <c r="B2543" t="str">
        <f t="shared" si="680"/>
        <v>070417</v>
      </c>
      <c r="C2543" t="s">
        <v>2510</v>
      </c>
      <c r="D2543" t="s">
        <v>3839</v>
      </c>
      <c r="E2543" t="s">
        <v>3840</v>
      </c>
      <c r="F2543" t="s">
        <v>3841</v>
      </c>
      <c r="G2543" t="s">
        <v>3842</v>
      </c>
      <c r="H2543" t="str">
        <f t="shared" si="679"/>
        <v>048314</v>
      </c>
      <c r="I2543" t="s">
        <v>833</v>
      </c>
      <c r="J2543" t="str">
        <f t="shared" si="682"/>
        <v>2015-07-01 00:00:00.0</v>
      </c>
      <c r="K2543" t="s">
        <v>834</v>
      </c>
      <c r="L2543" t="s">
        <v>0</v>
      </c>
      <c r="M2543" t="str">
        <f t="shared" si="677"/>
        <v>048314</v>
      </c>
      <c r="N2543">
        <v>1</v>
      </c>
      <c r="O2543">
        <v>1</v>
      </c>
      <c r="P2543" t="str">
        <f>"08"</f>
        <v>08</v>
      </c>
      <c r="Q2543" t="s">
        <v>835</v>
      </c>
      <c r="S2543" t="s">
        <v>836</v>
      </c>
      <c r="T2543" t="s">
        <v>836</v>
      </c>
      <c r="U2543" t="str">
        <f t="shared" si="674"/>
        <v>2500-12-31 00:00:00.0</v>
      </c>
      <c r="V2543" t="s">
        <v>837</v>
      </c>
      <c r="W2543" t="str">
        <f t="shared" si="683"/>
        <v>048314-070417-**-**</v>
      </c>
      <c r="X2543" t="s">
        <v>838</v>
      </c>
      <c r="Y2543">
        <v>1125</v>
      </c>
      <c r="Z2543">
        <v>1125</v>
      </c>
      <c r="AA2543" t="str">
        <f t="shared" si="681"/>
        <v>06/08/2016</v>
      </c>
    </row>
    <row r="2544" spans="1:27" x14ac:dyDescent="0.3">
      <c r="A2544" t="str">
        <f t="shared" si="673"/>
        <v>048314</v>
      </c>
      <c r="B2544" t="str">
        <f t="shared" si="680"/>
        <v>070417</v>
      </c>
      <c r="C2544" t="s">
        <v>1946</v>
      </c>
      <c r="D2544" t="s">
        <v>3839</v>
      </c>
      <c r="E2544" t="s">
        <v>3840</v>
      </c>
      <c r="F2544" t="s">
        <v>3841</v>
      </c>
      <c r="G2544" t="s">
        <v>3842</v>
      </c>
      <c r="H2544" t="str">
        <f t="shared" si="679"/>
        <v>048314</v>
      </c>
      <c r="I2544" t="s">
        <v>833</v>
      </c>
      <c r="J2544" t="str">
        <f t="shared" si="682"/>
        <v>2015-07-01 00:00:00.0</v>
      </c>
      <c r="K2544" t="s">
        <v>834</v>
      </c>
      <c r="L2544" t="s">
        <v>0</v>
      </c>
      <c r="M2544" t="str">
        <f t="shared" si="677"/>
        <v>048314</v>
      </c>
      <c r="N2544">
        <v>1</v>
      </c>
      <c r="O2544">
        <v>1</v>
      </c>
      <c r="P2544" t="str">
        <f>"09"</f>
        <v>09</v>
      </c>
      <c r="Q2544" t="s">
        <v>835</v>
      </c>
      <c r="S2544" t="s">
        <v>836</v>
      </c>
      <c r="T2544" t="s">
        <v>836</v>
      </c>
      <c r="U2544" t="str">
        <f t="shared" si="674"/>
        <v>2500-12-31 00:00:00.0</v>
      </c>
      <c r="V2544" t="s">
        <v>837</v>
      </c>
      <c r="W2544" t="str">
        <f>"048314-004796-**-**"</f>
        <v>048314-004796-**-**</v>
      </c>
      <c r="X2544" t="s">
        <v>838</v>
      </c>
      <c r="Y2544">
        <v>1254.5</v>
      </c>
      <c r="Z2544">
        <v>1254.5</v>
      </c>
      <c r="AA2544" t="str">
        <f t="shared" si="681"/>
        <v>06/08/2016</v>
      </c>
    </row>
    <row r="2545" spans="1:27" x14ac:dyDescent="0.3">
      <c r="A2545" t="str">
        <f t="shared" si="673"/>
        <v>048314</v>
      </c>
      <c r="B2545" t="str">
        <f t="shared" si="680"/>
        <v>070417</v>
      </c>
      <c r="C2545" t="s">
        <v>2679</v>
      </c>
      <c r="D2545" t="s">
        <v>3839</v>
      </c>
      <c r="E2545" t="s">
        <v>3840</v>
      </c>
      <c r="F2545" t="s">
        <v>3841</v>
      </c>
      <c r="G2545" t="s">
        <v>3842</v>
      </c>
      <c r="H2545" t="str">
        <f t="shared" si="679"/>
        <v>048314</v>
      </c>
      <c r="I2545" t="s">
        <v>833</v>
      </c>
      <c r="J2545" t="str">
        <f t="shared" si="682"/>
        <v>2015-07-01 00:00:00.0</v>
      </c>
      <c r="K2545" t="s">
        <v>834</v>
      </c>
      <c r="L2545" t="s">
        <v>0</v>
      </c>
      <c r="M2545" t="str">
        <f t="shared" si="677"/>
        <v>048314</v>
      </c>
      <c r="N2545">
        <v>1</v>
      </c>
      <c r="O2545">
        <v>1</v>
      </c>
      <c r="P2545" t="str">
        <f>"06"</f>
        <v>06</v>
      </c>
      <c r="Q2545" t="s">
        <v>835</v>
      </c>
      <c r="S2545" t="s">
        <v>836</v>
      </c>
      <c r="T2545" t="s">
        <v>836</v>
      </c>
      <c r="U2545" t="str">
        <f t="shared" si="674"/>
        <v>2500-12-31 00:00:00.0</v>
      </c>
      <c r="V2545" t="s">
        <v>837</v>
      </c>
      <c r="W2545" t="str">
        <f>"048314-070417-**-**"</f>
        <v>048314-070417-**-**</v>
      </c>
      <c r="X2545" t="s">
        <v>838</v>
      </c>
      <c r="Y2545">
        <v>1125</v>
      </c>
      <c r="Z2545">
        <v>1125</v>
      </c>
      <c r="AA2545" t="str">
        <f t="shared" si="681"/>
        <v>06/08/2016</v>
      </c>
    </row>
    <row r="2546" spans="1:27" x14ac:dyDescent="0.3">
      <c r="A2546" t="str">
        <f t="shared" si="673"/>
        <v>048314</v>
      </c>
      <c r="B2546" t="str">
        <f t="shared" si="680"/>
        <v>070417</v>
      </c>
      <c r="C2546" t="s">
        <v>2680</v>
      </c>
      <c r="D2546" t="s">
        <v>3839</v>
      </c>
      <c r="E2546" t="s">
        <v>3840</v>
      </c>
      <c r="F2546" t="s">
        <v>3841</v>
      </c>
      <c r="G2546" t="s">
        <v>3842</v>
      </c>
      <c r="H2546" t="str">
        <f t="shared" si="679"/>
        <v>048314</v>
      </c>
      <c r="I2546" t="s">
        <v>833</v>
      </c>
      <c r="J2546" t="str">
        <f t="shared" si="682"/>
        <v>2015-07-01 00:00:00.0</v>
      </c>
      <c r="K2546" t="s">
        <v>834</v>
      </c>
      <c r="L2546" t="s">
        <v>0</v>
      </c>
      <c r="M2546" t="str">
        <f t="shared" si="677"/>
        <v>048314</v>
      </c>
      <c r="N2546">
        <v>1</v>
      </c>
      <c r="O2546">
        <v>1</v>
      </c>
      <c r="P2546" t="str">
        <f>"07"</f>
        <v>07</v>
      </c>
      <c r="Q2546" t="s">
        <v>835</v>
      </c>
      <c r="S2546" t="s">
        <v>836</v>
      </c>
      <c r="T2546" t="s">
        <v>836</v>
      </c>
      <c r="U2546" t="str">
        <f t="shared" si="674"/>
        <v>2500-12-31 00:00:00.0</v>
      </c>
      <c r="V2546" t="s">
        <v>837</v>
      </c>
      <c r="W2546" t="str">
        <f>"048314-070417-**-**"</f>
        <v>048314-070417-**-**</v>
      </c>
      <c r="X2546" t="s">
        <v>838</v>
      </c>
      <c r="Y2546">
        <v>1125</v>
      </c>
      <c r="Z2546">
        <v>1125</v>
      </c>
      <c r="AA2546" t="str">
        <f t="shared" si="681"/>
        <v>06/08/2016</v>
      </c>
    </row>
    <row r="2547" spans="1:27" x14ac:dyDescent="0.3">
      <c r="A2547" t="str">
        <f t="shared" si="673"/>
        <v>048314</v>
      </c>
      <c r="B2547" t="str">
        <f t="shared" si="680"/>
        <v>070417</v>
      </c>
      <c r="C2547" t="s">
        <v>1877</v>
      </c>
      <c r="D2547" t="s">
        <v>3839</v>
      </c>
      <c r="E2547" t="s">
        <v>3840</v>
      </c>
      <c r="F2547" t="s">
        <v>3841</v>
      </c>
      <c r="G2547" t="s">
        <v>3842</v>
      </c>
      <c r="H2547" t="str">
        <f t="shared" si="679"/>
        <v>048314</v>
      </c>
      <c r="I2547" t="s">
        <v>833</v>
      </c>
      <c r="J2547" t="str">
        <f t="shared" si="682"/>
        <v>2015-07-01 00:00:00.0</v>
      </c>
      <c r="K2547" t="s">
        <v>834</v>
      </c>
      <c r="L2547" t="s">
        <v>0</v>
      </c>
      <c r="M2547" t="str">
        <f t="shared" si="677"/>
        <v>048314</v>
      </c>
      <c r="N2547">
        <v>1</v>
      </c>
      <c r="O2547">
        <v>1</v>
      </c>
      <c r="P2547" t="str">
        <f>"09"</f>
        <v>09</v>
      </c>
      <c r="Q2547" t="s">
        <v>835</v>
      </c>
      <c r="S2547" t="s">
        <v>836</v>
      </c>
      <c r="T2547" t="s">
        <v>836</v>
      </c>
      <c r="U2547" t="str">
        <f t="shared" si="674"/>
        <v>2500-12-31 00:00:00.0</v>
      </c>
      <c r="V2547" t="s">
        <v>837</v>
      </c>
      <c r="W2547" t="str">
        <f>"048314-004796-**-**"</f>
        <v>048314-004796-**-**</v>
      </c>
      <c r="X2547" t="s">
        <v>838</v>
      </c>
      <c r="Y2547">
        <v>1254.5</v>
      </c>
      <c r="Z2547">
        <v>1254.5</v>
      </c>
      <c r="AA2547" t="str">
        <f t="shared" si="681"/>
        <v>06/08/2016</v>
      </c>
    </row>
    <row r="2548" spans="1:27" x14ac:dyDescent="0.3">
      <c r="A2548" t="str">
        <f t="shared" si="673"/>
        <v>048314</v>
      </c>
      <c r="B2548" t="str">
        <f t="shared" si="680"/>
        <v>070417</v>
      </c>
      <c r="C2548" t="s">
        <v>2578</v>
      </c>
      <c r="D2548" t="s">
        <v>3839</v>
      </c>
      <c r="E2548" t="s">
        <v>3840</v>
      </c>
      <c r="F2548" t="s">
        <v>3841</v>
      </c>
      <c r="G2548" t="s">
        <v>3842</v>
      </c>
      <c r="H2548" t="str">
        <f>"050252"</f>
        <v>050252</v>
      </c>
      <c r="I2548" t="s">
        <v>833</v>
      </c>
      <c r="J2548" t="str">
        <f>"2015-09-04 00:00:00.0"</f>
        <v>2015-09-04 00:00:00.0</v>
      </c>
      <c r="K2548" t="s">
        <v>834</v>
      </c>
      <c r="L2548" t="s">
        <v>1</v>
      </c>
      <c r="M2548" t="str">
        <f t="shared" si="677"/>
        <v>048314</v>
      </c>
      <c r="N2548">
        <v>0.99384899999999998</v>
      </c>
      <c r="O2548">
        <v>0.99384899999999998</v>
      </c>
      <c r="P2548" t="str">
        <f>"08"</f>
        <v>08</v>
      </c>
      <c r="Q2548" t="s">
        <v>835</v>
      </c>
      <c r="S2548" t="s">
        <v>860</v>
      </c>
      <c r="T2548" t="s">
        <v>836</v>
      </c>
      <c r="U2548" t="str">
        <f t="shared" si="674"/>
        <v>2500-12-31 00:00:00.0</v>
      </c>
      <c r="V2548" t="s">
        <v>837</v>
      </c>
      <c r="W2548" t="str">
        <f>"050252-025023-08-**"</f>
        <v>050252-025023-08-**</v>
      </c>
      <c r="X2548" t="s">
        <v>838</v>
      </c>
      <c r="Y2548">
        <v>1131</v>
      </c>
      <c r="Z2548">
        <v>1138</v>
      </c>
      <c r="AA2548" t="str">
        <f>"06/13/2016"</f>
        <v>06/13/2016</v>
      </c>
    </row>
    <row r="2549" spans="1:27" x14ac:dyDescent="0.3">
      <c r="A2549" t="str">
        <f t="shared" si="673"/>
        <v>048314</v>
      </c>
      <c r="B2549" t="str">
        <f t="shared" si="680"/>
        <v>070417</v>
      </c>
      <c r="C2549" t="s">
        <v>2578</v>
      </c>
      <c r="D2549" t="s">
        <v>3839</v>
      </c>
      <c r="E2549" t="s">
        <v>3840</v>
      </c>
      <c r="F2549" t="s">
        <v>3841</v>
      </c>
      <c r="G2549" t="s">
        <v>3842</v>
      </c>
      <c r="H2549" t="str">
        <f>"050252"</f>
        <v>050252</v>
      </c>
      <c r="I2549" t="s">
        <v>833</v>
      </c>
      <c r="J2549" t="str">
        <f>"2015-07-02 00:00:00.0"</f>
        <v>2015-07-02 00:00:00.0</v>
      </c>
      <c r="K2549" t="s">
        <v>834</v>
      </c>
      <c r="L2549" t="s">
        <v>1</v>
      </c>
      <c r="M2549" t="str">
        <f t="shared" si="677"/>
        <v>048314</v>
      </c>
      <c r="N2549">
        <v>6.1510000000000002E-3</v>
      </c>
      <c r="O2549">
        <v>6.1510000000000002E-3</v>
      </c>
      <c r="P2549" t="str">
        <f>"08"</f>
        <v>08</v>
      </c>
      <c r="Q2549" t="s">
        <v>835</v>
      </c>
      <c r="S2549" t="s">
        <v>860</v>
      </c>
      <c r="T2549" t="s">
        <v>836</v>
      </c>
      <c r="U2549" t="str">
        <f>"2015-09-03 00:00:00.0"</f>
        <v>2015-09-03 00:00:00.0</v>
      </c>
      <c r="V2549" t="s">
        <v>837</v>
      </c>
      <c r="W2549" t="str">
        <f>"050252-025023-08-**"</f>
        <v>050252-025023-08-**</v>
      </c>
      <c r="X2549" t="s">
        <v>838</v>
      </c>
      <c r="Y2549">
        <v>7</v>
      </c>
      <c r="Z2549">
        <v>1138</v>
      </c>
      <c r="AA2549" t="str">
        <f>"06/13/2016"</f>
        <v>06/13/2016</v>
      </c>
    </row>
    <row r="2550" spans="1:27" x14ac:dyDescent="0.3">
      <c r="A2550" t="str">
        <f t="shared" si="673"/>
        <v>048314</v>
      </c>
      <c r="B2550" t="str">
        <f t="shared" si="680"/>
        <v>070417</v>
      </c>
      <c r="C2550" t="s">
        <v>3101</v>
      </c>
      <c r="D2550" t="s">
        <v>3839</v>
      </c>
      <c r="E2550" t="s">
        <v>3840</v>
      </c>
      <c r="F2550" t="s">
        <v>3841</v>
      </c>
      <c r="G2550" t="s">
        <v>3842</v>
      </c>
      <c r="H2550" t="str">
        <f t="shared" ref="H2550:H2588" si="684">"048314"</f>
        <v>048314</v>
      </c>
      <c r="I2550" t="s">
        <v>833</v>
      </c>
      <c r="J2550" t="str">
        <f t="shared" ref="J2550:J2575" si="685">"2015-07-01 00:00:00.0"</f>
        <v>2015-07-01 00:00:00.0</v>
      </c>
      <c r="K2550" t="s">
        <v>834</v>
      </c>
      <c r="L2550" t="s">
        <v>0</v>
      </c>
      <c r="M2550" t="str">
        <f t="shared" si="677"/>
        <v>048314</v>
      </c>
      <c r="N2550">
        <v>1</v>
      </c>
      <c r="O2550">
        <v>1</v>
      </c>
      <c r="P2550" t="str">
        <f>"07"</f>
        <v>07</v>
      </c>
      <c r="Q2550" t="s">
        <v>835</v>
      </c>
      <c r="S2550" t="s">
        <v>836</v>
      </c>
      <c r="T2550" t="s">
        <v>836</v>
      </c>
      <c r="U2550" t="str">
        <f t="shared" ref="U2550:U2575" si="686">"2500-12-31 00:00:00.0"</f>
        <v>2500-12-31 00:00:00.0</v>
      </c>
      <c r="V2550" t="s">
        <v>837</v>
      </c>
      <c r="W2550" t="str">
        <f t="shared" ref="W2550:W2559" si="687">"048314-070417-**-**"</f>
        <v>048314-070417-**-**</v>
      </c>
      <c r="X2550" t="s">
        <v>838</v>
      </c>
      <c r="Y2550">
        <v>1125</v>
      </c>
      <c r="Z2550">
        <v>1125</v>
      </c>
      <c r="AA2550" t="str">
        <f t="shared" ref="AA2550:AA2592" si="688">"06/08/2016"</f>
        <v>06/08/2016</v>
      </c>
    </row>
    <row r="2551" spans="1:27" x14ac:dyDescent="0.3">
      <c r="A2551" t="str">
        <f t="shared" si="673"/>
        <v>048314</v>
      </c>
      <c r="B2551" t="str">
        <f t="shared" si="680"/>
        <v>070417</v>
      </c>
      <c r="C2551" t="s">
        <v>1003</v>
      </c>
      <c r="D2551" t="s">
        <v>3839</v>
      </c>
      <c r="E2551" t="s">
        <v>3840</v>
      </c>
      <c r="F2551" t="s">
        <v>3841</v>
      </c>
      <c r="G2551" t="s">
        <v>3842</v>
      </c>
      <c r="H2551" t="str">
        <f t="shared" si="684"/>
        <v>048314</v>
      </c>
      <c r="I2551" t="s">
        <v>833</v>
      </c>
      <c r="J2551" t="str">
        <f t="shared" si="685"/>
        <v>2015-07-01 00:00:00.0</v>
      </c>
      <c r="K2551" t="s">
        <v>834</v>
      </c>
      <c r="L2551" t="s">
        <v>0</v>
      </c>
      <c r="M2551" t="str">
        <f t="shared" si="677"/>
        <v>048314</v>
      </c>
      <c r="N2551">
        <v>1</v>
      </c>
      <c r="O2551">
        <v>1</v>
      </c>
      <c r="P2551" t="str">
        <f>"08"</f>
        <v>08</v>
      </c>
      <c r="Q2551" t="s">
        <v>835</v>
      </c>
      <c r="S2551" t="s">
        <v>836</v>
      </c>
      <c r="T2551" t="s">
        <v>1004</v>
      </c>
      <c r="U2551" t="str">
        <f t="shared" si="686"/>
        <v>2500-12-31 00:00:00.0</v>
      </c>
      <c r="V2551" t="s">
        <v>837</v>
      </c>
      <c r="W2551" t="str">
        <f t="shared" si="687"/>
        <v>048314-070417-**-**</v>
      </c>
      <c r="X2551" t="s">
        <v>838</v>
      </c>
      <c r="Y2551">
        <v>1125</v>
      </c>
      <c r="Z2551">
        <v>1125</v>
      </c>
      <c r="AA2551" t="str">
        <f t="shared" si="688"/>
        <v>06/08/2016</v>
      </c>
    </row>
    <row r="2552" spans="1:27" x14ac:dyDescent="0.3">
      <c r="A2552" t="str">
        <f t="shared" si="673"/>
        <v>048314</v>
      </c>
      <c r="B2552" t="str">
        <f t="shared" si="680"/>
        <v>070417</v>
      </c>
      <c r="C2552" t="s">
        <v>2681</v>
      </c>
      <c r="D2552" t="s">
        <v>3839</v>
      </c>
      <c r="E2552" t="s">
        <v>3840</v>
      </c>
      <c r="F2552" t="s">
        <v>3841</v>
      </c>
      <c r="G2552" t="s">
        <v>3842</v>
      </c>
      <c r="H2552" t="str">
        <f t="shared" si="684"/>
        <v>048314</v>
      </c>
      <c r="I2552" t="s">
        <v>833</v>
      </c>
      <c r="J2552" t="str">
        <f t="shared" si="685"/>
        <v>2015-07-01 00:00:00.0</v>
      </c>
      <c r="K2552" t="s">
        <v>834</v>
      </c>
      <c r="L2552" t="s">
        <v>0</v>
      </c>
      <c r="M2552" t="str">
        <f t="shared" si="677"/>
        <v>048314</v>
      </c>
      <c r="N2552">
        <v>1</v>
      </c>
      <c r="O2552">
        <v>1</v>
      </c>
      <c r="P2552" t="str">
        <f>"06"</f>
        <v>06</v>
      </c>
      <c r="Q2552" t="s">
        <v>835</v>
      </c>
      <c r="S2552" t="s">
        <v>836</v>
      </c>
      <c r="T2552" t="s">
        <v>836</v>
      </c>
      <c r="U2552" t="str">
        <f t="shared" si="686"/>
        <v>2500-12-31 00:00:00.0</v>
      </c>
      <c r="V2552" t="s">
        <v>837</v>
      </c>
      <c r="W2552" t="str">
        <f t="shared" si="687"/>
        <v>048314-070417-**-**</v>
      </c>
      <c r="X2552" t="s">
        <v>838</v>
      </c>
      <c r="Y2552">
        <v>1125</v>
      </c>
      <c r="Z2552">
        <v>1125</v>
      </c>
      <c r="AA2552" t="str">
        <f t="shared" si="688"/>
        <v>06/08/2016</v>
      </c>
    </row>
    <row r="2553" spans="1:27" x14ac:dyDescent="0.3">
      <c r="A2553" t="str">
        <f t="shared" si="673"/>
        <v>048314</v>
      </c>
      <c r="B2553" t="str">
        <f t="shared" si="680"/>
        <v>070417</v>
      </c>
      <c r="C2553" t="s">
        <v>2118</v>
      </c>
      <c r="D2553" t="s">
        <v>3839</v>
      </c>
      <c r="E2553" t="s">
        <v>3840</v>
      </c>
      <c r="F2553" t="s">
        <v>3841</v>
      </c>
      <c r="G2553" t="s">
        <v>3842</v>
      </c>
      <c r="H2553" t="str">
        <f t="shared" si="684"/>
        <v>048314</v>
      </c>
      <c r="I2553" t="s">
        <v>833</v>
      </c>
      <c r="J2553" t="str">
        <f t="shared" si="685"/>
        <v>2015-07-01 00:00:00.0</v>
      </c>
      <c r="K2553" t="s">
        <v>834</v>
      </c>
      <c r="L2553" t="s">
        <v>0</v>
      </c>
      <c r="M2553" t="str">
        <f t="shared" si="677"/>
        <v>048314</v>
      </c>
      <c r="N2553">
        <v>1</v>
      </c>
      <c r="O2553">
        <v>1</v>
      </c>
      <c r="P2553" t="str">
        <f>"08"</f>
        <v>08</v>
      </c>
      <c r="Q2553" t="s">
        <v>835</v>
      </c>
      <c r="S2553" t="s">
        <v>836</v>
      </c>
      <c r="T2553" t="s">
        <v>836</v>
      </c>
      <c r="U2553" t="str">
        <f t="shared" si="686"/>
        <v>2500-12-31 00:00:00.0</v>
      </c>
      <c r="V2553" t="s">
        <v>837</v>
      </c>
      <c r="W2553" t="str">
        <f t="shared" si="687"/>
        <v>048314-070417-**-**</v>
      </c>
      <c r="X2553" t="s">
        <v>838</v>
      </c>
      <c r="Y2553">
        <v>1125</v>
      </c>
      <c r="Z2553">
        <v>1125</v>
      </c>
      <c r="AA2553" t="str">
        <f t="shared" si="688"/>
        <v>06/08/2016</v>
      </c>
    </row>
    <row r="2554" spans="1:27" x14ac:dyDescent="0.3">
      <c r="A2554" t="str">
        <f t="shared" si="673"/>
        <v>048314</v>
      </c>
      <c r="B2554" t="str">
        <f t="shared" si="680"/>
        <v>070417</v>
      </c>
      <c r="C2554" t="s">
        <v>2872</v>
      </c>
      <c r="D2554" t="s">
        <v>3839</v>
      </c>
      <c r="E2554" t="s">
        <v>3840</v>
      </c>
      <c r="F2554" t="s">
        <v>3841</v>
      </c>
      <c r="G2554" t="s">
        <v>3842</v>
      </c>
      <c r="H2554" t="str">
        <f t="shared" si="684"/>
        <v>048314</v>
      </c>
      <c r="I2554" t="s">
        <v>833</v>
      </c>
      <c r="J2554" t="str">
        <f t="shared" si="685"/>
        <v>2015-07-01 00:00:00.0</v>
      </c>
      <c r="K2554" t="s">
        <v>834</v>
      </c>
      <c r="L2554" t="s">
        <v>0</v>
      </c>
      <c r="M2554" t="str">
        <f t="shared" si="677"/>
        <v>048314</v>
      </c>
      <c r="N2554">
        <v>1</v>
      </c>
      <c r="O2554">
        <v>1</v>
      </c>
      <c r="P2554" t="str">
        <f>"06"</f>
        <v>06</v>
      </c>
      <c r="Q2554" t="s">
        <v>835</v>
      </c>
      <c r="S2554" t="s">
        <v>836</v>
      </c>
      <c r="T2554" t="s">
        <v>836</v>
      </c>
      <c r="U2554" t="str">
        <f t="shared" si="686"/>
        <v>2500-12-31 00:00:00.0</v>
      </c>
      <c r="V2554" t="s">
        <v>837</v>
      </c>
      <c r="W2554" t="str">
        <f t="shared" si="687"/>
        <v>048314-070417-**-**</v>
      </c>
      <c r="X2554" t="s">
        <v>838</v>
      </c>
      <c r="Y2554">
        <v>1125</v>
      </c>
      <c r="Z2554">
        <v>1125</v>
      </c>
      <c r="AA2554" t="str">
        <f t="shared" si="688"/>
        <v>06/08/2016</v>
      </c>
    </row>
    <row r="2555" spans="1:27" x14ac:dyDescent="0.3">
      <c r="A2555" t="str">
        <f t="shared" si="673"/>
        <v>048314</v>
      </c>
      <c r="B2555" t="str">
        <f t="shared" si="680"/>
        <v>070417</v>
      </c>
      <c r="C2555" t="s">
        <v>2175</v>
      </c>
      <c r="D2555" t="s">
        <v>3839</v>
      </c>
      <c r="E2555" t="s">
        <v>3840</v>
      </c>
      <c r="F2555" t="s">
        <v>3841</v>
      </c>
      <c r="G2555" t="s">
        <v>3842</v>
      </c>
      <c r="H2555" t="str">
        <f t="shared" si="684"/>
        <v>048314</v>
      </c>
      <c r="I2555" t="s">
        <v>833</v>
      </c>
      <c r="J2555" t="str">
        <f t="shared" si="685"/>
        <v>2015-07-01 00:00:00.0</v>
      </c>
      <c r="K2555" t="s">
        <v>834</v>
      </c>
      <c r="L2555" t="s">
        <v>0</v>
      </c>
      <c r="M2555" t="str">
        <f t="shared" si="677"/>
        <v>048314</v>
      </c>
      <c r="N2555">
        <v>1</v>
      </c>
      <c r="O2555">
        <v>1</v>
      </c>
      <c r="P2555" t="str">
        <f>"08"</f>
        <v>08</v>
      </c>
      <c r="Q2555" t="s">
        <v>835</v>
      </c>
      <c r="S2555" t="s">
        <v>836</v>
      </c>
      <c r="T2555" t="s">
        <v>836</v>
      </c>
      <c r="U2555" t="str">
        <f t="shared" si="686"/>
        <v>2500-12-31 00:00:00.0</v>
      </c>
      <c r="V2555" t="s">
        <v>837</v>
      </c>
      <c r="W2555" t="str">
        <f t="shared" si="687"/>
        <v>048314-070417-**-**</v>
      </c>
      <c r="X2555" t="s">
        <v>838</v>
      </c>
      <c r="Y2555">
        <v>1125</v>
      </c>
      <c r="Z2555">
        <v>1125</v>
      </c>
      <c r="AA2555" t="str">
        <f t="shared" si="688"/>
        <v>06/08/2016</v>
      </c>
    </row>
    <row r="2556" spans="1:27" x14ac:dyDescent="0.3">
      <c r="A2556" t="str">
        <f t="shared" si="673"/>
        <v>048314</v>
      </c>
      <c r="B2556" t="str">
        <f t="shared" si="680"/>
        <v>070417</v>
      </c>
      <c r="C2556" t="s">
        <v>2066</v>
      </c>
      <c r="D2556" t="s">
        <v>3839</v>
      </c>
      <c r="E2556" t="s">
        <v>3840</v>
      </c>
      <c r="F2556" t="s">
        <v>3841</v>
      </c>
      <c r="G2556" t="s">
        <v>3842</v>
      </c>
      <c r="H2556" t="str">
        <f t="shared" si="684"/>
        <v>048314</v>
      </c>
      <c r="I2556" t="s">
        <v>833</v>
      </c>
      <c r="J2556" t="str">
        <f t="shared" si="685"/>
        <v>2015-07-01 00:00:00.0</v>
      </c>
      <c r="K2556" t="s">
        <v>834</v>
      </c>
      <c r="L2556" t="s">
        <v>0</v>
      </c>
      <c r="M2556" t="str">
        <f t="shared" si="677"/>
        <v>048314</v>
      </c>
      <c r="N2556">
        <v>1</v>
      </c>
      <c r="O2556">
        <v>1</v>
      </c>
      <c r="P2556" t="str">
        <f>"08"</f>
        <v>08</v>
      </c>
      <c r="Q2556" t="s">
        <v>835</v>
      </c>
      <c r="S2556" t="s">
        <v>836</v>
      </c>
      <c r="T2556" t="s">
        <v>836</v>
      </c>
      <c r="U2556" t="str">
        <f t="shared" si="686"/>
        <v>2500-12-31 00:00:00.0</v>
      </c>
      <c r="V2556" t="s">
        <v>837</v>
      </c>
      <c r="W2556" t="str">
        <f t="shared" si="687"/>
        <v>048314-070417-**-**</v>
      </c>
      <c r="X2556" t="s">
        <v>838</v>
      </c>
      <c r="Y2556">
        <v>1125</v>
      </c>
      <c r="Z2556">
        <v>1125</v>
      </c>
      <c r="AA2556" t="str">
        <f t="shared" si="688"/>
        <v>06/08/2016</v>
      </c>
    </row>
    <row r="2557" spans="1:27" x14ac:dyDescent="0.3">
      <c r="A2557" t="str">
        <f t="shared" si="673"/>
        <v>048314</v>
      </c>
      <c r="B2557" t="str">
        <f t="shared" si="680"/>
        <v>070417</v>
      </c>
      <c r="C2557" t="s">
        <v>2682</v>
      </c>
      <c r="D2557" t="s">
        <v>3839</v>
      </c>
      <c r="E2557" t="s">
        <v>3840</v>
      </c>
      <c r="F2557" t="s">
        <v>3841</v>
      </c>
      <c r="G2557" t="s">
        <v>3842</v>
      </c>
      <c r="H2557" t="str">
        <f t="shared" si="684"/>
        <v>048314</v>
      </c>
      <c r="I2557" t="s">
        <v>833</v>
      </c>
      <c r="J2557" t="str">
        <f t="shared" si="685"/>
        <v>2015-07-01 00:00:00.0</v>
      </c>
      <c r="K2557" t="s">
        <v>834</v>
      </c>
      <c r="L2557" t="s">
        <v>0</v>
      </c>
      <c r="M2557" t="str">
        <f t="shared" si="677"/>
        <v>048314</v>
      </c>
      <c r="N2557">
        <v>1</v>
      </c>
      <c r="O2557">
        <v>1</v>
      </c>
      <c r="P2557" t="str">
        <f>"06"</f>
        <v>06</v>
      </c>
      <c r="Q2557" t="s">
        <v>835</v>
      </c>
      <c r="S2557" t="s">
        <v>836</v>
      </c>
      <c r="T2557" t="s">
        <v>836</v>
      </c>
      <c r="U2557" t="str">
        <f t="shared" si="686"/>
        <v>2500-12-31 00:00:00.0</v>
      </c>
      <c r="V2557" t="s">
        <v>837</v>
      </c>
      <c r="W2557" t="str">
        <f t="shared" si="687"/>
        <v>048314-070417-**-**</v>
      </c>
      <c r="X2557" t="s">
        <v>838</v>
      </c>
      <c r="Y2557">
        <v>1125</v>
      </c>
      <c r="Z2557">
        <v>1125</v>
      </c>
      <c r="AA2557" t="str">
        <f t="shared" si="688"/>
        <v>06/08/2016</v>
      </c>
    </row>
    <row r="2558" spans="1:27" x14ac:dyDescent="0.3">
      <c r="A2558" t="str">
        <f t="shared" si="673"/>
        <v>048314</v>
      </c>
      <c r="B2558" t="str">
        <f t="shared" si="680"/>
        <v>070417</v>
      </c>
      <c r="C2558" t="s">
        <v>2358</v>
      </c>
      <c r="D2558" t="s">
        <v>3839</v>
      </c>
      <c r="E2558" t="s">
        <v>3840</v>
      </c>
      <c r="F2558" t="s">
        <v>3841</v>
      </c>
      <c r="G2558" t="s">
        <v>3842</v>
      </c>
      <c r="H2558" t="str">
        <f t="shared" si="684"/>
        <v>048314</v>
      </c>
      <c r="I2558" t="s">
        <v>833</v>
      </c>
      <c r="J2558" t="str">
        <f t="shared" si="685"/>
        <v>2015-07-01 00:00:00.0</v>
      </c>
      <c r="K2558" t="s">
        <v>834</v>
      </c>
      <c r="L2558" t="s">
        <v>0</v>
      </c>
      <c r="M2558" t="str">
        <f t="shared" si="677"/>
        <v>048314</v>
      </c>
      <c r="N2558">
        <v>1</v>
      </c>
      <c r="O2558">
        <v>1</v>
      </c>
      <c r="P2558" t="str">
        <f>"08"</f>
        <v>08</v>
      </c>
      <c r="Q2558" t="s">
        <v>835</v>
      </c>
      <c r="S2558" t="s">
        <v>836</v>
      </c>
      <c r="T2558" t="s">
        <v>836</v>
      </c>
      <c r="U2558" t="str">
        <f t="shared" si="686"/>
        <v>2500-12-31 00:00:00.0</v>
      </c>
      <c r="V2558" t="s">
        <v>837</v>
      </c>
      <c r="W2558" t="str">
        <f t="shared" si="687"/>
        <v>048314-070417-**-**</v>
      </c>
      <c r="X2558" t="s">
        <v>838</v>
      </c>
      <c r="Y2558">
        <v>1125</v>
      </c>
      <c r="Z2558">
        <v>1125</v>
      </c>
      <c r="AA2558" t="str">
        <f t="shared" si="688"/>
        <v>06/08/2016</v>
      </c>
    </row>
    <row r="2559" spans="1:27" x14ac:dyDescent="0.3">
      <c r="A2559" t="str">
        <f t="shared" si="673"/>
        <v>048314</v>
      </c>
      <c r="B2559" t="str">
        <f t="shared" si="680"/>
        <v>070417</v>
      </c>
      <c r="C2559" t="s">
        <v>2948</v>
      </c>
      <c r="D2559" t="s">
        <v>3839</v>
      </c>
      <c r="E2559" t="s">
        <v>3840</v>
      </c>
      <c r="F2559" t="s">
        <v>3841</v>
      </c>
      <c r="G2559" t="s">
        <v>3842</v>
      </c>
      <c r="H2559" t="str">
        <f t="shared" si="684"/>
        <v>048314</v>
      </c>
      <c r="I2559" t="s">
        <v>833</v>
      </c>
      <c r="J2559" t="str">
        <f t="shared" si="685"/>
        <v>2015-07-01 00:00:00.0</v>
      </c>
      <c r="K2559" t="s">
        <v>834</v>
      </c>
      <c r="L2559" t="s">
        <v>0</v>
      </c>
      <c r="M2559" t="str">
        <f t="shared" si="677"/>
        <v>048314</v>
      </c>
      <c r="N2559">
        <v>1</v>
      </c>
      <c r="O2559">
        <v>1</v>
      </c>
      <c r="P2559" t="str">
        <f>"06"</f>
        <v>06</v>
      </c>
      <c r="Q2559" t="s">
        <v>835</v>
      </c>
      <c r="S2559" t="s">
        <v>836</v>
      </c>
      <c r="T2559" t="s">
        <v>836</v>
      </c>
      <c r="U2559" t="str">
        <f t="shared" si="686"/>
        <v>2500-12-31 00:00:00.0</v>
      </c>
      <c r="V2559" t="s">
        <v>837</v>
      </c>
      <c r="W2559" t="str">
        <f t="shared" si="687"/>
        <v>048314-070417-**-**</v>
      </c>
      <c r="X2559" t="s">
        <v>838</v>
      </c>
      <c r="Y2559">
        <v>1125</v>
      </c>
      <c r="Z2559">
        <v>1125</v>
      </c>
      <c r="AA2559" t="str">
        <f t="shared" si="688"/>
        <v>06/08/2016</v>
      </c>
    </row>
    <row r="2560" spans="1:27" x14ac:dyDescent="0.3">
      <c r="A2560" t="str">
        <f t="shared" si="673"/>
        <v>048314</v>
      </c>
      <c r="B2560" t="str">
        <f t="shared" si="680"/>
        <v>070417</v>
      </c>
      <c r="C2560" t="s">
        <v>3701</v>
      </c>
      <c r="D2560" t="s">
        <v>3839</v>
      </c>
      <c r="E2560" t="s">
        <v>3840</v>
      </c>
      <c r="F2560" t="s">
        <v>3841</v>
      </c>
      <c r="G2560" t="s">
        <v>3842</v>
      </c>
      <c r="H2560" t="str">
        <f t="shared" si="684"/>
        <v>048314</v>
      </c>
      <c r="I2560" t="s">
        <v>833</v>
      </c>
      <c r="J2560" t="str">
        <f t="shared" si="685"/>
        <v>2015-07-01 00:00:00.0</v>
      </c>
      <c r="K2560" t="s">
        <v>834</v>
      </c>
      <c r="L2560" t="s">
        <v>0</v>
      </c>
      <c r="M2560" t="str">
        <f t="shared" si="677"/>
        <v>048314</v>
      </c>
      <c r="N2560">
        <v>1</v>
      </c>
      <c r="O2560">
        <v>1</v>
      </c>
      <c r="P2560" t="str">
        <f>"09"</f>
        <v>09</v>
      </c>
      <c r="Q2560" t="s">
        <v>835</v>
      </c>
      <c r="S2560" t="s">
        <v>836</v>
      </c>
      <c r="T2560" t="s">
        <v>836</v>
      </c>
      <c r="U2560" t="str">
        <f t="shared" si="686"/>
        <v>2500-12-31 00:00:00.0</v>
      </c>
      <c r="V2560" t="s">
        <v>837</v>
      </c>
      <c r="W2560" t="str">
        <f>"048314-004796-**-**"</f>
        <v>048314-004796-**-**</v>
      </c>
      <c r="X2560" t="s">
        <v>838</v>
      </c>
      <c r="Y2560">
        <v>1254.5</v>
      </c>
      <c r="Z2560">
        <v>1254.5</v>
      </c>
      <c r="AA2560" t="str">
        <f t="shared" si="688"/>
        <v>06/08/2016</v>
      </c>
    </row>
    <row r="2561" spans="1:27" x14ac:dyDescent="0.3">
      <c r="A2561" t="str">
        <f t="shared" si="673"/>
        <v>048314</v>
      </c>
      <c r="B2561" t="str">
        <f t="shared" si="680"/>
        <v>070417</v>
      </c>
      <c r="C2561" t="s">
        <v>1838</v>
      </c>
      <c r="D2561" t="s">
        <v>3839</v>
      </c>
      <c r="E2561" t="s">
        <v>3840</v>
      </c>
      <c r="F2561" t="s">
        <v>3841</v>
      </c>
      <c r="G2561" t="s">
        <v>3842</v>
      </c>
      <c r="H2561" t="str">
        <f t="shared" si="684"/>
        <v>048314</v>
      </c>
      <c r="I2561" t="s">
        <v>833</v>
      </c>
      <c r="J2561" t="str">
        <f t="shared" si="685"/>
        <v>2015-07-01 00:00:00.0</v>
      </c>
      <c r="K2561" t="s">
        <v>834</v>
      </c>
      <c r="L2561" t="s">
        <v>0</v>
      </c>
      <c r="M2561" t="str">
        <f t="shared" si="677"/>
        <v>048314</v>
      </c>
      <c r="N2561">
        <v>1</v>
      </c>
      <c r="O2561">
        <v>1</v>
      </c>
      <c r="P2561" t="str">
        <f>"09"</f>
        <v>09</v>
      </c>
      <c r="Q2561" t="s">
        <v>835</v>
      </c>
      <c r="S2561" t="s">
        <v>860</v>
      </c>
      <c r="T2561" t="s">
        <v>836</v>
      </c>
      <c r="U2561" t="str">
        <f t="shared" si="686"/>
        <v>2500-12-31 00:00:00.0</v>
      </c>
      <c r="V2561" t="s">
        <v>837</v>
      </c>
      <c r="W2561" t="str">
        <f>"048314-004796-**-**"</f>
        <v>048314-004796-**-**</v>
      </c>
      <c r="X2561" t="s">
        <v>838</v>
      </c>
      <c r="Y2561">
        <v>1254.5</v>
      </c>
      <c r="Z2561">
        <v>1254.5</v>
      </c>
      <c r="AA2561" t="str">
        <f t="shared" si="688"/>
        <v>06/08/2016</v>
      </c>
    </row>
    <row r="2562" spans="1:27" x14ac:dyDescent="0.3">
      <c r="A2562" t="str">
        <f t="shared" ref="A2562:A2625" si="689">"048314"</f>
        <v>048314</v>
      </c>
      <c r="B2562" t="str">
        <f t="shared" si="680"/>
        <v>070417</v>
      </c>
      <c r="C2562" t="s">
        <v>2683</v>
      </c>
      <c r="D2562" t="s">
        <v>3839</v>
      </c>
      <c r="E2562" t="s">
        <v>3840</v>
      </c>
      <c r="F2562" t="s">
        <v>3841</v>
      </c>
      <c r="G2562" t="s">
        <v>3842</v>
      </c>
      <c r="H2562" t="str">
        <f t="shared" si="684"/>
        <v>048314</v>
      </c>
      <c r="I2562" t="s">
        <v>833</v>
      </c>
      <c r="J2562" t="str">
        <f t="shared" si="685"/>
        <v>2015-07-01 00:00:00.0</v>
      </c>
      <c r="K2562" t="s">
        <v>834</v>
      </c>
      <c r="L2562" t="s">
        <v>0</v>
      </c>
      <c r="M2562" t="str">
        <f t="shared" si="677"/>
        <v>048314</v>
      </c>
      <c r="N2562">
        <v>1</v>
      </c>
      <c r="O2562">
        <v>1</v>
      </c>
      <c r="P2562" t="str">
        <f>"06"</f>
        <v>06</v>
      </c>
      <c r="Q2562" t="s">
        <v>835</v>
      </c>
      <c r="S2562" t="s">
        <v>836</v>
      </c>
      <c r="T2562" t="s">
        <v>836</v>
      </c>
      <c r="U2562" t="str">
        <f t="shared" si="686"/>
        <v>2500-12-31 00:00:00.0</v>
      </c>
      <c r="V2562" t="s">
        <v>837</v>
      </c>
      <c r="W2562" t="str">
        <f>"048314-070417-**-**"</f>
        <v>048314-070417-**-**</v>
      </c>
      <c r="X2562" t="s">
        <v>838</v>
      </c>
      <c r="Y2562">
        <v>1125</v>
      </c>
      <c r="Z2562">
        <v>1125</v>
      </c>
      <c r="AA2562" t="str">
        <f t="shared" si="688"/>
        <v>06/08/2016</v>
      </c>
    </row>
    <row r="2563" spans="1:27" x14ac:dyDescent="0.3">
      <c r="A2563" t="str">
        <f t="shared" si="689"/>
        <v>048314</v>
      </c>
      <c r="B2563" t="str">
        <f t="shared" si="680"/>
        <v>070417</v>
      </c>
      <c r="C2563" t="s">
        <v>1878</v>
      </c>
      <c r="D2563" t="s">
        <v>3839</v>
      </c>
      <c r="E2563" t="s">
        <v>3840</v>
      </c>
      <c r="F2563" t="s">
        <v>3841</v>
      </c>
      <c r="G2563" t="s">
        <v>3842</v>
      </c>
      <c r="H2563" t="str">
        <f t="shared" si="684"/>
        <v>048314</v>
      </c>
      <c r="I2563" t="s">
        <v>833</v>
      </c>
      <c r="J2563" t="str">
        <f t="shared" si="685"/>
        <v>2015-07-01 00:00:00.0</v>
      </c>
      <c r="K2563" t="s">
        <v>834</v>
      </c>
      <c r="L2563" t="s">
        <v>0</v>
      </c>
      <c r="M2563" t="str">
        <f t="shared" si="677"/>
        <v>048314</v>
      </c>
      <c r="N2563">
        <v>1</v>
      </c>
      <c r="O2563">
        <v>1</v>
      </c>
      <c r="P2563" t="str">
        <f>"09"</f>
        <v>09</v>
      </c>
      <c r="Q2563" t="s">
        <v>835</v>
      </c>
      <c r="S2563" t="s">
        <v>836</v>
      </c>
      <c r="T2563" t="s">
        <v>836</v>
      </c>
      <c r="U2563" t="str">
        <f t="shared" si="686"/>
        <v>2500-12-31 00:00:00.0</v>
      </c>
      <c r="V2563" t="s">
        <v>837</v>
      </c>
      <c r="W2563" t="str">
        <f>"048314-004796-**-**"</f>
        <v>048314-004796-**-**</v>
      </c>
      <c r="X2563" t="s">
        <v>838</v>
      </c>
      <c r="Y2563">
        <v>1254.5</v>
      </c>
      <c r="Z2563">
        <v>1254.5</v>
      </c>
      <c r="AA2563" t="str">
        <f t="shared" si="688"/>
        <v>06/08/2016</v>
      </c>
    </row>
    <row r="2564" spans="1:27" x14ac:dyDescent="0.3">
      <c r="A2564" t="str">
        <f t="shared" si="689"/>
        <v>048314</v>
      </c>
      <c r="B2564" t="str">
        <f t="shared" si="680"/>
        <v>070417</v>
      </c>
      <c r="C2564" t="s">
        <v>2359</v>
      </c>
      <c r="D2564" t="s">
        <v>3839</v>
      </c>
      <c r="E2564" t="s">
        <v>3840</v>
      </c>
      <c r="F2564" t="s">
        <v>3841</v>
      </c>
      <c r="G2564" t="s">
        <v>3842</v>
      </c>
      <c r="H2564" t="str">
        <f t="shared" si="684"/>
        <v>048314</v>
      </c>
      <c r="I2564" t="s">
        <v>833</v>
      </c>
      <c r="J2564" t="str">
        <f t="shared" si="685"/>
        <v>2015-07-01 00:00:00.0</v>
      </c>
      <c r="K2564" t="s">
        <v>834</v>
      </c>
      <c r="L2564" t="s">
        <v>0</v>
      </c>
      <c r="M2564" t="str">
        <f t="shared" si="677"/>
        <v>048314</v>
      </c>
      <c r="N2564">
        <v>1</v>
      </c>
      <c r="O2564">
        <v>1</v>
      </c>
      <c r="P2564" t="str">
        <f>"07"</f>
        <v>07</v>
      </c>
      <c r="Q2564" t="s">
        <v>835</v>
      </c>
      <c r="S2564" t="s">
        <v>836</v>
      </c>
      <c r="T2564" t="s">
        <v>836</v>
      </c>
      <c r="U2564" t="str">
        <f t="shared" si="686"/>
        <v>2500-12-31 00:00:00.0</v>
      </c>
      <c r="V2564" t="s">
        <v>837</v>
      </c>
      <c r="W2564" t="str">
        <f t="shared" ref="W2564:W2569" si="690">"048314-070417-**-**"</f>
        <v>048314-070417-**-**</v>
      </c>
      <c r="X2564" t="s">
        <v>838</v>
      </c>
      <c r="Y2564">
        <v>1125</v>
      </c>
      <c r="Z2564">
        <v>1125</v>
      </c>
      <c r="AA2564" t="str">
        <f t="shared" si="688"/>
        <v>06/08/2016</v>
      </c>
    </row>
    <row r="2565" spans="1:27" x14ac:dyDescent="0.3">
      <c r="A2565" t="str">
        <f t="shared" si="689"/>
        <v>048314</v>
      </c>
      <c r="B2565" t="str">
        <f t="shared" si="680"/>
        <v>070417</v>
      </c>
      <c r="C2565" t="s">
        <v>3297</v>
      </c>
      <c r="D2565" t="s">
        <v>3839</v>
      </c>
      <c r="E2565" t="s">
        <v>3840</v>
      </c>
      <c r="F2565" t="s">
        <v>3841</v>
      </c>
      <c r="G2565" t="s">
        <v>3842</v>
      </c>
      <c r="H2565" t="str">
        <f t="shared" si="684"/>
        <v>048314</v>
      </c>
      <c r="I2565" t="s">
        <v>833</v>
      </c>
      <c r="J2565" t="str">
        <f t="shared" si="685"/>
        <v>2015-07-01 00:00:00.0</v>
      </c>
      <c r="K2565" t="s">
        <v>834</v>
      </c>
      <c r="L2565" t="s">
        <v>0</v>
      </c>
      <c r="M2565" t="str">
        <f t="shared" si="677"/>
        <v>048314</v>
      </c>
      <c r="N2565">
        <v>1</v>
      </c>
      <c r="O2565">
        <v>1</v>
      </c>
      <c r="P2565" t="str">
        <f>"08"</f>
        <v>08</v>
      </c>
      <c r="Q2565" t="s">
        <v>835</v>
      </c>
      <c r="S2565" t="s">
        <v>836</v>
      </c>
      <c r="T2565" t="s">
        <v>836</v>
      </c>
      <c r="U2565" t="str">
        <f t="shared" si="686"/>
        <v>2500-12-31 00:00:00.0</v>
      </c>
      <c r="V2565" t="s">
        <v>837</v>
      </c>
      <c r="W2565" t="str">
        <f t="shared" si="690"/>
        <v>048314-070417-**-**</v>
      </c>
      <c r="X2565" t="s">
        <v>838</v>
      </c>
      <c r="Y2565">
        <v>1125</v>
      </c>
      <c r="Z2565">
        <v>1125</v>
      </c>
      <c r="AA2565" t="str">
        <f t="shared" si="688"/>
        <v>06/08/2016</v>
      </c>
    </row>
    <row r="2566" spans="1:27" x14ac:dyDescent="0.3">
      <c r="A2566" t="str">
        <f t="shared" si="689"/>
        <v>048314</v>
      </c>
      <c r="B2566" t="str">
        <f t="shared" si="680"/>
        <v>070417</v>
      </c>
      <c r="C2566" t="s">
        <v>2360</v>
      </c>
      <c r="D2566" t="s">
        <v>3839</v>
      </c>
      <c r="E2566" t="s">
        <v>3840</v>
      </c>
      <c r="F2566" t="s">
        <v>3841</v>
      </c>
      <c r="G2566" t="s">
        <v>3842</v>
      </c>
      <c r="H2566" t="str">
        <f t="shared" si="684"/>
        <v>048314</v>
      </c>
      <c r="I2566" t="s">
        <v>833</v>
      </c>
      <c r="J2566" t="str">
        <f t="shared" si="685"/>
        <v>2015-07-01 00:00:00.0</v>
      </c>
      <c r="K2566" t="s">
        <v>834</v>
      </c>
      <c r="L2566" t="s">
        <v>0</v>
      </c>
      <c r="M2566" t="str">
        <f t="shared" si="677"/>
        <v>048314</v>
      </c>
      <c r="N2566">
        <v>1</v>
      </c>
      <c r="O2566">
        <v>1</v>
      </c>
      <c r="P2566" t="str">
        <f>"07"</f>
        <v>07</v>
      </c>
      <c r="Q2566" t="s">
        <v>835</v>
      </c>
      <c r="S2566" t="s">
        <v>836</v>
      </c>
      <c r="T2566" t="s">
        <v>836</v>
      </c>
      <c r="U2566" t="str">
        <f t="shared" si="686"/>
        <v>2500-12-31 00:00:00.0</v>
      </c>
      <c r="V2566" t="s">
        <v>837</v>
      </c>
      <c r="W2566" t="str">
        <f t="shared" si="690"/>
        <v>048314-070417-**-**</v>
      </c>
      <c r="X2566" t="s">
        <v>838</v>
      </c>
      <c r="Y2566">
        <v>1125</v>
      </c>
      <c r="Z2566">
        <v>1125</v>
      </c>
      <c r="AA2566" t="str">
        <f t="shared" si="688"/>
        <v>06/08/2016</v>
      </c>
    </row>
    <row r="2567" spans="1:27" x14ac:dyDescent="0.3">
      <c r="A2567" t="str">
        <f t="shared" si="689"/>
        <v>048314</v>
      </c>
      <c r="B2567" t="str">
        <f t="shared" si="680"/>
        <v>070417</v>
      </c>
      <c r="C2567" t="s">
        <v>2119</v>
      </c>
      <c r="D2567" t="s">
        <v>3839</v>
      </c>
      <c r="E2567" t="s">
        <v>3840</v>
      </c>
      <c r="F2567" t="s">
        <v>3841</v>
      </c>
      <c r="G2567" t="s">
        <v>3842</v>
      </c>
      <c r="H2567" t="str">
        <f t="shared" si="684"/>
        <v>048314</v>
      </c>
      <c r="I2567" t="s">
        <v>833</v>
      </c>
      <c r="J2567" t="str">
        <f t="shared" si="685"/>
        <v>2015-07-01 00:00:00.0</v>
      </c>
      <c r="K2567" t="s">
        <v>834</v>
      </c>
      <c r="L2567" t="s">
        <v>0</v>
      </c>
      <c r="M2567" t="str">
        <f t="shared" si="677"/>
        <v>048314</v>
      </c>
      <c r="N2567">
        <v>1</v>
      </c>
      <c r="O2567">
        <v>1</v>
      </c>
      <c r="P2567" t="str">
        <f>"08"</f>
        <v>08</v>
      </c>
      <c r="Q2567" t="str">
        <f>"10"</f>
        <v>10</v>
      </c>
      <c r="R2567" t="str">
        <f>"2"</f>
        <v>2</v>
      </c>
      <c r="S2567" t="s">
        <v>836</v>
      </c>
      <c r="T2567" t="s">
        <v>836</v>
      </c>
      <c r="U2567" t="str">
        <f t="shared" si="686"/>
        <v>2500-12-31 00:00:00.0</v>
      </c>
      <c r="V2567" t="s">
        <v>837</v>
      </c>
      <c r="W2567" t="str">
        <f t="shared" si="690"/>
        <v>048314-070417-**-**</v>
      </c>
      <c r="X2567" t="s">
        <v>838</v>
      </c>
      <c r="Y2567">
        <v>1125</v>
      </c>
      <c r="Z2567">
        <v>1125</v>
      </c>
      <c r="AA2567" t="str">
        <f t="shared" si="688"/>
        <v>06/08/2016</v>
      </c>
    </row>
    <row r="2568" spans="1:27" x14ac:dyDescent="0.3">
      <c r="A2568" t="str">
        <f t="shared" si="689"/>
        <v>048314</v>
      </c>
      <c r="B2568" t="str">
        <f t="shared" si="680"/>
        <v>070417</v>
      </c>
      <c r="C2568" t="s">
        <v>2684</v>
      </c>
      <c r="D2568" t="s">
        <v>3839</v>
      </c>
      <c r="E2568" t="s">
        <v>3840</v>
      </c>
      <c r="F2568" t="s">
        <v>3841</v>
      </c>
      <c r="G2568" t="s">
        <v>3842</v>
      </c>
      <c r="H2568" t="str">
        <f t="shared" si="684"/>
        <v>048314</v>
      </c>
      <c r="I2568" t="s">
        <v>833</v>
      </c>
      <c r="J2568" t="str">
        <f t="shared" si="685"/>
        <v>2015-07-01 00:00:00.0</v>
      </c>
      <c r="K2568" t="s">
        <v>834</v>
      </c>
      <c r="L2568" t="s">
        <v>0</v>
      </c>
      <c r="M2568" t="str">
        <f t="shared" si="677"/>
        <v>048314</v>
      </c>
      <c r="N2568">
        <v>1</v>
      </c>
      <c r="O2568">
        <v>1</v>
      </c>
      <c r="P2568" t="str">
        <f>"06"</f>
        <v>06</v>
      </c>
      <c r="Q2568" t="s">
        <v>835</v>
      </c>
      <c r="S2568" t="s">
        <v>836</v>
      </c>
      <c r="T2568" t="s">
        <v>836</v>
      </c>
      <c r="U2568" t="str">
        <f t="shared" si="686"/>
        <v>2500-12-31 00:00:00.0</v>
      </c>
      <c r="V2568" t="s">
        <v>837</v>
      </c>
      <c r="W2568" t="str">
        <f t="shared" si="690"/>
        <v>048314-070417-**-**</v>
      </c>
      <c r="X2568" t="s">
        <v>838</v>
      </c>
      <c r="Y2568">
        <v>1125</v>
      </c>
      <c r="Z2568">
        <v>1125</v>
      </c>
      <c r="AA2568" t="str">
        <f t="shared" si="688"/>
        <v>06/08/2016</v>
      </c>
    </row>
    <row r="2569" spans="1:27" x14ac:dyDescent="0.3">
      <c r="A2569" t="str">
        <f t="shared" si="689"/>
        <v>048314</v>
      </c>
      <c r="B2569" t="str">
        <f t="shared" si="680"/>
        <v>070417</v>
      </c>
      <c r="C2569" t="s">
        <v>2487</v>
      </c>
      <c r="D2569" t="s">
        <v>3839</v>
      </c>
      <c r="E2569" t="s">
        <v>3840</v>
      </c>
      <c r="F2569" t="s">
        <v>3841</v>
      </c>
      <c r="G2569" t="s">
        <v>3842</v>
      </c>
      <c r="H2569" t="str">
        <f t="shared" si="684"/>
        <v>048314</v>
      </c>
      <c r="I2569" t="s">
        <v>833</v>
      </c>
      <c r="J2569" t="str">
        <f t="shared" si="685"/>
        <v>2015-07-01 00:00:00.0</v>
      </c>
      <c r="K2569" t="s">
        <v>834</v>
      </c>
      <c r="L2569" t="s">
        <v>0</v>
      </c>
      <c r="M2569" t="str">
        <f t="shared" si="677"/>
        <v>048314</v>
      </c>
      <c r="N2569">
        <v>1</v>
      </c>
      <c r="O2569">
        <v>1</v>
      </c>
      <c r="P2569" t="str">
        <f>"07"</f>
        <v>07</v>
      </c>
      <c r="Q2569" t="str">
        <f>"12"</f>
        <v>12</v>
      </c>
      <c r="R2569" t="str">
        <f>"6"</f>
        <v>6</v>
      </c>
      <c r="S2569" t="s">
        <v>836</v>
      </c>
      <c r="T2569" t="s">
        <v>836</v>
      </c>
      <c r="U2569" t="str">
        <f t="shared" si="686"/>
        <v>2500-12-31 00:00:00.0</v>
      </c>
      <c r="V2569" t="s">
        <v>837</v>
      </c>
      <c r="W2569" t="str">
        <f t="shared" si="690"/>
        <v>048314-070417-**-**</v>
      </c>
      <c r="X2569" t="s">
        <v>838</v>
      </c>
      <c r="Y2569">
        <v>1125</v>
      </c>
      <c r="Z2569">
        <v>1125</v>
      </c>
      <c r="AA2569" t="str">
        <f t="shared" si="688"/>
        <v>06/08/2016</v>
      </c>
    </row>
    <row r="2570" spans="1:27" x14ac:dyDescent="0.3">
      <c r="A2570" t="str">
        <f t="shared" si="689"/>
        <v>048314</v>
      </c>
      <c r="B2570" t="str">
        <f t="shared" si="680"/>
        <v>070417</v>
      </c>
      <c r="C2570" t="s">
        <v>1947</v>
      </c>
      <c r="D2570" t="s">
        <v>3839</v>
      </c>
      <c r="E2570" t="s">
        <v>3840</v>
      </c>
      <c r="F2570" t="s">
        <v>3841</v>
      </c>
      <c r="G2570" t="s">
        <v>3842</v>
      </c>
      <c r="H2570" t="str">
        <f t="shared" si="684"/>
        <v>048314</v>
      </c>
      <c r="I2570" t="s">
        <v>833</v>
      </c>
      <c r="J2570" t="str">
        <f t="shared" si="685"/>
        <v>2015-07-01 00:00:00.0</v>
      </c>
      <c r="K2570" t="s">
        <v>834</v>
      </c>
      <c r="L2570" t="s">
        <v>0</v>
      </c>
      <c r="M2570" t="str">
        <f t="shared" si="677"/>
        <v>048314</v>
      </c>
      <c r="N2570">
        <v>1</v>
      </c>
      <c r="O2570">
        <v>1</v>
      </c>
      <c r="P2570" t="str">
        <f>"09"</f>
        <v>09</v>
      </c>
      <c r="Q2570" t="s">
        <v>835</v>
      </c>
      <c r="S2570" t="s">
        <v>836</v>
      </c>
      <c r="T2570" t="s">
        <v>836</v>
      </c>
      <c r="U2570" t="str">
        <f t="shared" si="686"/>
        <v>2500-12-31 00:00:00.0</v>
      </c>
      <c r="V2570" t="s">
        <v>837</v>
      </c>
      <c r="W2570" t="str">
        <f>"048314-004796-**-**"</f>
        <v>048314-004796-**-**</v>
      </c>
      <c r="X2570" t="s">
        <v>838</v>
      </c>
      <c r="Y2570">
        <v>1254.5</v>
      </c>
      <c r="Z2570">
        <v>1254.5</v>
      </c>
      <c r="AA2570" t="str">
        <f t="shared" si="688"/>
        <v>06/08/2016</v>
      </c>
    </row>
    <row r="2571" spans="1:27" x14ac:dyDescent="0.3">
      <c r="A2571" t="str">
        <f t="shared" si="689"/>
        <v>048314</v>
      </c>
      <c r="B2571" t="str">
        <f t="shared" si="680"/>
        <v>070417</v>
      </c>
      <c r="C2571" t="s">
        <v>1595</v>
      </c>
      <c r="D2571" t="s">
        <v>3839</v>
      </c>
      <c r="E2571" t="s">
        <v>3840</v>
      </c>
      <c r="F2571" t="s">
        <v>3841</v>
      </c>
      <c r="G2571" t="s">
        <v>3842</v>
      </c>
      <c r="H2571" t="str">
        <f t="shared" si="684"/>
        <v>048314</v>
      </c>
      <c r="I2571" t="s">
        <v>833</v>
      </c>
      <c r="J2571" t="str">
        <f t="shared" si="685"/>
        <v>2015-07-01 00:00:00.0</v>
      </c>
      <c r="K2571" t="s">
        <v>834</v>
      </c>
      <c r="L2571" t="s">
        <v>0</v>
      </c>
      <c r="M2571" t="str">
        <f t="shared" si="677"/>
        <v>048314</v>
      </c>
      <c r="N2571">
        <v>1</v>
      </c>
      <c r="O2571">
        <v>1</v>
      </c>
      <c r="P2571" t="str">
        <f>"09"</f>
        <v>09</v>
      </c>
      <c r="Q2571" t="str">
        <f>"10"</f>
        <v>10</v>
      </c>
      <c r="R2571" t="str">
        <f>"2"</f>
        <v>2</v>
      </c>
      <c r="S2571" t="s">
        <v>836</v>
      </c>
      <c r="T2571" t="s">
        <v>836</v>
      </c>
      <c r="U2571" t="str">
        <f t="shared" si="686"/>
        <v>2500-12-31 00:00:00.0</v>
      </c>
      <c r="V2571" t="s">
        <v>837</v>
      </c>
      <c r="W2571" t="str">
        <f>"048314-004796-**-**"</f>
        <v>048314-004796-**-**</v>
      </c>
      <c r="X2571" t="s">
        <v>838</v>
      </c>
      <c r="Y2571">
        <v>1254.5</v>
      </c>
      <c r="Z2571">
        <v>1254.5</v>
      </c>
      <c r="AA2571" t="str">
        <f t="shared" si="688"/>
        <v>06/08/2016</v>
      </c>
    </row>
    <row r="2572" spans="1:27" x14ac:dyDescent="0.3">
      <c r="A2572" t="str">
        <f t="shared" si="689"/>
        <v>048314</v>
      </c>
      <c r="B2572" t="str">
        <f t="shared" si="680"/>
        <v>070417</v>
      </c>
      <c r="C2572" t="s">
        <v>2878</v>
      </c>
      <c r="D2572" t="s">
        <v>3839</v>
      </c>
      <c r="E2572" t="s">
        <v>3840</v>
      </c>
      <c r="F2572" t="s">
        <v>3841</v>
      </c>
      <c r="G2572" t="s">
        <v>3842</v>
      </c>
      <c r="H2572" t="str">
        <f t="shared" si="684"/>
        <v>048314</v>
      </c>
      <c r="I2572" t="s">
        <v>833</v>
      </c>
      <c r="J2572" t="str">
        <f t="shared" si="685"/>
        <v>2015-07-01 00:00:00.0</v>
      </c>
      <c r="K2572" t="s">
        <v>834</v>
      </c>
      <c r="L2572" t="s">
        <v>0</v>
      </c>
      <c r="M2572" t="str">
        <f t="shared" si="677"/>
        <v>048314</v>
      </c>
      <c r="N2572">
        <v>1</v>
      </c>
      <c r="O2572">
        <v>1</v>
      </c>
      <c r="P2572" t="str">
        <f>"06"</f>
        <v>06</v>
      </c>
      <c r="Q2572" t="s">
        <v>835</v>
      </c>
      <c r="S2572" t="s">
        <v>836</v>
      </c>
      <c r="T2572" t="s">
        <v>836</v>
      </c>
      <c r="U2572" t="str">
        <f t="shared" si="686"/>
        <v>2500-12-31 00:00:00.0</v>
      </c>
      <c r="V2572" t="s">
        <v>837</v>
      </c>
      <c r="W2572" t="str">
        <f>"048314-070417-**-**"</f>
        <v>048314-070417-**-**</v>
      </c>
      <c r="X2572" t="s">
        <v>838</v>
      </c>
      <c r="Y2572">
        <v>1125</v>
      </c>
      <c r="Z2572">
        <v>1125</v>
      </c>
      <c r="AA2572" t="str">
        <f t="shared" si="688"/>
        <v>06/08/2016</v>
      </c>
    </row>
    <row r="2573" spans="1:27" x14ac:dyDescent="0.3">
      <c r="A2573" t="str">
        <f t="shared" si="689"/>
        <v>048314</v>
      </c>
      <c r="B2573" t="str">
        <f t="shared" si="680"/>
        <v>070417</v>
      </c>
      <c r="C2573" t="s">
        <v>2430</v>
      </c>
      <c r="D2573" t="s">
        <v>3839</v>
      </c>
      <c r="E2573" t="s">
        <v>3840</v>
      </c>
      <c r="F2573" t="s">
        <v>3841</v>
      </c>
      <c r="G2573" t="s">
        <v>3842</v>
      </c>
      <c r="H2573" t="str">
        <f t="shared" si="684"/>
        <v>048314</v>
      </c>
      <c r="I2573" t="s">
        <v>833</v>
      </c>
      <c r="J2573" t="str">
        <f t="shared" si="685"/>
        <v>2015-07-01 00:00:00.0</v>
      </c>
      <c r="K2573" t="s">
        <v>834</v>
      </c>
      <c r="L2573" t="s">
        <v>0</v>
      </c>
      <c r="M2573" t="str">
        <f t="shared" si="677"/>
        <v>048314</v>
      </c>
      <c r="N2573">
        <v>1</v>
      </c>
      <c r="O2573">
        <v>1</v>
      </c>
      <c r="P2573" t="str">
        <f>"08"</f>
        <v>08</v>
      </c>
      <c r="Q2573" t="s">
        <v>835</v>
      </c>
      <c r="S2573" t="s">
        <v>836</v>
      </c>
      <c r="T2573" t="s">
        <v>836</v>
      </c>
      <c r="U2573" t="str">
        <f t="shared" si="686"/>
        <v>2500-12-31 00:00:00.0</v>
      </c>
      <c r="V2573" t="s">
        <v>837</v>
      </c>
      <c r="W2573" t="str">
        <f>"048314-070417-**-**"</f>
        <v>048314-070417-**-**</v>
      </c>
      <c r="X2573" t="s">
        <v>838</v>
      </c>
      <c r="Y2573">
        <v>1125</v>
      </c>
      <c r="Z2573">
        <v>1125</v>
      </c>
      <c r="AA2573" t="str">
        <f t="shared" si="688"/>
        <v>06/08/2016</v>
      </c>
    </row>
    <row r="2574" spans="1:27" x14ac:dyDescent="0.3">
      <c r="A2574" t="str">
        <f t="shared" si="689"/>
        <v>048314</v>
      </c>
      <c r="B2574" t="str">
        <f t="shared" si="680"/>
        <v>070417</v>
      </c>
      <c r="C2574" t="s">
        <v>1847</v>
      </c>
      <c r="D2574" t="s">
        <v>3839</v>
      </c>
      <c r="E2574" t="s">
        <v>3840</v>
      </c>
      <c r="F2574" t="s">
        <v>3841</v>
      </c>
      <c r="G2574" t="s">
        <v>3842</v>
      </c>
      <c r="H2574" t="str">
        <f t="shared" si="684"/>
        <v>048314</v>
      </c>
      <c r="I2574" t="s">
        <v>833</v>
      </c>
      <c r="J2574" t="str">
        <f t="shared" si="685"/>
        <v>2015-07-01 00:00:00.0</v>
      </c>
      <c r="K2574" t="s">
        <v>834</v>
      </c>
      <c r="L2574" t="s">
        <v>0</v>
      </c>
      <c r="M2574" t="str">
        <f t="shared" si="677"/>
        <v>048314</v>
      </c>
      <c r="N2574">
        <v>1</v>
      </c>
      <c r="O2574">
        <v>1</v>
      </c>
      <c r="P2574" t="str">
        <f>"09"</f>
        <v>09</v>
      </c>
      <c r="Q2574" t="s">
        <v>835</v>
      </c>
      <c r="S2574" t="s">
        <v>860</v>
      </c>
      <c r="T2574" t="s">
        <v>836</v>
      </c>
      <c r="U2574" t="str">
        <f t="shared" si="686"/>
        <v>2500-12-31 00:00:00.0</v>
      </c>
      <c r="V2574" t="s">
        <v>837</v>
      </c>
      <c r="W2574" t="str">
        <f>"048314-004796-**-**"</f>
        <v>048314-004796-**-**</v>
      </c>
      <c r="X2574" t="s">
        <v>838</v>
      </c>
      <c r="Y2574">
        <v>1254.5</v>
      </c>
      <c r="Z2574">
        <v>1254.5</v>
      </c>
      <c r="AA2574" t="str">
        <f t="shared" si="688"/>
        <v>06/08/2016</v>
      </c>
    </row>
    <row r="2575" spans="1:27" x14ac:dyDescent="0.3">
      <c r="A2575" t="str">
        <f t="shared" si="689"/>
        <v>048314</v>
      </c>
      <c r="B2575" t="str">
        <f t="shared" si="680"/>
        <v>070417</v>
      </c>
      <c r="C2575" t="s">
        <v>2511</v>
      </c>
      <c r="D2575" t="s">
        <v>3839</v>
      </c>
      <c r="E2575" t="s">
        <v>3840</v>
      </c>
      <c r="F2575" t="s">
        <v>3841</v>
      </c>
      <c r="G2575" t="s">
        <v>3842</v>
      </c>
      <c r="H2575" t="str">
        <f t="shared" si="684"/>
        <v>048314</v>
      </c>
      <c r="I2575" t="s">
        <v>833</v>
      </c>
      <c r="J2575" t="str">
        <f t="shared" si="685"/>
        <v>2015-07-01 00:00:00.0</v>
      </c>
      <c r="K2575" t="s">
        <v>834</v>
      </c>
      <c r="L2575" t="s">
        <v>0</v>
      </c>
      <c r="M2575" t="str">
        <f t="shared" si="677"/>
        <v>048314</v>
      </c>
      <c r="N2575">
        <v>1</v>
      </c>
      <c r="O2575">
        <v>1</v>
      </c>
      <c r="P2575" t="str">
        <f>"07"</f>
        <v>07</v>
      </c>
      <c r="Q2575" t="s">
        <v>835</v>
      </c>
      <c r="S2575" t="s">
        <v>836</v>
      </c>
      <c r="T2575" t="s">
        <v>836</v>
      </c>
      <c r="U2575" t="str">
        <f t="shared" si="686"/>
        <v>2500-12-31 00:00:00.0</v>
      </c>
      <c r="V2575" t="s">
        <v>837</v>
      </c>
      <c r="W2575" t="str">
        <f>"048314-070417-**-**"</f>
        <v>048314-070417-**-**</v>
      </c>
      <c r="X2575" t="s">
        <v>838</v>
      </c>
      <c r="Y2575">
        <v>1125</v>
      </c>
      <c r="Z2575">
        <v>1125</v>
      </c>
      <c r="AA2575" t="str">
        <f t="shared" si="688"/>
        <v>06/08/2016</v>
      </c>
    </row>
    <row r="2576" spans="1:27" x14ac:dyDescent="0.3">
      <c r="A2576" t="str">
        <f t="shared" si="689"/>
        <v>048314</v>
      </c>
      <c r="B2576" t="str">
        <f t="shared" si="680"/>
        <v>070417</v>
      </c>
      <c r="C2576" t="s">
        <v>2590</v>
      </c>
      <c r="D2576" t="s">
        <v>3839</v>
      </c>
      <c r="E2576" t="s">
        <v>3840</v>
      </c>
      <c r="F2576" t="s">
        <v>3841</v>
      </c>
      <c r="G2576" t="s">
        <v>3842</v>
      </c>
      <c r="H2576" t="str">
        <f t="shared" si="684"/>
        <v>048314</v>
      </c>
      <c r="I2576" t="s">
        <v>833</v>
      </c>
      <c r="J2576" t="str">
        <f>"2015-08-25 00:00:00.0"</f>
        <v>2015-08-25 00:00:00.0</v>
      </c>
      <c r="K2576" t="s">
        <v>834</v>
      </c>
      <c r="L2576" t="s">
        <v>0</v>
      </c>
      <c r="M2576" t="str">
        <f t="shared" si="677"/>
        <v>048314</v>
      </c>
      <c r="N2576">
        <v>0.73333300000000001</v>
      </c>
      <c r="O2576">
        <v>0.73333300000000001</v>
      </c>
      <c r="P2576" t="str">
        <f>"06"</f>
        <v>06</v>
      </c>
      <c r="Q2576" t="s">
        <v>835</v>
      </c>
      <c r="S2576" t="s">
        <v>836</v>
      </c>
      <c r="T2576" t="s">
        <v>836</v>
      </c>
      <c r="U2576" t="str">
        <f>"2016-03-24 00:00:00.0"</f>
        <v>2016-03-24 00:00:00.0</v>
      </c>
      <c r="V2576" t="s">
        <v>837</v>
      </c>
      <c r="W2576" t="str">
        <f>"048314-070417-**-**"</f>
        <v>048314-070417-**-**</v>
      </c>
      <c r="X2576" t="s">
        <v>838</v>
      </c>
      <c r="Y2576">
        <v>825</v>
      </c>
      <c r="Z2576">
        <v>1125</v>
      </c>
      <c r="AA2576" t="str">
        <f t="shared" si="688"/>
        <v>06/08/2016</v>
      </c>
    </row>
    <row r="2577" spans="1:27" x14ac:dyDescent="0.3">
      <c r="A2577" t="str">
        <f t="shared" si="689"/>
        <v>048314</v>
      </c>
      <c r="B2577" t="str">
        <f t="shared" si="680"/>
        <v>070417</v>
      </c>
      <c r="C2577" t="s">
        <v>1879</v>
      </c>
      <c r="D2577" t="s">
        <v>3839</v>
      </c>
      <c r="E2577" t="s">
        <v>3840</v>
      </c>
      <c r="F2577" t="s">
        <v>3841</v>
      </c>
      <c r="G2577" t="s">
        <v>3842</v>
      </c>
      <c r="H2577" t="str">
        <f t="shared" si="684"/>
        <v>048314</v>
      </c>
      <c r="I2577" t="s">
        <v>833</v>
      </c>
      <c r="J2577" t="str">
        <f t="shared" ref="J2577:J2584" si="691">"2015-07-01 00:00:00.0"</f>
        <v>2015-07-01 00:00:00.0</v>
      </c>
      <c r="K2577" t="s">
        <v>834</v>
      </c>
      <c r="L2577" t="s">
        <v>0</v>
      </c>
      <c r="M2577" t="str">
        <f t="shared" si="677"/>
        <v>048314</v>
      </c>
      <c r="N2577">
        <v>1</v>
      </c>
      <c r="O2577">
        <v>1</v>
      </c>
      <c r="P2577" t="str">
        <f>"09"</f>
        <v>09</v>
      </c>
      <c r="Q2577" t="s">
        <v>835</v>
      </c>
      <c r="S2577" t="s">
        <v>836</v>
      </c>
      <c r="T2577" t="s">
        <v>836</v>
      </c>
      <c r="U2577" t="str">
        <f t="shared" ref="U2577:U2583" si="692">"2500-12-31 00:00:00.0"</f>
        <v>2500-12-31 00:00:00.0</v>
      </c>
      <c r="V2577" t="s">
        <v>837</v>
      </c>
      <c r="W2577" t="str">
        <f>"048314-004796-**-**"</f>
        <v>048314-004796-**-**</v>
      </c>
      <c r="X2577" t="s">
        <v>838</v>
      </c>
      <c r="Y2577">
        <v>1254.5</v>
      </c>
      <c r="Z2577">
        <v>1254.5</v>
      </c>
      <c r="AA2577" t="str">
        <f t="shared" si="688"/>
        <v>06/08/2016</v>
      </c>
    </row>
    <row r="2578" spans="1:27" x14ac:dyDescent="0.3">
      <c r="A2578" t="str">
        <f t="shared" si="689"/>
        <v>048314</v>
      </c>
      <c r="B2578" t="str">
        <f t="shared" si="680"/>
        <v>070417</v>
      </c>
      <c r="C2578" t="s">
        <v>2536</v>
      </c>
      <c r="D2578" t="s">
        <v>3839</v>
      </c>
      <c r="E2578" t="s">
        <v>3840</v>
      </c>
      <c r="F2578" t="s">
        <v>3841</v>
      </c>
      <c r="G2578" t="s">
        <v>3842</v>
      </c>
      <c r="H2578" t="str">
        <f t="shared" si="684"/>
        <v>048314</v>
      </c>
      <c r="I2578" t="s">
        <v>833</v>
      </c>
      <c r="J2578" t="str">
        <f t="shared" si="691"/>
        <v>2015-07-01 00:00:00.0</v>
      </c>
      <c r="K2578" t="s">
        <v>834</v>
      </c>
      <c r="L2578" t="s">
        <v>0</v>
      </c>
      <c r="M2578" t="str">
        <f t="shared" ref="M2578:M2641" si="693">"048314"</f>
        <v>048314</v>
      </c>
      <c r="N2578">
        <v>1</v>
      </c>
      <c r="O2578">
        <v>1</v>
      </c>
      <c r="P2578" t="str">
        <f>"07"</f>
        <v>07</v>
      </c>
      <c r="Q2578" t="s">
        <v>835</v>
      </c>
      <c r="S2578" t="s">
        <v>860</v>
      </c>
      <c r="T2578" t="s">
        <v>836</v>
      </c>
      <c r="U2578" t="str">
        <f t="shared" si="692"/>
        <v>2500-12-31 00:00:00.0</v>
      </c>
      <c r="V2578" t="s">
        <v>837</v>
      </c>
      <c r="W2578" t="str">
        <f>"048314-070417-**-**"</f>
        <v>048314-070417-**-**</v>
      </c>
      <c r="X2578" t="s">
        <v>838</v>
      </c>
      <c r="Y2578">
        <v>1125</v>
      </c>
      <c r="Z2578">
        <v>1125</v>
      </c>
      <c r="AA2578" t="str">
        <f t="shared" si="688"/>
        <v>06/08/2016</v>
      </c>
    </row>
    <row r="2579" spans="1:27" x14ac:dyDescent="0.3">
      <c r="A2579" t="str">
        <f t="shared" si="689"/>
        <v>048314</v>
      </c>
      <c r="B2579" t="str">
        <f t="shared" si="680"/>
        <v>070417</v>
      </c>
      <c r="C2579" t="s">
        <v>1839</v>
      </c>
      <c r="D2579" t="s">
        <v>3839</v>
      </c>
      <c r="E2579" t="s">
        <v>3840</v>
      </c>
      <c r="F2579" t="s">
        <v>3841</v>
      </c>
      <c r="G2579" t="s">
        <v>3842</v>
      </c>
      <c r="H2579" t="str">
        <f t="shared" si="684"/>
        <v>048314</v>
      </c>
      <c r="I2579" t="s">
        <v>833</v>
      </c>
      <c r="J2579" t="str">
        <f t="shared" si="691"/>
        <v>2015-07-01 00:00:00.0</v>
      </c>
      <c r="K2579" t="s">
        <v>834</v>
      </c>
      <c r="L2579" t="s">
        <v>0</v>
      </c>
      <c r="M2579" t="str">
        <f t="shared" si="693"/>
        <v>048314</v>
      </c>
      <c r="N2579">
        <v>1</v>
      </c>
      <c r="O2579">
        <v>1</v>
      </c>
      <c r="P2579" t="str">
        <f>"09"</f>
        <v>09</v>
      </c>
      <c r="Q2579" t="s">
        <v>835</v>
      </c>
      <c r="S2579" t="s">
        <v>836</v>
      </c>
      <c r="T2579" t="s">
        <v>836</v>
      </c>
      <c r="U2579" t="str">
        <f t="shared" si="692"/>
        <v>2500-12-31 00:00:00.0</v>
      </c>
      <c r="V2579" t="s">
        <v>837</v>
      </c>
      <c r="W2579" t="str">
        <f>"048314-004796-**-**"</f>
        <v>048314-004796-**-**</v>
      </c>
      <c r="X2579" t="s">
        <v>838</v>
      </c>
      <c r="Y2579">
        <v>1254.5</v>
      </c>
      <c r="Z2579">
        <v>1254.5</v>
      </c>
      <c r="AA2579" t="str">
        <f t="shared" si="688"/>
        <v>06/08/2016</v>
      </c>
    </row>
    <row r="2580" spans="1:27" x14ac:dyDescent="0.3">
      <c r="A2580" t="str">
        <f t="shared" si="689"/>
        <v>048314</v>
      </c>
      <c r="B2580" t="str">
        <f t="shared" si="680"/>
        <v>070417</v>
      </c>
      <c r="C2580" t="s">
        <v>2228</v>
      </c>
      <c r="D2580" t="s">
        <v>3839</v>
      </c>
      <c r="E2580" t="s">
        <v>3840</v>
      </c>
      <c r="F2580" t="s">
        <v>3841</v>
      </c>
      <c r="G2580" t="s">
        <v>3842</v>
      </c>
      <c r="H2580" t="str">
        <f t="shared" si="684"/>
        <v>048314</v>
      </c>
      <c r="I2580" t="s">
        <v>833</v>
      </c>
      <c r="J2580" t="str">
        <f t="shared" si="691"/>
        <v>2015-07-01 00:00:00.0</v>
      </c>
      <c r="K2580" t="s">
        <v>834</v>
      </c>
      <c r="L2580" t="s">
        <v>0</v>
      </c>
      <c r="M2580" t="str">
        <f t="shared" si="693"/>
        <v>048314</v>
      </c>
      <c r="N2580">
        <v>1</v>
      </c>
      <c r="O2580">
        <v>1</v>
      </c>
      <c r="P2580" t="str">
        <f>"08"</f>
        <v>08</v>
      </c>
      <c r="Q2580" t="s">
        <v>835</v>
      </c>
      <c r="S2580" t="s">
        <v>836</v>
      </c>
      <c r="T2580" t="s">
        <v>836</v>
      </c>
      <c r="U2580" t="str">
        <f t="shared" si="692"/>
        <v>2500-12-31 00:00:00.0</v>
      </c>
      <c r="V2580" t="s">
        <v>837</v>
      </c>
      <c r="W2580" t="str">
        <f>"048314-070417-**-**"</f>
        <v>048314-070417-**-**</v>
      </c>
      <c r="X2580" t="s">
        <v>838</v>
      </c>
      <c r="Y2580">
        <v>1125</v>
      </c>
      <c r="Z2580">
        <v>1125</v>
      </c>
      <c r="AA2580" t="str">
        <f t="shared" si="688"/>
        <v>06/08/2016</v>
      </c>
    </row>
    <row r="2581" spans="1:27" x14ac:dyDescent="0.3">
      <c r="A2581" t="str">
        <f t="shared" si="689"/>
        <v>048314</v>
      </c>
      <c r="B2581" t="str">
        <f t="shared" si="680"/>
        <v>070417</v>
      </c>
      <c r="C2581" t="s">
        <v>2120</v>
      </c>
      <c r="D2581" t="s">
        <v>3839</v>
      </c>
      <c r="E2581" t="s">
        <v>3840</v>
      </c>
      <c r="F2581" t="s">
        <v>3841</v>
      </c>
      <c r="G2581" t="s">
        <v>3842</v>
      </c>
      <c r="H2581" t="str">
        <f t="shared" si="684"/>
        <v>048314</v>
      </c>
      <c r="I2581" t="s">
        <v>833</v>
      </c>
      <c r="J2581" t="str">
        <f t="shared" si="691"/>
        <v>2015-07-01 00:00:00.0</v>
      </c>
      <c r="K2581" t="s">
        <v>834</v>
      </c>
      <c r="L2581" t="s">
        <v>0</v>
      </c>
      <c r="M2581" t="str">
        <f t="shared" si="693"/>
        <v>048314</v>
      </c>
      <c r="N2581">
        <v>1</v>
      </c>
      <c r="O2581">
        <v>1</v>
      </c>
      <c r="P2581" t="str">
        <f>"08"</f>
        <v>08</v>
      </c>
      <c r="Q2581" t="s">
        <v>835</v>
      </c>
      <c r="S2581" t="s">
        <v>836</v>
      </c>
      <c r="T2581" t="s">
        <v>836</v>
      </c>
      <c r="U2581" t="str">
        <f t="shared" si="692"/>
        <v>2500-12-31 00:00:00.0</v>
      </c>
      <c r="V2581" t="s">
        <v>837</v>
      </c>
      <c r="W2581" t="str">
        <f>"048314-070417-**-**"</f>
        <v>048314-070417-**-**</v>
      </c>
      <c r="X2581" t="s">
        <v>838</v>
      </c>
      <c r="Y2581">
        <v>1125</v>
      </c>
      <c r="Z2581">
        <v>1125</v>
      </c>
      <c r="AA2581" t="str">
        <f t="shared" si="688"/>
        <v>06/08/2016</v>
      </c>
    </row>
    <row r="2582" spans="1:27" x14ac:dyDescent="0.3">
      <c r="A2582" t="str">
        <f t="shared" si="689"/>
        <v>048314</v>
      </c>
      <c r="B2582" t="str">
        <f t="shared" si="680"/>
        <v>070417</v>
      </c>
      <c r="C2582" t="s">
        <v>1880</v>
      </c>
      <c r="D2582" t="s">
        <v>3839</v>
      </c>
      <c r="E2582" t="s">
        <v>3840</v>
      </c>
      <c r="F2582" t="s">
        <v>3841</v>
      </c>
      <c r="G2582" t="s">
        <v>3842</v>
      </c>
      <c r="H2582" t="str">
        <f t="shared" si="684"/>
        <v>048314</v>
      </c>
      <c r="I2582" t="s">
        <v>833</v>
      </c>
      <c r="J2582" t="str">
        <f t="shared" si="691"/>
        <v>2015-07-01 00:00:00.0</v>
      </c>
      <c r="K2582" t="s">
        <v>834</v>
      </c>
      <c r="L2582" t="s">
        <v>0</v>
      </c>
      <c r="M2582" t="str">
        <f t="shared" si="693"/>
        <v>048314</v>
      </c>
      <c r="N2582">
        <v>1</v>
      </c>
      <c r="O2582">
        <v>1</v>
      </c>
      <c r="P2582" t="str">
        <f>"09"</f>
        <v>09</v>
      </c>
      <c r="Q2582" t="s">
        <v>835</v>
      </c>
      <c r="S2582" t="s">
        <v>836</v>
      </c>
      <c r="T2582" t="s">
        <v>836</v>
      </c>
      <c r="U2582" t="str">
        <f t="shared" si="692"/>
        <v>2500-12-31 00:00:00.0</v>
      </c>
      <c r="V2582" t="s">
        <v>837</v>
      </c>
      <c r="W2582" t="str">
        <f>"048314-004796-**-**"</f>
        <v>048314-004796-**-**</v>
      </c>
      <c r="X2582" t="s">
        <v>838</v>
      </c>
      <c r="Y2582">
        <v>1254.5</v>
      </c>
      <c r="Z2582">
        <v>1254.5</v>
      </c>
      <c r="AA2582" t="str">
        <f t="shared" si="688"/>
        <v>06/08/2016</v>
      </c>
    </row>
    <row r="2583" spans="1:27" x14ac:dyDescent="0.3">
      <c r="A2583" t="str">
        <f t="shared" si="689"/>
        <v>048314</v>
      </c>
      <c r="B2583" t="str">
        <f t="shared" si="680"/>
        <v>070417</v>
      </c>
      <c r="C2583" t="s">
        <v>2685</v>
      </c>
      <c r="D2583" t="s">
        <v>3839</v>
      </c>
      <c r="E2583" t="s">
        <v>3840</v>
      </c>
      <c r="F2583" t="s">
        <v>3841</v>
      </c>
      <c r="G2583" t="s">
        <v>3842</v>
      </c>
      <c r="H2583" t="str">
        <f t="shared" si="684"/>
        <v>048314</v>
      </c>
      <c r="I2583" t="s">
        <v>833</v>
      </c>
      <c r="J2583" t="str">
        <f t="shared" si="691"/>
        <v>2015-07-01 00:00:00.0</v>
      </c>
      <c r="K2583" t="s">
        <v>834</v>
      </c>
      <c r="L2583" t="s">
        <v>0</v>
      </c>
      <c r="M2583" t="str">
        <f t="shared" si="693"/>
        <v>048314</v>
      </c>
      <c r="N2583">
        <v>1</v>
      </c>
      <c r="O2583">
        <v>1</v>
      </c>
      <c r="P2583" t="str">
        <f>"06"</f>
        <v>06</v>
      </c>
      <c r="Q2583" t="s">
        <v>835</v>
      </c>
      <c r="S2583" t="s">
        <v>836</v>
      </c>
      <c r="T2583" t="s">
        <v>836</v>
      </c>
      <c r="U2583" t="str">
        <f t="shared" si="692"/>
        <v>2500-12-31 00:00:00.0</v>
      </c>
      <c r="V2583" t="s">
        <v>837</v>
      </c>
      <c r="W2583" t="str">
        <f>"048314-070417-**-**"</f>
        <v>048314-070417-**-**</v>
      </c>
      <c r="X2583" t="s">
        <v>838</v>
      </c>
      <c r="Y2583">
        <v>1125</v>
      </c>
      <c r="Z2583">
        <v>1125</v>
      </c>
      <c r="AA2583" t="str">
        <f t="shared" si="688"/>
        <v>06/08/2016</v>
      </c>
    </row>
    <row r="2584" spans="1:27" x14ac:dyDescent="0.3">
      <c r="A2584" t="str">
        <f t="shared" si="689"/>
        <v>048314</v>
      </c>
      <c r="B2584" t="str">
        <f t="shared" si="680"/>
        <v>070417</v>
      </c>
      <c r="C2584" t="s">
        <v>2176</v>
      </c>
      <c r="D2584" t="s">
        <v>3839</v>
      </c>
      <c r="E2584" t="s">
        <v>3840</v>
      </c>
      <c r="F2584" t="s">
        <v>3841</v>
      </c>
      <c r="G2584" t="s">
        <v>3842</v>
      </c>
      <c r="H2584" t="str">
        <f t="shared" si="684"/>
        <v>048314</v>
      </c>
      <c r="I2584" t="s">
        <v>833</v>
      </c>
      <c r="J2584" t="str">
        <f t="shared" si="691"/>
        <v>2015-07-01 00:00:00.0</v>
      </c>
      <c r="K2584" t="s">
        <v>834</v>
      </c>
      <c r="L2584" t="s">
        <v>0</v>
      </c>
      <c r="M2584" t="str">
        <f t="shared" si="693"/>
        <v>048314</v>
      </c>
      <c r="N2584">
        <v>0.440415</v>
      </c>
      <c r="O2584">
        <v>0.440415</v>
      </c>
      <c r="P2584" t="str">
        <f>"09"</f>
        <v>09</v>
      </c>
      <c r="Q2584" t="s">
        <v>835</v>
      </c>
      <c r="S2584" t="s">
        <v>836</v>
      </c>
      <c r="T2584" t="s">
        <v>836</v>
      </c>
      <c r="U2584" t="str">
        <f>"2016-01-03 00:00:00.0"</f>
        <v>2016-01-03 00:00:00.0</v>
      </c>
      <c r="V2584" t="s">
        <v>837</v>
      </c>
      <c r="W2584" t="str">
        <f>"048314-004796-**-**"</f>
        <v>048314-004796-**-**</v>
      </c>
      <c r="X2584" t="s">
        <v>838</v>
      </c>
      <c r="Y2584">
        <v>552.5</v>
      </c>
      <c r="Z2584">
        <v>1254.5</v>
      </c>
      <c r="AA2584" t="str">
        <f t="shared" si="688"/>
        <v>06/08/2016</v>
      </c>
    </row>
    <row r="2585" spans="1:27" x14ac:dyDescent="0.3">
      <c r="A2585" t="str">
        <f t="shared" si="689"/>
        <v>048314</v>
      </c>
      <c r="B2585" t="str">
        <f t="shared" si="680"/>
        <v>070417</v>
      </c>
      <c r="C2585" t="s">
        <v>2176</v>
      </c>
      <c r="D2585" t="s">
        <v>3839</v>
      </c>
      <c r="E2585" t="s">
        <v>3840</v>
      </c>
      <c r="F2585" t="s">
        <v>3841</v>
      </c>
      <c r="G2585" t="s">
        <v>3842</v>
      </c>
      <c r="H2585" t="str">
        <f t="shared" si="684"/>
        <v>048314</v>
      </c>
      <c r="I2585" t="s">
        <v>833</v>
      </c>
      <c r="J2585" t="str">
        <f>"2016-01-04 00:00:00.0"</f>
        <v>2016-01-04 00:00:00.0</v>
      </c>
      <c r="K2585" t="s">
        <v>834</v>
      </c>
      <c r="L2585" t="s">
        <v>0</v>
      </c>
      <c r="M2585" t="str">
        <f t="shared" si="693"/>
        <v>048314</v>
      </c>
      <c r="N2585">
        <v>0.559585</v>
      </c>
      <c r="O2585">
        <v>0.559585</v>
      </c>
      <c r="P2585" t="str">
        <f>"09"</f>
        <v>09</v>
      </c>
      <c r="Q2585" t="s">
        <v>835</v>
      </c>
      <c r="S2585" t="s">
        <v>836</v>
      </c>
      <c r="T2585" t="s">
        <v>836</v>
      </c>
      <c r="U2585" t="str">
        <f t="shared" ref="U2585:U2591" si="694">"2500-12-31 00:00:00.0"</f>
        <v>2500-12-31 00:00:00.0</v>
      </c>
      <c r="V2585" t="s">
        <v>837</v>
      </c>
      <c r="W2585" t="str">
        <f>"048314-004796-**-**"</f>
        <v>048314-004796-**-**</v>
      </c>
      <c r="X2585" t="s">
        <v>838</v>
      </c>
      <c r="Y2585">
        <v>702</v>
      </c>
      <c r="Z2585">
        <v>1254.5</v>
      </c>
      <c r="AA2585" t="str">
        <f t="shared" si="688"/>
        <v>06/08/2016</v>
      </c>
    </row>
    <row r="2586" spans="1:27" x14ac:dyDescent="0.3">
      <c r="A2586" t="str">
        <f t="shared" si="689"/>
        <v>048314</v>
      </c>
      <c r="B2586" t="str">
        <f t="shared" si="680"/>
        <v>070417</v>
      </c>
      <c r="C2586" t="s">
        <v>1881</v>
      </c>
      <c r="D2586" t="s">
        <v>3839</v>
      </c>
      <c r="E2586" t="s">
        <v>3840</v>
      </c>
      <c r="F2586" t="s">
        <v>3841</v>
      </c>
      <c r="G2586" t="s">
        <v>3842</v>
      </c>
      <c r="H2586" t="str">
        <f t="shared" si="684"/>
        <v>048314</v>
      </c>
      <c r="I2586" t="s">
        <v>833</v>
      </c>
      <c r="J2586" t="str">
        <f t="shared" ref="J2586:J2592" si="695">"2015-07-01 00:00:00.0"</f>
        <v>2015-07-01 00:00:00.0</v>
      </c>
      <c r="K2586" t="s">
        <v>834</v>
      </c>
      <c r="L2586" t="s">
        <v>0</v>
      </c>
      <c r="M2586" t="str">
        <f t="shared" si="693"/>
        <v>048314</v>
      </c>
      <c r="N2586">
        <v>1</v>
      </c>
      <c r="O2586">
        <v>1</v>
      </c>
      <c r="P2586" t="str">
        <f>"09"</f>
        <v>09</v>
      </c>
      <c r="Q2586" t="s">
        <v>835</v>
      </c>
      <c r="S2586" t="s">
        <v>836</v>
      </c>
      <c r="T2586" t="s">
        <v>836</v>
      </c>
      <c r="U2586" t="str">
        <f t="shared" si="694"/>
        <v>2500-12-31 00:00:00.0</v>
      </c>
      <c r="V2586" t="s">
        <v>837</v>
      </c>
      <c r="W2586" t="str">
        <f>"048314-004796-**-**"</f>
        <v>048314-004796-**-**</v>
      </c>
      <c r="X2586" t="s">
        <v>838</v>
      </c>
      <c r="Y2586">
        <v>1254.5</v>
      </c>
      <c r="Z2586">
        <v>1254.5</v>
      </c>
      <c r="AA2586" t="str">
        <f t="shared" si="688"/>
        <v>06/08/2016</v>
      </c>
    </row>
    <row r="2587" spans="1:27" x14ac:dyDescent="0.3">
      <c r="A2587" t="str">
        <f t="shared" si="689"/>
        <v>048314</v>
      </c>
      <c r="B2587" t="str">
        <f t="shared" si="680"/>
        <v>070417</v>
      </c>
      <c r="C2587" t="s">
        <v>2121</v>
      </c>
      <c r="D2587" t="s">
        <v>3839</v>
      </c>
      <c r="E2587" t="s">
        <v>3840</v>
      </c>
      <c r="F2587" t="s">
        <v>3841</v>
      </c>
      <c r="G2587" t="s">
        <v>3842</v>
      </c>
      <c r="H2587" t="str">
        <f t="shared" si="684"/>
        <v>048314</v>
      </c>
      <c r="I2587" t="s">
        <v>833</v>
      </c>
      <c r="J2587" t="str">
        <f t="shared" si="695"/>
        <v>2015-07-01 00:00:00.0</v>
      </c>
      <c r="K2587" t="s">
        <v>834</v>
      </c>
      <c r="L2587" t="s">
        <v>0</v>
      </c>
      <c r="M2587" t="str">
        <f t="shared" si="693"/>
        <v>048314</v>
      </c>
      <c r="N2587">
        <v>1</v>
      </c>
      <c r="O2587">
        <v>1</v>
      </c>
      <c r="P2587" t="str">
        <f>"07"</f>
        <v>07</v>
      </c>
      <c r="Q2587" t="s">
        <v>835</v>
      </c>
      <c r="S2587" t="s">
        <v>836</v>
      </c>
      <c r="T2587" t="s">
        <v>836</v>
      </c>
      <c r="U2587" t="str">
        <f t="shared" si="694"/>
        <v>2500-12-31 00:00:00.0</v>
      </c>
      <c r="V2587" t="s">
        <v>837</v>
      </c>
      <c r="W2587" t="str">
        <f>"048314-070417-**-**"</f>
        <v>048314-070417-**-**</v>
      </c>
      <c r="X2587" t="s">
        <v>838</v>
      </c>
      <c r="Y2587">
        <v>1125</v>
      </c>
      <c r="Z2587">
        <v>1125</v>
      </c>
      <c r="AA2587" t="str">
        <f t="shared" si="688"/>
        <v>06/08/2016</v>
      </c>
    </row>
    <row r="2588" spans="1:27" x14ac:dyDescent="0.3">
      <c r="A2588" t="str">
        <f t="shared" si="689"/>
        <v>048314</v>
      </c>
      <c r="B2588" t="str">
        <f t="shared" si="680"/>
        <v>070417</v>
      </c>
      <c r="C2588" t="s">
        <v>2267</v>
      </c>
      <c r="D2588" t="s">
        <v>3839</v>
      </c>
      <c r="E2588" t="s">
        <v>3840</v>
      </c>
      <c r="F2588" t="s">
        <v>3841</v>
      </c>
      <c r="G2588" t="s">
        <v>3842</v>
      </c>
      <c r="H2588" t="str">
        <f t="shared" si="684"/>
        <v>048314</v>
      </c>
      <c r="I2588" t="s">
        <v>833</v>
      </c>
      <c r="J2588" t="str">
        <f t="shared" si="695"/>
        <v>2015-07-01 00:00:00.0</v>
      </c>
      <c r="K2588" t="s">
        <v>834</v>
      </c>
      <c r="L2588" t="s">
        <v>0</v>
      </c>
      <c r="M2588" t="str">
        <f t="shared" si="693"/>
        <v>048314</v>
      </c>
      <c r="N2588">
        <v>1</v>
      </c>
      <c r="O2588">
        <v>1</v>
      </c>
      <c r="P2588" t="str">
        <f>"09"</f>
        <v>09</v>
      </c>
      <c r="Q2588" t="s">
        <v>835</v>
      </c>
      <c r="S2588" t="s">
        <v>836</v>
      </c>
      <c r="T2588" t="s">
        <v>836</v>
      </c>
      <c r="U2588" t="str">
        <f t="shared" si="694"/>
        <v>2500-12-31 00:00:00.0</v>
      </c>
      <c r="V2588" t="s">
        <v>837</v>
      </c>
      <c r="W2588" t="str">
        <f>"048314-004796-**-**"</f>
        <v>048314-004796-**-**</v>
      </c>
      <c r="X2588" t="s">
        <v>838</v>
      </c>
      <c r="Y2588">
        <v>1254.5</v>
      </c>
      <c r="Z2588">
        <v>1254.5</v>
      </c>
      <c r="AA2588" t="str">
        <f t="shared" si="688"/>
        <v>06/08/2016</v>
      </c>
    </row>
    <row r="2589" spans="1:27" x14ac:dyDescent="0.3">
      <c r="A2589" t="str">
        <f t="shared" si="689"/>
        <v>048314</v>
      </c>
      <c r="B2589" t="str">
        <f t="shared" si="680"/>
        <v>070417</v>
      </c>
      <c r="C2589" t="s">
        <v>2431</v>
      </c>
      <c r="D2589" t="s">
        <v>3839</v>
      </c>
      <c r="E2589" t="s">
        <v>3840</v>
      </c>
      <c r="F2589" t="s">
        <v>3841</v>
      </c>
      <c r="G2589" t="s">
        <v>3842</v>
      </c>
      <c r="H2589" t="str">
        <f>"048397"</f>
        <v>048397</v>
      </c>
      <c r="I2589" t="s">
        <v>833</v>
      </c>
      <c r="J2589" t="str">
        <f t="shared" si="695"/>
        <v>2015-07-01 00:00:00.0</v>
      </c>
      <c r="K2589" t="s">
        <v>834</v>
      </c>
      <c r="L2589" t="s">
        <v>1</v>
      </c>
      <c r="M2589" t="str">
        <f t="shared" si="693"/>
        <v>048314</v>
      </c>
      <c r="N2589">
        <v>1</v>
      </c>
      <c r="O2589">
        <v>1</v>
      </c>
      <c r="P2589" t="str">
        <f>"07"</f>
        <v>07</v>
      </c>
      <c r="Q2589" t="s">
        <v>835</v>
      </c>
      <c r="S2589" t="s">
        <v>836</v>
      </c>
      <c r="T2589" t="s">
        <v>836</v>
      </c>
      <c r="U2589" t="str">
        <f t="shared" si="694"/>
        <v>2500-12-31 00:00:00.0</v>
      </c>
      <c r="V2589" t="s">
        <v>837</v>
      </c>
      <c r="W2589" t="str">
        <f>"048397-002444-**-**"</f>
        <v>048397-002444-**-**</v>
      </c>
      <c r="X2589" t="s">
        <v>838</v>
      </c>
      <c r="Y2589">
        <v>1113.0999999999999</v>
      </c>
      <c r="Z2589">
        <v>1113.0999999999999</v>
      </c>
      <c r="AA2589" t="str">
        <f t="shared" si="688"/>
        <v>06/08/2016</v>
      </c>
    </row>
    <row r="2590" spans="1:27" x14ac:dyDescent="0.3">
      <c r="A2590" t="str">
        <f t="shared" si="689"/>
        <v>048314</v>
      </c>
      <c r="B2590" t="str">
        <f t="shared" si="680"/>
        <v>070417</v>
      </c>
      <c r="C2590" t="s">
        <v>2065</v>
      </c>
      <c r="D2590" t="s">
        <v>3839</v>
      </c>
      <c r="E2590" t="s">
        <v>3840</v>
      </c>
      <c r="F2590" t="s">
        <v>3841</v>
      </c>
      <c r="G2590" t="s">
        <v>3842</v>
      </c>
      <c r="H2590" t="str">
        <f>"048314"</f>
        <v>048314</v>
      </c>
      <c r="I2590" t="s">
        <v>833</v>
      </c>
      <c r="J2590" t="str">
        <f t="shared" si="695"/>
        <v>2015-07-01 00:00:00.0</v>
      </c>
      <c r="K2590" t="s">
        <v>834</v>
      </c>
      <c r="L2590" t="s">
        <v>0</v>
      </c>
      <c r="M2590" t="str">
        <f t="shared" si="693"/>
        <v>048314</v>
      </c>
      <c r="N2590">
        <v>1</v>
      </c>
      <c r="O2590">
        <v>1</v>
      </c>
      <c r="P2590" t="str">
        <f>"09"</f>
        <v>09</v>
      </c>
      <c r="Q2590" t="s">
        <v>835</v>
      </c>
      <c r="S2590" t="s">
        <v>836</v>
      </c>
      <c r="T2590" t="s">
        <v>836</v>
      </c>
      <c r="U2590" t="str">
        <f t="shared" si="694"/>
        <v>2500-12-31 00:00:00.0</v>
      </c>
      <c r="V2590" t="s">
        <v>837</v>
      </c>
      <c r="W2590" t="str">
        <f>"048314-004796-**-**"</f>
        <v>048314-004796-**-**</v>
      </c>
      <c r="X2590" t="s">
        <v>838</v>
      </c>
      <c r="Y2590">
        <v>1254.5</v>
      </c>
      <c r="Z2590">
        <v>1254.5</v>
      </c>
      <c r="AA2590" t="str">
        <f t="shared" si="688"/>
        <v>06/08/2016</v>
      </c>
    </row>
    <row r="2591" spans="1:27" x14ac:dyDescent="0.3">
      <c r="A2591" t="str">
        <f t="shared" si="689"/>
        <v>048314</v>
      </c>
      <c r="B2591" t="str">
        <f t="shared" si="680"/>
        <v>070417</v>
      </c>
      <c r="C2591" t="s">
        <v>1948</v>
      </c>
      <c r="D2591" t="s">
        <v>3839</v>
      </c>
      <c r="E2591" t="s">
        <v>3840</v>
      </c>
      <c r="F2591" t="s">
        <v>3841</v>
      </c>
      <c r="G2591" t="s">
        <v>3842</v>
      </c>
      <c r="H2591" t="str">
        <f>"048314"</f>
        <v>048314</v>
      </c>
      <c r="I2591" t="s">
        <v>833</v>
      </c>
      <c r="J2591" t="str">
        <f t="shared" si="695"/>
        <v>2015-07-01 00:00:00.0</v>
      </c>
      <c r="K2591" t="s">
        <v>834</v>
      </c>
      <c r="L2591" t="s">
        <v>0</v>
      </c>
      <c r="M2591" t="str">
        <f t="shared" si="693"/>
        <v>048314</v>
      </c>
      <c r="N2591">
        <v>1</v>
      </c>
      <c r="O2591">
        <v>1</v>
      </c>
      <c r="P2591" t="str">
        <f>"09"</f>
        <v>09</v>
      </c>
      <c r="Q2591" t="s">
        <v>835</v>
      </c>
      <c r="S2591" t="s">
        <v>836</v>
      </c>
      <c r="T2591" t="s">
        <v>836</v>
      </c>
      <c r="U2591" t="str">
        <f t="shared" si="694"/>
        <v>2500-12-31 00:00:00.0</v>
      </c>
      <c r="V2591" t="s">
        <v>837</v>
      </c>
      <c r="W2591" t="str">
        <f>"048314-004796-**-**"</f>
        <v>048314-004796-**-**</v>
      </c>
      <c r="X2591" t="s">
        <v>838</v>
      </c>
      <c r="Y2591">
        <v>1254.5</v>
      </c>
      <c r="Z2591">
        <v>1254.5</v>
      </c>
      <c r="AA2591" t="str">
        <f t="shared" si="688"/>
        <v>06/08/2016</v>
      </c>
    </row>
    <row r="2592" spans="1:27" x14ac:dyDescent="0.3">
      <c r="A2592" t="str">
        <f t="shared" si="689"/>
        <v>048314</v>
      </c>
      <c r="B2592" t="str">
        <f t="shared" si="680"/>
        <v>070417</v>
      </c>
      <c r="C2592" t="s">
        <v>1949</v>
      </c>
      <c r="D2592" t="s">
        <v>3839</v>
      </c>
      <c r="E2592" t="s">
        <v>3840</v>
      </c>
      <c r="F2592" t="s">
        <v>3841</v>
      </c>
      <c r="G2592" t="s">
        <v>3842</v>
      </c>
      <c r="H2592" t="str">
        <f>"048314"</f>
        <v>048314</v>
      </c>
      <c r="I2592" t="s">
        <v>833</v>
      </c>
      <c r="J2592" t="str">
        <f t="shared" si="695"/>
        <v>2015-07-01 00:00:00.0</v>
      </c>
      <c r="K2592" t="s">
        <v>834</v>
      </c>
      <c r="L2592" t="s">
        <v>0</v>
      </c>
      <c r="M2592" t="str">
        <f t="shared" si="693"/>
        <v>048314</v>
      </c>
      <c r="N2592">
        <v>4.1451000000000002E-2</v>
      </c>
      <c r="O2592">
        <v>4.1451000000000002E-2</v>
      </c>
      <c r="P2592" t="str">
        <f>"09"</f>
        <v>09</v>
      </c>
      <c r="Q2592" t="s">
        <v>835</v>
      </c>
      <c r="S2592" t="s">
        <v>860</v>
      </c>
      <c r="T2592" t="s">
        <v>836</v>
      </c>
      <c r="U2592" t="str">
        <f>"2015-09-10 00:00:00.0"</f>
        <v>2015-09-10 00:00:00.0</v>
      </c>
      <c r="V2592" t="s">
        <v>837</v>
      </c>
      <c r="W2592" t="str">
        <f>"048314-004796-**-**"</f>
        <v>048314-004796-**-**</v>
      </c>
      <c r="X2592" t="s">
        <v>838</v>
      </c>
      <c r="Y2592">
        <v>52</v>
      </c>
      <c r="Z2592">
        <v>1254.5</v>
      </c>
      <c r="AA2592" t="str">
        <f t="shared" si="688"/>
        <v>06/08/2016</v>
      </c>
    </row>
    <row r="2593" spans="1:27" x14ac:dyDescent="0.3">
      <c r="A2593" t="str">
        <f t="shared" si="689"/>
        <v>048314</v>
      </c>
      <c r="B2593" t="str">
        <f t="shared" si="680"/>
        <v>070417</v>
      </c>
      <c r="C2593" t="s">
        <v>1949</v>
      </c>
      <c r="D2593" t="s">
        <v>3839</v>
      </c>
      <c r="E2593" t="s">
        <v>3840</v>
      </c>
      <c r="F2593" t="s">
        <v>3841</v>
      </c>
      <c r="G2593" t="s">
        <v>3842</v>
      </c>
      <c r="H2593" t="str">
        <f>"133413"</f>
        <v>133413</v>
      </c>
      <c r="I2593" t="s">
        <v>833</v>
      </c>
      <c r="J2593" t="str">
        <f>"2015-09-11 00:00:00.0"</f>
        <v>2015-09-11 00:00:00.0</v>
      </c>
      <c r="K2593" t="s">
        <v>834</v>
      </c>
      <c r="L2593" t="s">
        <v>2</v>
      </c>
      <c r="M2593" t="str">
        <f t="shared" si="693"/>
        <v>048314</v>
      </c>
      <c r="N2593">
        <v>0.92817700000000003</v>
      </c>
      <c r="O2593">
        <v>0.92817700000000003</v>
      </c>
      <c r="P2593" t="str">
        <f>"09"</f>
        <v>09</v>
      </c>
      <c r="Q2593" t="s">
        <v>835</v>
      </c>
      <c r="S2593" t="s">
        <v>836</v>
      </c>
      <c r="T2593" t="s">
        <v>836</v>
      </c>
      <c r="U2593" t="str">
        <f t="shared" ref="U2593:U2609" si="696">"2500-12-31 00:00:00.0"</f>
        <v>2500-12-31 00:00:00.0</v>
      </c>
      <c r="V2593" t="s">
        <v>837</v>
      </c>
      <c r="W2593" t="str">
        <f>"133413-133413-09-**"</f>
        <v>133413-133413-09-**</v>
      </c>
      <c r="X2593" t="s">
        <v>865</v>
      </c>
      <c r="Y2593">
        <v>855.12</v>
      </c>
      <c r="Z2593">
        <v>921.29</v>
      </c>
      <c r="AA2593" t="str">
        <f>"05/25/2016"</f>
        <v>05/25/2016</v>
      </c>
    </row>
    <row r="2594" spans="1:27" x14ac:dyDescent="0.3">
      <c r="A2594" t="str">
        <f t="shared" si="689"/>
        <v>048314</v>
      </c>
      <c r="B2594" t="str">
        <f t="shared" si="680"/>
        <v>070417</v>
      </c>
      <c r="C2594" t="s">
        <v>2523</v>
      </c>
      <c r="D2594" t="s">
        <v>3839</v>
      </c>
      <c r="E2594" t="s">
        <v>3840</v>
      </c>
      <c r="F2594" t="s">
        <v>3841</v>
      </c>
      <c r="G2594" t="s">
        <v>3842</v>
      </c>
      <c r="H2594" t="str">
        <f t="shared" ref="H2594:H2637" si="697">"048314"</f>
        <v>048314</v>
      </c>
      <c r="I2594" t="s">
        <v>833</v>
      </c>
      <c r="J2594" t="str">
        <f t="shared" ref="J2594:J2610" si="698">"2015-07-01 00:00:00.0"</f>
        <v>2015-07-01 00:00:00.0</v>
      </c>
      <c r="K2594" t="s">
        <v>834</v>
      </c>
      <c r="L2594" t="s">
        <v>0</v>
      </c>
      <c r="M2594" t="str">
        <f t="shared" si="693"/>
        <v>048314</v>
      </c>
      <c r="N2594">
        <v>1</v>
      </c>
      <c r="O2594">
        <v>1</v>
      </c>
      <c r="P2594" t="str">
        <f>"06"</f>
        <v>06</v>
      </c>
      <c r="Q2594" t="s">
        <v>835</v>
      </c>
      <c r="S2594" t="s">
        <v>836</v>
      </c>
      <c r="T2594" t="s">
        <v>836</v>
      </c>
      <c r="U2594" t="str">
        <f t="shared" si="696"/>
        <v>2500-12-31 00:00:00.0</v>
      </c>
      <c r="V2594" t="s">
        <v>837</v>
      </c>
      <c r="W2594" t="str">
        <f>"048314-070417-**-**"</f>
        <v>048314-070417-**-**</v>
      </c>
      <c r="X2594" t="s">
        <v>838</v>
      </c>
      <c r="Y2594">
        <v>1125</v>
      </c>
      <c r="Z2594">
        <v>1125</v>
      </c>
      <c r="AA2594" t="str">
        <f t="shared" ref="AA2594:AA2637" si="699">"06/08/2016"</f>
        <v>06/08/2016</v>
      </c>
    </row>
    <row r="2595" spans="1:27" x14ac:dyDescent="0.3">
      <c r="A2595" t="str">
        <f t="shared" si="689"/>
        <v>048314</v>
      </c>
      <c r="B2595" t="str">
        <f t="shared" si="680"/>
        <v>070417</v>
      </c>
      <c r="C2595" t="s">
        <v>1950</v>
      </c>
      <c r="D2595" t="s">
        <v>3839</v>
      </c>
      <c r="E2595" t="s">
        <v>3840</v>
      </c>
      <c r="F2595" t="s">
        <v>3841</v>
      </c>
      <c r="G2595" t="s">
        <v>3842</v>
      </c>
      <c r="H2595" t="str">
        <f t="shared" si="697"/>
        <v>048314</v>
      </c>
      <c r="I2595" t="s">
        <v>833</v>
      </c>
      <c r="J2595" t="str">
        <f t="shared" si="698"/>
        <v>2015-07-01 00:00:00.0</v>
      </c>
      <c r="K2595" t="s">
        <v>834</v>
      </c>
      <c r="L2595" t="s">
        <v>0</v>
      </c>
      <c r="M2595" t="str">
        <f t="shared" si="693"/>
        <v>048314</v>
      </c>
      <c r="N2595">
        <v>1</v>
      </c>
      <c r="O2595">
        <v>1</v>
      </c>
      <c r="P2595" t="str">
        <f>"09"</f>
        <v>09</v>
      </c>
      <c r="Q2595" t="s">
        <v>835</v>
      </c>
      <c r="S2595" t="s">
        <v>836</v>
      </c>
      <c r="T2595" t="s">
        <v>836</v>
      </c>
      <c r="U2595" t="str">
        <f t="shared" si="696"/>
        <v>2500-12-31 00:00:00.0</v>
      </c>
      <c r="V2595" t="s">
        <v>837</v>
      </c>
      <c r="W2595" t="str">
        <f>"048314-004796-**-**"</f>
        <v>048314-004796-**-**</v>
      </c>
      <c r="X2595" t="s">
        <v>838</v>
      </c>
      <c r="Y2595">
        <v>1254.5</v>
      </c>
      <c r="Z2595">
        <v>1254.5</v>
      </c>
      <c r="AA2595" t="str">
        <f t="shared" si="699"/>
        <v>06/08/2016</v>
      </c>
    </row>
    <row r="2596" spans="1:27" x14ac:dyDescent="0.3">
      <c r="A2596" t="str">
        <f t="shared" si="689"/>
        <v>048314</v>
      </c>
      <c r="B2596" t="str">
        <f t="shared" ref="B2596:B2659" si="700">"070417"</f>
        <v>070417</v>
      </c>
      <c r="C2596" t="s">
        <v>2122</v>
      </c>
      <c r="D2596" t="s">
        <v>3839</v>
      </c>
      <c r="E2596" t="s">
        <v>3840</v>
      </c>
      <c r="F2596" t="s">
        <v>3841</v>
      </c>
      <c r="G2596" t="s">
        <v>3842</v>
      </c>
      <c r="H2596" t="str">
        <f t="shared" si="697"/>
        <v>048314</v>
      </c>
      <c r="I2596" t="s">
        <v>833</v>
      </c>
      <c r="J2596" t="str">
        <f t="shared" si="698"/>
        <v>2015-07-01 00:00:00.0</v>
      </c>
      <c r="K2596" t="s">
        <v>834</v>
      </c>
      <c r="L2596" t="s">
        <v>0</v>
      </c>
      <c r="M2596" t="str">
        <f t="shared" si="693"/>
        <v>048314</v>
      </c>
      <c r="N2596">
        <v>1</v>
      </c>
      <c r="O2596">
        <v>1</v>
      </c>
      <c r="P2596" t="str">
        <f>"08"</f>
        <v>08</v>
      </c>
      <c r="Q2596" t="str">
        <f>"10"</f>
        <v>10</v>
      </c>
      <c r="R2596" t="str">
        <f>"2"</f>
        <v>2</v>
      </c>
      <c r="S2596" t="s">
        <v>836</v>
      </c>
      <c r="T2596" t="s">
        <v>836</v>
      </c>
      <c r="U2596" t="str">
        <f t="shared" si="696"/>
        <v>2500-12-31 00:00:00.0</v>
      </c>
      <c r="V2596" t="s">
        <v>837</v>
      </c>
      <c r="W2596" t="str">
        <f>"048314-070417-**-**"</f>
        <v>048314-070417-**-**</v>
      </c>
      <c r="X2596" t="s">
        <v>838</v>
      </c>
      <c r="Y2596">
        <v>1125</v>
      </c>
      <c r="Z2596">
        <v>1125</v>
      </c>
      <c r="AA2596" t="str">
        <f t="shared" si="699"/>
        <v>06/08/2016</v>
      </c>
    </row>
    <row r="2597" spans="1:27" x14ac:dyDescent="0.3">
      <c r="A2597" t="str">
        <f t="shared" si="689"/>
        <v>048314</v>
      </c>
      <c r="B2597" t="str">
        <f t="shared" si="700"/>
        <v>070417</v>
      </c>
      <c r="C2597" t="s">
        <v>2177</v>
      </c>
      <c r="D2597" t="s">
        <v>3839</v>
      </c>
      <c r="E2597" t="s">
        <v>3840</v>
      </c>
      <c r="F2597" t="s">
        <v>3841</v>
      </c>
      <c r="G2597" t="s">
        <v>3842</v>
      </c>
      <c r="H2597" t="str">
        <f t="shared" si="697"/>
        <v>048314</v>
      </c>
      <c r="I2597" t="s">
        <v>833</v>
      </c>
      <c r="J2597" t="str">
        <f t="shared" si="698"/>
        <v>2015-07-01 00:00:00.0</v>
      </c>
      <c r="K2597" t="s">
        <v>834</v>
      </c>
      <c r="L2597" t="s">
        <v>0</v>
      </c>
      <c r="M2597" t="str">
        <f t="shared" si="693"/>
        <v>048314</v>
      </c>
      <c r="N2597">
        <v>1</v>
      </c>
      <c r="O2597">
        <v>1</v>
      </c>
      <c r="P2597" t="str">
        <f>"09"</f>
        <v>09</v>
      </c>
      <c r="Q2597" t="s">
        <v>835</v>
      </c>
      <c r="S2597" t="s">
        <v>836</v>
      </c>
      <c r="T2597" t="s">
        <v>836</v>
      </c>
      <c r="U2597" t="str">
        <f t="shared" si="696"/>
        <v>2500-12-31 00:00:00.0</v>
      </c>
      <c r="V2597" t="s">
        <v>837</v>
      </c>
      <c r="W2597" t="str">
        <f>"048314-004796-**-**"</f>
        <v>048314-004796-**-**</v>
      </c>
      <c r="X2597" t="s">
        <v>838</v>
      </c>
      <c r="Y2597">
        <v>1254.5</v>
      </c>
      <c r="Z2597">
        <v>1254.5</v>
      </c>
      <c r="AA2597" t="str">
        <f t="shared" si="699"/>
        <v>06/08/2016</v>
      </c>
    </row>
    <row r="2598" spans="1:27" x14ac:dyDescent="0.3">
      <c r="A2598" t="str">
        <f t="shared" si="689"/>
        <v>048314</v>
      </c>
      <c r="B2598" t="str">
        <f t="shared" si="700"/>
        <v>070417</v>
      </c>
      <c r="C2598" t="s">
        <v>2686</v>
      </c>
      <c r="D2598" t="s">
        <v>3839</v>
      </c>
      <c r="E2598" t="s">
        <v>3840</v>
      </c>
      <c r="F2598" t="s">
        <v>3841</v>
      </c>
      <c r="G2598" t="s">
        <v>3842</v>
      </c>
      <c r="H2598" t="str">
        <f t="shared" si="697"/>
        <v>048314</v>
      </c>
      <c r="I2598" t="s">
        <v>833</v>
      </c>
      <c r="J2598" t="str">
        <f t="shared" si="698"/>
        <v>2015-07-01 00:00:00.0</v>
      </c>
      <c r="K2598" t="s">
        <v>834</v>
      </c>
      <c r="L2598" t="s">
        <v>0</v>
      </c>
      <c r="M2598" t="str">
        <f t="shared" si="693"/>
        <v>048314</v>
      </c>
      <c r="N2598">
        <v>1</v>
      </c>
      <c r="O2598">
        <v>1</v>
      </c>
      <c r="P2598" t="str">
        <f>"06"</f>
        <v>06</v>
      </c>
      <c r="Q2598" t="s">
        <v>835</v>
      </c>
      <c r="S2598" t="s">
        <v>836</v>
      </c>
      <c r="T2598" t="s">
        <v>836</v>
      </c>
      <c r="U2598" t="str">
        <f t="shared" si="696"/>
        <v>2500-12-31 00:00:00.0</v>
      </c>
      <c r="V2598" t="s">
        <v>837</v>
      </c>
      <c r="W2598" t="str">
        <f>"048314-070417-**-**"</f>
        <v>048314-070417-**-**</v>
      </c>
      <c r="X2598" t="s">
        <v>838</v>
      </c>
      <c r="Y2598">
        <v>1125</v>
      </c>
      <c r="Z2598">
        <v>1125</v>
      </c>
      <c r="AA2598" t="str">
        <f t="shared" si="699"/>
        <v>06/08/2016</v>
      </c>
    </row>
    <row r="2599" spans="1:27" x14ac:dyDescent="0.3">
      <c r="A2599" t="str">
        <f t="shared" si="689"/>
        <v>048314</v>
      </c>
      <c r="B2599" t="str">
        <f t="shared" si="700"/>
        <v>070417</v>
      </c>
      <c r="C2599" t="s">
        <v>2386</v>
      </c>
      <c r="D2599" t="s">
        <v>3839</v>
      </c>
      <c r="E2599" t="s">
        <v>3840</v>
      </c>
      <c r="F2599" t="s">
        <v>3841</v>
      </c>
      <c r="G2599" t="s">
        <v>3842</v>
      </c>
      <c r="H2599" t="str">
        <f t="shared" si="697"/>
        <v>048314</v>
      </c>
      <c r="I2599" t="s">
        <v>833</v>
      </c>
      <c r="J2599" t="str">
        <f t="shared" si="698"/>
        <v>2015-07-01 00:00:00.0</v>
      </c>
      <c r="K2599" t="s">
        <v>834</v>
      </c>
      <c r="L2599" t="s">
        <v>0</v>
      </c>
      <c r="M2599" t="str">
        <f t="shared" si="693"/>
        <v>048314</v>
      </c>
      <c r="N2599">
        <v>1</v>
      </c>
      <c r="O2599">
        <v>1</v>
      </c>
      <c r="P2599" t="str">
        <f>"07"</f>
        <v>07</v>
      </c>
      <c r="Q2599" t="s">
        <v>835</v>
      </c>
      <c r="S2599" t="s">
        <v>836</v>
      </c>
      <c r="T2599" t="s">
        <v>836</v>
      </c>
      <c r="U2599" t="str">
        <f t="shared" si="696"/>
        <v>2500-12-31 00:00:00.0</v>
      </c>
      <c r="V2599" t="s">
        <v>837</v>
      </c>
      <c r="W2599" t="str">
        <f>"048314-070417-**-**"</f>
        <v>048314-070417-**-**</v>
      </c>
      <c r="X2599" t="s">
        <v>838</v>
      </c>
      <c r="Y2599">
        <v>1125</v>
      </c>
      <c r="Z2599">
        <v>1125</v>
      </c>
      <c r="AA2599" t="str">
        <f t="shared" si="699"/>
        <v>06/08/2016</v>
      </c>
    </row>
    <row r="2600" spans="1:27" x14ac:dyDescent="0.3">
      <c r="A2600" t="str">
        <f t="shared" si="689"/>
        <v>048314</v>
      </c>
      <c r="B2600" t="str">
        <f t="shared" si="700"/>
        <v>070417</v>
      </c>
      <c r="C2600" t="s">
        <v>1468</v>
      </c>
      <c r="D2600" t="s">
        <v>3839</v>
      </c>
      <c r="E2600" t="s">
        <v>3840</v>
      </c>
      <c r="F2600" t="s">
        <v>3841</v>
      </c>
      <c r="G2600" t="s">
        <v>3842</v>
      </c>
      <c r="H2600" t="str">
        <f t="shared" si="697"/>
        <v>048314</v>
      </c>
      <c r="I2600" t="s">
        <v>833</v>
      </c>
      <c r="J2600" t="str">
        <f t="shared" si="698"/>
        <v>2015-07-01 00:00:00.0</v>
      </c>
      <c r="K2600" t="s">
        <v>834</v>
      </c>
      <c r="L2600" t="s">
        <v>0</v>
      </c>
      <c r="M2600" t="str">
        <f t="shared" si="693"/>
        <v>048314</v>
      </c>
      <c r="N2600">
        <v>1</v>
      </c>
      <c r="O2600">
        <v>1</v>
      </c>
      <c r="P2600" t="str">
        <f>"09"</f>
        <v>09</v>
      </c>
      <c r="Q2600" t="s">
        <v>835</v>
      </c>
      <c r="S2600" t="s">
        <v>836</v>
      </c>
      <c r="T2600" t="s">
        <v>836</v>
      </c>
      <c r="U2600" t="str">
        <f t="shared" si="696"/>
        <v>2500-12-31 00:00:00.0</v>
      </c>
      <c r="V2600" t="s">
        <v>837</v>
      </c>
      <c r="W2600" t="str">
        <f>"048314-004796-**-**"</f>
        <v>048314-004796-**-**</v>
      </c>
      <c r="X2600" t="s">
        <v>838</v>
      </c>
      <c r="Y2600">
        <v>1254.5</v>
      </c>
      <c r="Z2600">
        <v>1254.5</v>
      </c>
      <c r="AA2600" t="str">
        <f t="shared" si="699"/>
        <v>06/08/2016</v>
      </c>
    </row>
    <row r="2601" spans="1:27" x14ac:dyDescent="0.3">
      <c r="A2601" t="str">
        <f t="shared" si="689"/>
        <v>048314</v>
      </c>
      <c r="B2601" t="str">
        <f t="shared" si="700"/>
        <v>070417</v>
      </c>
      <c r="C2601" t="s">
        <v>2361</v>
      </c>
      <c r="D2601" t="s">
        <v>3839</v>
      </c>
      <c r="E2601" t="s">
        <v>3840</v>
      </c>
      <c r="F2601" t="s">
        <v>3841</v>
      </c>
      <c r="G2601" t="s">
        <v>3842</v>
      </c>
      <c r="H2601" t="str">
        <f t="shared" si="697"/>
        <v>048314</v>
      </c>
      <c r="I2601" t="s">
        <v>833</v>
      </c>
      <c r="J2601" t="str">
        <f t="shared" si="698"/>
        <v>2015-07-01 00:00:00.0</v>
      </c>
      <c r="K2601" t="s">
        <v>834</v>
      </c>
      <c r="L2601" t="s">
        <v>0</v>
      </c>
      <c r="M2601" t="str">
        <f t="shared" si="693"/>
        <v>048314</v>
      </c>
      <c r="N2601">
        <v>1</v>
      </c>
      <c r="O2601">
        <v>1</v>
      </c>
      <c r="P2601" t="str">
        <f>"07"</f>
        <v>07</v>
      </c>
      <c r="Q2601" t="s">
        <v>835</v>
      </c>
      <c r="S2601" t="s">
        <v>836</v>
      </c>
      <c r="T2601" t="s">
        <v>836</v>
      </c>
      <c r="U2601" t="str">
        <f t="shared" si="696"/>
        <v>2500-12-31 00:00:00.0</v>
      </c>
      <c r="V2601" t="s">
        <v>837</v>
      </c>
      <c r="W2601" t="str">
        <f>"048314-070417-**-**"</f>
        <v>048314-070417-**-**</v>
      </c>
      <c r="X2601" t="s">
        <v>838</v>
      </c>
      <c r="Y2601">
        <v>1125</v>
      </c>
      <c r="Z2601">
        <v>1125</v>
      </c>
      <c r="AA2601" t="str">
        <f t="shared" si="699"/>
        <v>06/08/2016</v>
      </c>
    </row>
    <row r="2602" spans="1:27" x14ac:dyDescent="0.3">
      <c r="A2602" t="str">
        <f t="shared" si="689"/>
        <v>048314</v>
      </c>
      <c r="B2602" t="str">
        <f t="shared" si="700"/>
        <v>070417</v>
      </c>
      <c r="C2602" t="s">
        <v>2432</v>
      </c>
      <c r="D2602" t="s">
        <v>3839</v>
      </c>
      <c r="E2602" t="s">
        <v>3840</v>
      </c>
      <c r="F2602" t="s">
        <v>3841</v>
      </c>
      <c r="G2602" t="s">
        <v>3842</v>
      </c>
      <c r="H2602" t="str">
        <f t="shared" si="697"/>
        <v>048314</v>
      </c>
      <c r="I2602" t="s">
        <v>833</v>
      </c>
      <c r="J2602" t="str">
        <f t="shared" si="698"/>
        <v>2015-07-01 00:00:00.0</v>
      </c>
      <c r="K2602" t="s">
        <v>834</v>
      </c>
      <c r="L2602" t="s">
        <v>0</v>
      </c>
      <c r="M2602" t="str">
        <f t="shared" si="693"/>
        <v>048314</v>
      </c>
      <c r="N2602">
        <v>1</v>
      </c>
      <c r="O2602">
        <v>1</v>
      </c>
      <c r="P2602" t="str">
        <f>"07"</f>
        <v>07</v>
      </c>
      <c r="Q2602" t="s">
        <v>835</v>
      </c>
      <c r="S2602" t="s">
        <v>836</v>
      </c>
      <c r="T2602" t="s">
        <v>836</v>
      </c>
      <c r="U2602" t="str">
        <f t="shared" si="696"/>
        <v>2500-12-31 00:00:00.0</v>
      </c>
      <c r="V2602" t="s">
        <v>837</v>
      </c>
      <c r="W2602" t="str">
        <f>"048314-070417-**-**"</f>
        <v>048314-070417-**-**</v>
      </c>
      <c r="X2602" t="s">
        <v>838</v>
      </c>
      <c r="Y2602">
        <v>1125</v>
      </c>
      <c r="Z2602">
        <v>1125</v>
      </c>
      <c r="AA2602" t="str">
        <f t="shared" si="699"/>
        <v>06/08/2016</v>
      </c>
    </row>
    <row r="2603" spans="1:27" x14ac:dyDescent="0.3">
      <c r="A2603" t="str">
        <f t="shared" si="689"/>
        <v>048314</v>
      </c>
      <c r="B2603" t="str">
        <f t="shared" si="700"/>
        <v>070417</v>
      </c>
      <c r="C2603" t="s">
        <v>2123</v>
      </c>
      <c r="D2603" t="s">
        <v>3839</v>
      </c>
      <c r="E2603" t="s">
        <v>3840</v>
      </c>
      <c r="F2603" t="s">
        <v>3841</v>
      </c>
      <c r="G2603" t="s">
        <v>3842</v>
      </c>
      <c r="H2603" t="str">
        <f t="shared" si="697"/>
        <v>048314</v>
      </c>
      <c r="I2603" t="s">
        <v>833</v>
      </c>
      <c r="J2603" t="str">
        <f t="shared" si="698"/>
        <v>2015-07-01 00:00:00.0</v>
      </c>
      <c r="K2603" t="s">
        <v>834</v>
      </c>
      <c r="L2603" t="s">
        <v>0</v>
      </c>
      <c r="M2603" t="str">
        <f t="shared" si="693"/>
        <v>048314</v>
      </c>
      <c r="N2603">
        <v>1</v>
      </c>
      <c r="O2603">
        <v>1</v>
      </c>
      <c r="P2603" t="str">
        <f>"08"</f>
        <v>08</v>
      </c>
      <c r="Q2603" t="s">
        <v>835</v>
      </c>
      <c r="S2603" t="s">
        <v>836</v>
      </c>
      <c r="T2603" t="s">
        <v>836</v>
      </c>
      <c r="U2603" t="str">
        <f t="shared" si="696"/>
        <v>2500-12-31 00:00:00.0</v>
      </c>
      <c r="V2603" t="s">
        <v>837</v>
      </c>
      <c r="W2603" t="str">
        <f>"048314-070417-**-**"</f>
        <v>048314-070417-**-**</v>
      </c>
      <c r="X2603" t="s">
        <v>838</v>
      </c>
      <c r="Y2603">
        <v>1125</v>
      </c>
      <c r="Z2603">
        <v>1125</v>
      </c>
      <c r="AA2603" t="str">
        <f t="shared" si="699"/>
        <v>06/08/2016</v>
      </c>
    </row>
    <row r="2604" spans="1:27" x14ac:dyDescent="0.3">
      <c r="A2604" t="str">
        <f t="shared" si="689"/>
        <v>048314</v>
      </c>
      <c r="B2604" t="str">
        <f t="shared" si="700"/>
        <v>070417</v>
      </c>
      <c r="C2604" t="s">
        <v>2531</v>
      </c>
      <c r="D2604" t="s">
        <v>3839</v>
      </c>
      <c r="E2604" t="s">
        <v>3840</v>
      </c>
      <c r="F2604" t="s">
        <v>3841</v>
      </c>
      <c r="G2604" t="s">
        <v>3842</v>
      </c>
      <c r="H2604" t="str">
        <f t="shared" si="697"/>
        <v>048314</v>
      </c>
      <c r="I2604" t="s">
        <v>833</v>
      </c>
      <c r="J2604" t="str">
        <f t="shared" si="698"/>
        <v>2015-07-01 00:00:00.0</v>
      </c>
      <c r="K2604" t="s">
        <v>834</v>
      </c>
      <c r="L2604" t="s">
        <v>0</v>
      </c>
      <c r="M2604" t="str">
        <f t="shared" si="693"/>
        <v>048314</v>
      </c>
      <c r="N2604">
        <v>1</v>
      </c>
      <c r="O2604">
        <v>1</v>
      </c>
      <c r="P2604" t="str">
        <f>"07"</f>
        <v>07</v>
      </c>
      <c r="Q2604" t="s">
        <v>835</v>
      </c>
      <c r="S2604" t="s">
        <v>836</v>
      </c>
      <c r="T2604" t="s">
        <v>836</v>
      </c>
      <c r="U2604" t="str">
        <f t="shared" si="696"/>
        <v>2500-12-31 00:00:00.0</v>
      </c>
      <c r="V2604" t="s">
        <v>837</v>
      </c>
      <c r="W2604" t="str">
        <f>"048314-070417-**-**"</f>
        <v>048314-070417-**-**</v>
      </c>
      <c r="X2604" t="s">
        <v>838</v>
      </c>
      <c r="Y2604">
        <v>1125</v>
      </c>
      <c r="Z2604">
        <v>1125</v>
      </c>
      <c r="AA2604" t="str">
        <f t="shared" si="699"/>
        <v>06/08/2016</v>
      </c>
    </row>
    <row r="2605" spans="1:27" x14ac:dyDescent="0.3">
      <c r="A2605" t="str">
        <f t="shared" si="689"/>
        <v>048314</v>
      </c>
      <c r="B2605" t="str">
        <f t="shared" si="700"/>
        <v>070417</v>
      </c>
      <c r="C2605" t="s">
        <v>1803</v>
      </c>
      <c r="D2605" t="s">
        <v>3839</v>
      </c>
      <c r="E2605" t="s">
        <v>3840</v>
      </c>
      <c r="F2605" t="s">
        <v>3841</v>
      </c>
      <c r="G2605" t="s">
        <v>3842</v>
      </c>
      <c r="H2605" t="str">
        <f t="shared" si="697"/>
        <v>048314</v>
      </c>
      <c r="I2605" t="s">
        <v>833</v>
      </c>
      <c r="J2605" t="str">
        <f t="shared" si="698"/>
        <v>2015-07-01 00:00:00.0</v>
      </c>
      <c r="K2605" t="s">
        <v>834</v>
      </c>
      <c r="L2605" t="s">
        <v>0</v>
      </c>
      <c r="M2605" t="str">
        <f t="shared" si="693"/>
        <v>048314</v>
      </c>
      <c r="N2605">
        <v>1</v>
      </c>
      <c r="O2605">
        <v>1</v>
      </c>
      <c r="P2605" t="str">
        <f>"09"</f>
        <v>09</v>
      </c>
      <c r="Q2605" t="s">
        <v>835</v>
      </c>
      <c r="S2605" t="s">
        <v>860</v>
      </c>
      <c r="T2605" t="s">
        <v>836</v>
      </c>
      <c r="U2605" t="str">
        <f t="shared" si="696"/>
        <v>2500-12-31 00:00:00.0</v>
      </c>
      <c r="V2605" t="s">
        <v>837</v>
      </c>
      <c r="W2605" t="str">
        <f>"048314-004796-**-**"</f>
        <v>048314-004796-**-**</v>
      </c>
      <c r="X2605" t="s">
        <v>838</v>
      </c>
      <c r="Y2605">
        <v>1254.5</v>
      </c>
      <c r="Z2605">
        <v>1254.5</v>
      </c>
      <c r="AA2605" t="str">
        <f t="shared" si="699"/>
        <v>06/08/2016</v>
      </c>
    </row>
    <row r="2606" spans="1:27" x14ac:dyDescent="0.3">
      <c r="A2606" t="str">
        <f t="shared" si="689"/>
        <v>048314</v>
      </c>
      <c r="B2606" t="str">
        <f t="shared" si="700"/>
        <v>070417</v>
      </c>
      <c r="C2606" t="s">
        <v>2687</v>
      </c>
      <c r="D2606" t="s">
        <v>3839</v>
      </c>
      <c r="E2606" t="s">
        <v>3840</v>
      </c>
      <c r="F2606" t="s">
        <v>3841</v>
      </c>
      <c r="G2606" t="s">
        <v>3842</v>
      </c>
      <c r="H2606" t="str">
        <f t="shared" si="697"/>
        <v>048314</v>
      </c>
      <c r="I2606" t="s">
        <v>833</v>
      </c>
      <c r="J2606" t="str">
        <f t="shared" si="698"/>
        <v>2015-07-01 00:00:00.0</v>
      </c>
      <c r="K2606" t="s">
        <v>834</v>
      </c>
      <c r="L2606" t="s">
        <v>0</v>
      </c>
      <c r="M2606" t="str">
        <f t="shared" si="693"/>
        <v>048314</v>
      </c>
      <c r="N2606">
        <v>1</v>
      </c>
      <c r="O2606">
        <v>1</v>
      </c>
      <c r="P2606" t="str">
        <f>"06"</f>
        <v>06</v>
      </c>
      <c r="Q2606" t="s">
        <v>835</v>
      </c>
      <c r="S2606" t="s">
        <v>836</v>
      </c>
      <c r="T2606" t="s">
        <v>836</v>
      </c>
      <c r="U2606" t="str">
        <f t="shared" si="696"/>
        <v>2500-12-31 00:00:00.0</v>
      </c>
      <c r="V2606" t="s">
        <v>837</v>
      </c>
      <c r="W2606" t="str">
        <f>"048314-070417-**-**"</f>
        <v>048314-070417-**-**</v>
      </c>
      <c r="X2606" t="s">
        <v>838</v>
      </c>
      <c r="Y2606">
        <v>1125</v>
      </c>
      <c r="Z2606">
        <v>1125</v>
      </c>
      <c r="AA2606" t="str">
        <f t="shared" si="699"/>
        <v>06/08/2016</v>
      </c>
    </row>
    <row r="2607" spans="1:27" x14ac:dyDescent="0.3">
      <c r="A2607" t="str">
        <f t="shared" si="689"/>
        <v>048314</v>
      </c>
      <c r="B2607" t="str">
        <f t="shared" si="700"/>
        <v>070417</v>
      </c>
      <c r="C2607" t="s">
        <v>2489</v>
      </c>
      <c r="D2607" t="s">
        <v>3839</v>
      </c>
      <c r="E2607" t="s">
        <v>3840</v>
      </c>
      <c r="F2607" t="s">
        <v>3841</v>
      </c>
      <c r="G2607" t="s">
        <v>3842</v>
      </c>
      <c r="H2607" t="str">
        <f t="shared" si="697"/>
        <v>048314</v>
      </c>
      <c r="I2607" t="s">
        <v>833</v>
      </c>
      <c r="J2607" t="str">
        <f t="shared" si="698"/>
        <v>2015-07-01 00:00:00.0</v>
      </c>
      <c r="K2607" t="s">
        <v>834</v>
      </c>
      <c r="L2607" t="s">
        <v>0</v>
      </c>
      <c r="M2607" t="str">
        <f t="shared" si="693"/>
        <v>048314</v>
      </c>
      <c r="N2607">
        <v>1</v>
      </c>
      <c r="O2607">
        <v>1</v>
      </c>
      <c r="P2607" t="str">
        <f>"09"</f>
        <v>09</v>
      </c>
      <c r="Q2607" t="s">
        <v>835</v>
      </c>
      <c r="S2607" t="s">
        <v>836</v>
      </c>
      <c r="T2607" t="s">
        <v>836</v>
      </c>
      <c r="U2607" t="str">
        <f t="shared" si="696"/>
        <v>2500-12-31 00:00:00.0</v>
      </c>
      <c r="V2607" t="s">
        <v>837</v>
      </c>
      <c r="W2607" t="str">
        <f>"048314-004796-**-**"</f>
        <v>048314-004796-**-**</v>
      </c>
      <c r="X2607" t="s">
        <v>838</v>
      </c>
      <c r="Y2607">
        <v>1254.5</v>
      </c>
      <c r="Z2607">
        <v>1254.5</v>
      </c>
      <c r="AA2607" t="str">
        <f t="shared" si="699"/>
        <v>06/08/2016</v>
      </c>
    </row>
    <row r="2608" spans="1:27" x14ac:dyDescent="0.3">
      <c r="A2608" t="str">
        <f t="shared" si="689"/>
        <v>048314</v>
      </c>
      <c r="B2608" t="str">
        <f t="shared" si="700"/>
        <v>070417</v>
      </c>
      <c r="C2608" t="s">
        <v>2688</v>
      </c>
      <c r="D2608" t="s">
        <v>3839</v>
      </c>
      <c r="E2608" t="s">
        <v>3840</v>
      </c>
      <c r="F2608" t="s">
        <v>3841</v>
      </c>
      <c r="G2608" t="s">
        <v>3842</v>
      </c>
      <c r="H2608" t="str">
        <f t="shared" si="697"/>
        <v>048314</v>
      </c>
      <c r="I2608" t="s">
        <v>833</v>
      </c>
      <c r="J2608" t="str">
        <f t="shared" si="698"/>
        <v>2015-07-01 00:00:00.0</v>
      </c>
      <c r="K2608" t="s">
        <v>834</v>
      </c>
      <c r="L2608" t="s">
        <v>0</v>
      </c>
      <c r="M2608" t="str">
        <f t="shared" si="693"/>
        <v>048314</v>
      </c>
      <c r="N2608">
        <v>1</v>
      </c>
      <c r="O2608">
        <v>1</v>
      </c>
      <c r="P2608" t="str">
        <f>"06"</f>
        <v>06</v>
      </c>
      <c r="Q2608" t="s">
        <v>835</v>
      </c>
      <c r="S2608" t="s">
        <v>836</v>
      </c>
      <c r="T2608" t="s">
        <v>836</v>
      </c>
      <c r="U2608" t="str">
        <f t="shared" si="696"/>
        <v>2500-12-31 00:00:00.0</v>
      </c>
      <c r="V2608" t="s">
        <v>837</v>
      </c>
      <c r="W2608" t="str">
        <f>"048314-070417-**-**"</f>
        <v>048314-070417-**-**</v>
      </c>
      <c r="X2608" t="s">
        <v>838</v>
      </c>
      <c r="Y2608">
        <v>1125</v>
      </c>
      <c r="Z2608">
        <v>1125</v>
      </c>
      <c r="AA2608" t="str">
        <f t="shared" si="699"/>
        <v>06/08/2016</v>
      </c>
    </row>
    <row r="2609" spans="1:27" x14ac:dyDescent="0.3">
      <c r="A2609" t="str">
        <f t="shared" si="689"/>
        <v>048314</v>
      </c>
      <c r="B2609" t="str">
        <f t="shared" si="700"/>
        <v>070417</v>
      </c>
      <c r="C2609" t="s">
        <v>2243</v>
      </c>
      <c r="D2609" t="s">
        <v>3839</v>
      </c>
      <c r="E2609" t="s">
        <v>3840</v>
      </c>
      <c r="F2609" t="s">
        <v>3841</v>
      </c>
      <c r="G2609" t="s">
        <v>3842</v>
      </c>
      <c r="H2609" t="str">
        <f t="shared" si="697"/>
        <v>048314</v>
      </c>
      <c r="I2609" t="s">
        <v>833</v>
      </c>
      <c r="J2609" t="str">
        <f t="shared" si="698"/>
        <v>2015-07-01 00:00:00.0</v>
      </c>
      <c r="K2609" t="s">
        <v>834</v>
      </c>
      <c r="L2609" t="s">
        <v>0</v>
      </c>
      <c r="M2609" t="str">
        <f t="shared" si="693"/>
        <v>048314</v>
      </c>
      <c r="N2609">
        <v>1</v>
      </c>
      <c r="O2609">
        <v>1</v>
      </c>
      <c r="P2609" t="str">
        <f>"08"</f>
        <v>08</v>
      </c>
      <c r="Q2609" t="str">
        <f>"12"</f>
        <v>12</v>
      </c>
      <c r="R2609" t="str">
        <f>"6"</f>
        <v>6</v>
      </c>
      <c r="S2609" t="s">
        <v>836</v>
      </c>
      <c r="T2609" t="s">
        <v>836</v>
      </c>
      <c r="U2609" t="str">
        <f t="shared" si="696"/>
        <v>2500-12-31 00:00:00.0</v>
      </c>
      <c r="V2609" t="s">
        <v>837</v>
      </c>
      <c r="W2609" t="str">
        <f>"048314-070417-**-**"</f>
        <v>048314-070417-**-**</v>
      </c>
      <c r="X2609" t="s">
        <v>838</v>
      </c>
      <c r="Y2609">
        <v>1125</v>
      </c>
      <c r="Z2609">
        <v>1125</v>
      </c>
      <c r="AA2609" t="str">
        <f t="shared" si="699"/>
        <v>06/08/2016</v>
      </c>
    </row>
    <row r="2610" spans="1:27" x14ac:dyDescent="0.3">
      <c r="A2610" t="str">
        <f t="shared" si="689"/>
        <v>048314</v>
      </c>
      <c r="B2610" t="str">
        <f t="shared" si="700"/>
        <v>070417</v>
      </c>
      <c r="C2610" t="s">
        <v>2244</v>
      </c>
      <c r="D2610" t="s">
        <v>3839</v>
      </c>
      <c r="E2610" t="s">
        <v>3840</v>
      </c>
      <c r="F2610" t="s">
        <v>3841</v>
      </c>
      <c r="G2610" t="s">
        <v>3842</v>
      </c>
      <c r="H2610" t="str">
        <f t="shared" si="697"/>
        <v>048314</v>
      </c>
      <c r="I2610" t="s">
        <v>833</v>
      </c>
      <c r="J2610" t="str">
        <f t="shared" si="698"/>
        <v>2015-07-01 00:00:00.0</v>
      </c>
      <c r="K2610" t="s">
        <v>834</v>
      </c>
      <c r="L2610" t="s">
        <v>0</v>
      </c>
      <c r="M2610" t="str">
        <f t="shared" si="693"/>
        <v>048314</v>
      </c>
      <c r="N2610">
        <v>0.222222</v>
      </c>
      <c r="O2610">
        <v>0.222222</v>
      </c>
      <c r="P2610" t="str">
        <f>"08"</f>
        <v>08</v>
      </c>
      <c r="Q2610" t="str">
        <f>"15"</f>
        <v>15</v>
      </c>
      <c r="R2610" t="str">
        <f>"2"</f>
        <v>2</v>
      </c>
      <c r="S2610" t="s">
        <v>836</v>
      </c>
      <c r="T2610" t="s">
        <v>836</v>
      </c>
      <c r="U2610" t="str">
        <f>"2015-10-26 00:00:00.0"</f>
        <v>2015-10-26 00:00:00.0</v>
      </c>
      <c r="V2610" t="s">
        <v>837</v>
      </c>
      <c r="W2610" t="str">
        <f>"048314-070417-**-**"</f>
        <v>048314-070417-**-**</v>
      </c>
      <c r="X2610" t="s">
        <v>838</v>
      </c>
      <c r="Y2610">
        <v>250</v>
      </c>
      <c r="Z2610">
        <v>1125</v>
      </c>
      <c r="AA2610" t="str">
        <f t="shared" si="699"/>
        <v>06/08/2016</v>
      </c>
    </row>
    <row r="2611" spans="1:27" x14ac:dyDescent="0.3">
      <c r="A2611" t="str">
        <f t="shared" si="689"/>
        <v>048314</v>
      </c>
      <c r="B2611" t="str">
        <f t="shared" si="700"/>
        <v>070417</v>
      </c>
      <c r="C2611" t="s">
        <v>2244</v>
      </c>
      <c r="D2611" t="s">
        <v>3839</v>
      </c>
      <c r="E2611" t="s">
        <v>3840</v>
      </c>
      <c r="F2611" t="s">
        <v>3841</v>
      </c>
      <c r="G2611" t="s">
        <v>3842</v>
      </c>
      <c r="H2611" t="str">
        <f t="shared" si="697"/>
        <v>048314</v>
      </c>
      <c r="I2611" t="s">
        <v>833</v>
      </c>
      <c r="J2611" t="str">
        <f>"2015-10-27 00:00:00.0"</f>
        <v>2015-10-27 00:00:00.0</v>
      </c>
      <c r="K2611" t="s">
        <v>834</v>
      </c>
      <c r="L2611" t="s">
        <v>0</v>
      </c>
      <c r="M2611" t="str">
        <f t="shared" si="693"/>
        <v>048314</v>
      </c>
      <c r="N2611">
        <v>0.77777799999999997</v>
      </c>
      <c r="O2611">
        <v>0.77777799999999997</v>
      </c>
      <c r="P2611" t="str">
        <f>"08"</f>
        <v>08</v>
      </c>
      <c r="Q2611" t="str">
        <f>"12"</f>
        <v>12</v>
      </c>
      <c r="R2611" t="str">
        <f>"6"</f>
        <v>6</v>
      </c>
      <c r="S2611" t="s">
        <v>836</v>
      </c>
      <c r="T2611" t="s">
        <v>836</v>
      </c>
      <c r="U2611" t="str">
        <f t="shared" ref="U2611:U2644" si="701">"2500-12-31 00:00:00.0"</f>
        <v>2500-12-31 00:00:00.0</v>
      </c>
      <c r="V2611" t="s">
        <v>837</v>
      </c>
      <c r="W2611" t="str">
        <f>"048314-070417-**-**"</f>
        <v>048314-070417-**-**</v>
      </c>
      <c r="X2611" t="s">
        <v>838</v>
      </c>
      <c r="Y2611">
        <v>875</v>
      </c>
      <c r="Z2611">
        <v>1125</v>
      </c>
      <c r="AA2611" t="str">
        <f t="shared" si="699"/>
        <v>06/08/2016</v>
      </c>
    </row>
    <row r="2612" spans="1:27" x14ac:dyDescent="0.3">
      <c r="A2612" t="str">
        <f t="shared" si="689"/>
        <v>048314</v>
      </c>
      <c r="B2612" t="str">
        <f t="shared" si="700"/>
        <v>070417</v>
      </c>
      <c r="C2612" t="s">
        <v>1665</v>
      </c>
      <c r="D2612" t="s">
        <v>3839</v>
      </c>
      <c r="E2612" t="s">
        <v>3840</v>
      </c>
      <c r="F2612" t="s">
        <v>3841</v>
      </c>
      <c r="G2612" t="s">
        <v>3842</v>
      </c>
      <c r="H2612" t="str">
        <f t="shared" si="697"/>
        <v>048314</v>
      </c>
      <c r="I2612" t="s">
        <v>833</v>
      </c>
      <c r="J2612" t="str">
        <f t="shared" ref="J2612:J2617" si="702">"2015-07-01 00:00:00.0"</f>
        <v>2015-07-01 00:00:00.0</v>
      </c>
      <c r="K2612" t="s">
        <v>834</v>
      </c>
      <c r="L2612" t="s">
        <v>0</v>
      </c>
      <c r="M2612" t="str">
        <f t="shared" si="693"/>
        <v>048314</v>
      </c>
      <c r="N2612">
        <v>1</v>
      </c>
      <c r="O2612">
        <v>1</v>
      </c>
      <c r="P2612" t="str">
        <f>"09"</f>
        <v>09</v>
      </c>
      <c r="Q2612" t="s">
        <v>835</v>
      </c>
      <c r="S2612" t="s">
        <v>836</v>
      </c>
      <c r="T2612" t="s">
        <v>836</v>
      </c>
      <c r="U2612" t="str">
        <f t="shared" si="701"/>
        <v>2500-12-31 00:00:00.0</v>
      </c>
      <c r="V2612" t="s">
        <v>837</v>
      </c>
      <c r="W2612" t="str">
        <f>"048314-004796-**-**"</f>
        <v>048314-004796-**-**</v>
      </c>
      <c r="X2612" t="s">
        <v>838</v>
      </c>
      <c r="Y2612">
        <v>1254.5</v>
      </c>
      <c r="Z2612">
        <v>1254.5</v>
      </c>
      <c r="AA2612" t="str">
        <f t="shared" si="699"/>
        <v>06/08/2016</v>
      </c>
    </row>
    <row r="2613" spans="1:27" x14ac:dyDescent="0.3">
      <c r="A2613" t="str">
        <f t="shared" si="689"/>
        <v>048314</v>
      </c>
      <c r="B2613" t="str">
        <f t="shared" si="700"/>
        <v>070417</v>
      </c>
      <c r="C2613" t="s">
        <v>2124</v>
      </c>
      <c r="D2613" t="s">
        <v>3839</v>
      </c>
      <c r="E2613" t="s">
        <v>3840</v>
      </c>
      <c r="F2613" t="s">
        <v>3841</v>
      </c>
      <c r="G2613" t="s">
        <v>3842</v>
      </c>
      <c r="H2613" t="str">
        <f t="shared" si="697"/>
        <v>048314</v>
      </c>
      <c r="I2613" t="s">
        <v>833</v>
      </c>
      <c r="J2613" t="str">
        <f t="shared" si="702"/>
        <v>2015-07-01 00:00:00.0</v>
      </c>
      <c r="K2613" t="s">
        <v>834</v>
      </c>
      <c r="L2613" t="s">
        <v>0</v>
      </c>
      <c r="M2613" t="str">
        <f t="shared" si="693"/>
        <v>048314</v>
      </c>
      <c r="N2613">
        <v>1</v>
      </c>
      <c r="O2613">
        <v>1</v>
      </c>
      <c r="P2613" t="str">
        <f>"08"</f>
        <v>08</v>
      </c>
      <c r="Q2613" t="s">
        <v>835</v>
      </c>
      <c r="S2613" t="s">
        <v>836</v>
      </c>
      <c r="T2613" t="s">
        <v>836</v>
      </c>
      <c r="U2613" t="str">
        <f t="shared" si="701"/>
        <v>2500-12-31 00:00:00.0</v>
      </c>
      <c r="V2613" t="s">
        <v>837</v>
      </c>
      <c r="W2613" t="str">
        <f t="shared" ref="W2613:W2622" si="703">"048314-070417-**-**"</f>
        <v>048314-070417-**-**</v>
      </c>
      <c r="X2613" t="s">
        <v>838</v>
      </c>
      <c r="Y2613">
        <v>1125</v>
      </c>
      <c r="Z2613">
        <v>1125</v>
      </c>
      <c r="AA2613" t="str">
        <f t="shared" si="699"/>
        <v>06/08/2016</v>
      </c>
    </row>
    <row r="2614" spans="1:27" x14ac:dyDescent="0.3">
      <c r="A2614" t="str">
        <f t="shared" si="689"/>
        <v>048314</v>
      </c>
      <c r="B2614" t="str">
        <f t="shared" si="700"/>
        <v>070417</v>
      </c>
      <c r="C2614" t="s">
        <v>2125</v>
      </c>
      <c r="D2614" t="s">
        <v>3839</v>
      </c>
      <c r="E2614" t="s">
        <v>3840</v>
      </c>
      <c r="F2614" t="s">
        <v>3841</v>
      </c>
      <c r="G2614" t="s">
        <v>3842</v>
      </c>
      <c r="H2614" t="str">
        <f t="shared" si="697"/>
        <v>048314</v>
      </c>
      <c r="I2614" t="s">
        <v>833</v>
      </c>
      <c r="J2614" t="str">
        <f t="shared" si="702"/>
        <v>2015-07-01 00:00:00.0</v>
      </c>
      <c r="K2614" t="s">
        <v>834</v>
      </c>
      <c r="L2614" t="s">
        <v>0</v>
      </c>
      <c r="M2614" t="str">
        <f t="shared" si="693"/>
        <v>048314</v>
      </c>
      <c r="N2614">
        <v>1</v>
      </c>
      <c r="O2614">
        <v>1</v>
      </c>
      <c r="P2614" t="str">
        <f>"08"</f>
        <v>08</v>
      </c>
      <c r="Q2614" t="s">
        <v>835</v>
      </c>
      <c r="S2614" t="s">
        <v>836</v>
      </c>
      <c r="T2614" t="s">
        <v>836</v>
      </c>
      <c r="U2614" t="str">
        <f t="shared" si="701"/>
        <v>2500-12-31 00:00:00.0</v>
      </c>
      <c r="V2614" t="s">
        <v>837</v>
      </c>
      <c r="W2614" t="str">
        <f t="shared" si="703"/>
        <v>048314-070417-**-**</v>
      </c>
      <c r="X2614" t="s">
        <v>838</v>
      </c>
      <c r="Y2614">
        <v>1125</v>
      </c>
      <c r="Z2614">
        <v>1125</v>
      </c>
      <c r="AA2614" t="str">
        <f t="shared" si="699"/>
        <v>06/08/2016</v>
      </c>
    </row>
    <row r="2615" spans="1:27" x14ac:dyDescent="0.3">
      <c r="A2615" t="str">
        <f t="shared" si="689"/>
        <v>048314</v>
      </c>
      <c r="B2615" t="str">
        <f t="shared" si="700"/>
        <v>070417</v>
      </c>
      <c r="C2615" t="s">
        <v>2362</v>
      </c>
      <c r="D2615" t="s">
        <v>3839</v>
      </c>
      <c r="E2615" t="s">
        <v>3840</v>
      </c>
      <c r="F2615" t="s">
        <v>3841</v>
      </c>
      <c r="G2615" t="s">
        <v>3842</v>
      </c>
      <c r="H2615" t="str">
        <f t="shared" si="697"/>
        <v>048314</v>
      </c>
      <c r="I2615" t="s">
        <v>833</v>
      </c>
      <c r="J2615" t="str">
        <f t="shared" si="702"/>
        <v>2015-07-01 00:00:00.0</v>
      </c>
      <c r="K2615" t="s">
        <v>834</v>
      </c>
      <c r="L2615" t="s">
        <v>0</v>
      </c>
      <c r="M2615" t="str">
        <f t="shared" si="693"/>
        <v>048314</v>
      </c>
      <c r="N2615">
        <v>1</v>
      </c>
      <c r="O2615">
        <v>1</v>
      </c>
      <c r="P2615" t="str">
        <f>"07"</f>
        <v>07</v>
      </c>
      <c r="Q2615" t="s">
        <v>835</v>
      </c>
      <c r="S2615" t="s">
        <v>836</v>
      </c>
      <c r="T2615" t="s">
        <v>836</v>
      </c>
      <c r="U2615" t="str">
        <f t="shared" si="701"/>
        <v>2500-12-31 00:00:00.0</v>
      </c>
      <c r="V2615" t="s">
        <v>837</v>
      </c>
      <c r="W2615" t="str">
        <f t="shared" si="703"/>
        <v>048314-070417-**-**</v>
      </c>
      <c r="X2615" t="s">
        <v>838</v>
      </c>
      <c r="Y2615">
        <v>1125</v>
      </c>
      <c r="Z2615">
        <v>1125</v>
      </c>
      <c r="AA2615" t="str">
        <f t="shared" si="699"/>
        <v>06/08/2016</v>
      </c>
    </row>
    <row r="2616" spans="1:27" x14ac:dyDescent="0.3">
      <c r="A2616" t="str">
        <f t="shared" si="689"/>
        <v>048314</v>
      </c>
      <c r="B2616" t="str">
        <f t="shared" si="700"/>
        <v>070417</v>
      </c>
      <c r="C2616" t="s">
        <v>2689</v>
      </c>
      <c r="D2616" t="s">
        <v>3839</v>
      </c>
      <c r="E2616" t="s">
        <v>3840</v>
      </c>
      <c r="F2616" t="s">
        <v>3841</v>
      </c>
      <c r="G2616" t="s">
        <v>3842</v>
      </c>
      <c r="H2616" t="str">
        <f t="shared" si="697"/>
        <v>048314</v>
      </c>
      <c r="I2616" t="s">
        <v>833</v>
      </c>
      <c r="J2616" t="str">
        <f t="shared" si="702"/>
        <v>2015-07-01 00:00:00.0</v>
      </c>
      <c r="K2616" t="s">
        <v>834</v>
      </c>
      <c r="L2616" t="s">
        <v>0</v>
      </c>
      <c r="M2616" t="str">
        <f t="shared" si="693"/>
        <v>048314</v>
      </c>
      <c r="N2616">
        <v>1</v>
      </c>
      <c r="O2616">
        <v>1</v>
      </c>
      <c r="P2616" t="str">
        <f>"06"</f>
        <v>06</v>
      </c>
      <c r="Q2616" t="s">
        <v>835</v>
      </c>
      <c r="S2616" t="s">
        <v>836</v>
      </c>
      <c r="T2616" t="s">
        <v>836</v>
      </c>
      <c r="U2616" t="str">
        <f t="shared" si="701"/>
        <v>2500-12-31 00:00:00.0</v>
      </c>
      <c r="V2616" t="s">
        <v>837</v>
      </c>
      <c r="W2616" t="str">
        <f t="shared" si="703"/>
        <v>048314-070417-**-**</v>
      </c>
      <c r="X2616" t="s">
        <v>838</v>
      </c>
      <c r="Y2616">
        <v>1125</v>
      </c>
      <c r="Z2616">
        <v>1125</v>
      </c>
      <c r="AA2616" t="str">
        <f t="shared" si="699"/>
        <v>06/08/2016</v>
      </c>
    </row>
    <row r="2617" spans="1:27" x14ac:dyDescent="0.3">
      <c r="A2617" t="str">
        <f t="shared" si="689"/>
        <v>048314</v>
      </c>
      <c r="B2617" t="str">
        <f t="shared" si="700"/>
        <v>070417</v>
      </c>
      <c r="C2617" t="s">
        <v>2126</v>
      </c>
      <c r="D2617" t="s">
        <v>3839</v>
      </c>
      <c r="E2617" t="s">
        <v>3840</v>
      </c>
      <c r="F2617" t="s">
        <v>3841</v>
      </c>
      <c r="G2617" t="s">
        <v>3842</v>
      </c>
      <c r="H2617" t="str">
        <f t="shared" si="697"/>
        <v>048314</v>
      </c>
      <c r="I2617" t="s">
        <v>833</v>
      </c>
      <c r="J2617" t="str">
        <f t="shared" si="702"/>
        <v>2015-07-01 00:00:00.0</v>
      </c>
      <c r="K2617" t="s">
        <v>834</v>
      </c>
      <c r="L2617" t="s">
        <v>0</v>
      </c>
      <c r="M2617" t="str">
        <f t="shared" si="693"/>
        <v>048314</v>
      </c>
      <c r="N2617">
        <v>1</v>
      </c>
      <c r="O2617">
        <v>1</v>
      </c>
      <c r="P2617" t="str">
        <f>"08"</f>
        <v>08</v>
      </c>
      <c r="Q2617" t="s">
        <v>835</v>
      </c>
      <c r="S2617" t="s">
        <v>836</v>
      </c>
      <c r="T2617" t="s">
        <v>836</v>
      </c>
      <c r="U2617" t="str">
        <f t="shared" si="701"/>
        <v>2500-12-31 00:00:00.0</v>
      </c>
      <c r="V2617" t="s">
        <v>837</v>
      </c>
      <c r="W2617" t="str">
        <f t="shared" si="703"/>
        <v>048314-070417-**-**</v>
      </c>
      <c r="X2617" t="s">
        <v>838</v>
      </c>
      <c r="Y2617">
        <v>1125</v>
      </c>
      <c r="Z2617">
        <v>1125</v>
      </c>
      <c r="AA2617" t="str">
        <f t="shared" si="699"/>
        <v>06/08/2016</v>
      </c>
    </row>
    <row r="2618" spans="1:27" x14ac:dyDescent="0.3">
      <c r="A2618" t="str">
        <f t="shared" si="689"/>
        <v>048314</v>
      </c>
      <c r="B2618" t="str">
        <f t="shared" si="700"/>
        <v>070417</v>
      </c>
      <c r="C2618" t="s">
        <v>2950</v>
      </c>
      <c r="D2618" t="s">
        <v>3839</v>
      </c>
      <c r="E2618" t="s">
        <v>3840</v>
      </c>
      <c r="F2618" t="s">
        <v>3841</v>
      </c>
      <c r="G2618" t="s">
        <v>3842</v>
      </c>
      <c r="H2618" t="str">
        <f t="shared" si="697"/>
        <v>048314</v>
      </c>
      <c r="I2618" t="s">
        <v>833</v>
      </c>
      <c r="J2618" t="str">
        <f>"2015-08-31 00:00:00.0"</f>
        <v>2015-08-31 00:00:00.0</v>
      </c>
      <c r="K2618" t="s">
        <v>834</v>
      </c>
      <c r="L2618" t="s">
        <v>0</v>
      </c>
      <c r="M2618" t="str">
        <f t="shared" si="693"/>
        <v>048314</v>
      </c>
      <c r="N2618">
        <v>1</v>
      </c>
      <c r="O2618">
        <v>1</v>
      </c>
      <c r="P2618" t="str">
        <f>"05"</f>
        <v>05</v>
      </c>
      <c r="Q2618" t="s">
        <v>835</v>
      </c>
      <c r="S2618" t="s">
        <v>860</v>
      </c>
      <c r="T2618" t="s">
        <v>836</v>
      </c>
      <c r="U2618" t="str">
        <f t="shared" si="701"/>
        <v>2500-12-31 00:00:00.0</v>
      </c>
      <c r="V2618" t="s">
        <v>837</v>
      </c>
      <c r="W2618" t="str">
        <f t="shared" si="703"/>
        <v>048314-070417-**-**</v>
      </c>
      <c r="X2618" t="s">
        <v>838</v>
      </c>
      <c r="Y2618">
        <v>1125</v>
      </c>
      <c r="Z2618">
        <v>1125</v>
      </c>
      <c r="AA2618" t="str">
        <f t="shared" si="699"/>
        <v>06/08/2016</v>
      </c>
    </row>
    <row r="2619" spans="1:27" x14ac:dyDescent="0.3">
      <c r="A2619" t="str">
        <f t="shared" si="689"/>
        <v>048314</v>
      </c>
      <c r="B2619" t="str">
        <f t="shared" si="700"/>
        <v>070417</v>
      </c>
      <c r="C2619" t="s">
        <v>3150</v>
      </c>
      <c r="D2619" t="s">
        <v>3839</v>
      </c>
      <c r="E2619" t="s">
        <v>3840</v>
      </c>
      <c r="F2619" t="s">
        <v>3841</v>
      </c>
      <c r="G2619" t="s">
        <v>3842</v>
      </c>
      <c r="H2619" t="str">
        <f t="shared" si="697"/>
        <v>048314</v>
      </c>
      <c r="I2619" t="s">
        <v>833</v>
      </c>
      <c r="J2619" t="str">
        <f t="shared" ref="J2619:J2644" si="704">"2015-07-01 00:00:00.0"</f>
        <v>2015-07-01 00:00:00.0</v>
      </c>
      <c r="K2619" t="s">
        <v>834</v>
      </c>
      <c r="L2619" t="s">
        <v>0</v>
      </c>
      <c r="M2619" t="str">
        <f t="shared" si="693"/>
        <v>048314</v>
      </c>
      <c r="N2619">
        <v>1</v>
      </c>
      <c r="O2619">
        <v>1</v>
      </c>
      <c r="P2619" t="str">
        <f>"06"</f>
        <v>06</v>
      </c>
      <c r="Q2619" t="s">
        <v>835</v>
      </c>
      <c r="S2619" t="s">
        <v>836</v>
      </c>
      <c r="T2619" t="s">
        <v>836</v>
      </c>
      <c r="U2619" t="str">
        <f t="shared" si="701"/>
        <v>2500-12-31 00:00:00.0</v>
      </c>
      <c r="V2619" t="s">
        <v>837</v>
      </c>
      <c r="W2619" t="str">
        <f t="shared" si="703"/>
        <v>048314-070417-**-**</v>
      </c>
      <c r="X2619" t="s">
        <v>838</v>
      </c>
      <c r="Y2619">
        <v>1125</v>
      </c>
      <c r="Z2619">
        <v>1125</v>
      </c>
      <c r="AA2619" t="str">
        <f t="shared" si="699"/>
        <v>06/08/2016</v>
      </c>
    </row>
    <row r="2620" spans="1:27" x14ac:dyDescent="0.3">
      <c r="A2620" t="str">
        <f t="shared" si="689"/>
        <v>048314</v>
      </c>
      <c r="B2620" t="str">
        <f t="shared" si="700"/>
        <v>070417</v>
      </c>
      <c r="C2620" t="s">
        <v>2433</v>
      </c>
      <c r="D2620" t="s">
        <v>3839</v>
      </c>
      <c r="E2620" t="s">
        <v>3840</v>
      </c>
      <c r="F2620" t="s">
        <v>3841</v>
      </c>
      <c r="G2620" t="s">
        <v>3842</v>
      </c>
      <c r="H2620" t="str">
        <f t="shared" si="697"/>
        <v>048314</v>
      </c>
      <c r="I2620" t="s">
        <v>833</v>
      </c>
      <c r="J2620" t="str">
        <f t="shared" si="704"/>
        <v>2015-07-01 00:00:00.0</v>
      </c>
      <c r="K2620" t="s">
        <v>834</v>
      </c>
      <c r="L2620" t="s">
        <v>0</v>
      </c>
      <c r="M2620" t="str">
        <f t="shared" si="693"/>
        <v>048314</v>
      </c>
      <c r="N2620">
        <v>1</v>
      </c>
      <c r="O2620">
        <v>1</v>
      </c>
      <c r="P2620" t="str">
        <f>"07"</f>
        <v>07</v>
      </c>
      <c r="Q2620" t="s">
        <v>835</v>
      </c>
      <c r="S2620" t="s">
        <v>836</v>
      </c>
      <c r="T2620" t="s">
        <v>836</v>
      </c>
      <c r="U2620" t="str">
        <f t="shared" si="701"/>
        <v>2500-12-31 00:00:00.0</v>
      </c>
      <c r="V2620" t="s">
        <v>837</v>
      </c>
      <c r="W2620" t="str">
        <f t="shared" si="703"/>
        <v>048314-070417-**-**</v>
      </c>
      <c r="X2620" t="s">
        <v>838</v>
      </c>
      <c r="Y2620">
        <v>1125</v>
      </c>
      <c r="Z2620">
        <v>1125</v>
      </c>
      <c r="AA2620" t="str">
        <f t="shared" si="699"/>
        <v>06/08/2016</v>
      </c>
    </row>
    <row r="2621" spans="1:27" x14ac:dyDescent="0.3">
      <c r="A2621" t="str">
        <f t="shared" si="689"/>
        <v>048314</v>
      </c>
      <c r="B2621" t="str">
        <f t="shared" si="700"/>
        <v>070417</v>
      </c>
      <c r="C2621" t="s">
        <v>2070</v>
      </c>
      <c r="D2621" t="s">
        <v>3839</v>
      </c>
      <c r="E2621" t="s">
        <v>3840</v>
      </c>
      <c r="F2621" t="s">
        <v>3841</v>
      </c>
      <c r="G2621" t="s">
        <v>3842</v>
      </c>
      <c r="H2621" t="str">
        <f t="shared" si="697"/>
        <v>048314</v>
      </c>
      <c r="I2621" t="s">
        <v>833</v>
      </c>
      <c r="J2621" t="str">
        <f t="shared" si="704"/>
        <v>2015-07-01 00:00:00.0</v>
      </c>
      <c r="K2621" t="s">
        <v>834</v>
      </c>
      <c r="L2621" t="s">
        <v>0</v>
      </c>
      <c r="M2621" t="str">
        <f t="shared" si="693"/>
        <v>048314</v>
      </c>
      <c r="N2621">
        <v>1</v>
      </c>
      <c r="O2621">
        <v>1</v>
      </c>
      <c r="P2621" t="str">
        <f>"08"</f>
        <v>08</v>
      </c>
      <c r="Q2621" t="s">
        <v>835</v>
      </c>
      <c r="S2621" t="s">
        <v>836</v>
      </c>
      <c r="T2621" t="s">
        <v>836</v>
      </c>
      <c r="U2621" t="str">
        <f t="shared" si="701"/>
        <v>2500-12-31 00:00:00.0</v>
      </c>
      <c r="V2621" t="s">
        <v>837</v>
      </c>
      <c r="W2621" t="str">
        <f t="shared" si="703"/>
        <v>048314-070417-**-**</v>
      </c>
      <c r="X2621" t="s">
        <v>838</v>
      </c>
      <c r="Y2621">
        <v>1125</v>
      </c>
      <c r="Z2621">
        <v>1125</v>
      </c>
      <c r="AA2621" t="str">
        <f t="shared" si="699"/>
        <v>06/08/2016</v>
      </c>
    </row>
    <row r="2622" spans="1:27" x14ac:dyDescent="0.3">
      <c r="A2622" t="str">
        <f t="shared" si="689"/>
        <v>048314</v>
      </c>
      <c r="B2622" t="str">
        <f t="shared" si="700"/>
        <v>070417</v>
      </c>
      <c r="C2622" t="s">
        <v>2363</v>
      </c>
      <c r="D2622" t="s">
        <v>3839</v>
      </c>
      <c r="E2622" t="s">
        <v>3840</v>
      </c>
      <c r="F2622" t="s">
        <v>3841</v>
      </c>
      <c r="G2622" t="s">
        <v>3842</v>
      </c>
      <c r="H2622" t="str">
        <f t="shared" si="697"/>
        <v>048314</v>
      </c>
      <c r="I2622" t="s">
        <v>833</v>
      </c>
      <c r="J2622" t="str">
        <f t="shared" si="704"/>
        <v>2015-07-01 00:00:00.0</v>
      </c>
      <c r="K2622" t="s">
        <v>834</v>
      </c>
      <c r="L2622" t="s">
        <v>0</v>
      </c>
      <c r="M2622" t="str">
        <f t="shared" si="693"/>
        <v>048314</v>
      </c>
      <c r="N2622">
        <v>1</v>
      </c>
      <c r="O2622">
        <v>1</v>
      </c>
      <c r="P2622" t="str">
        <f>"07"</f>
        <v>07</v>
      </c>
      <c r="Q2622" t="s">
        <v>835</v>
      </c>
      <c r="S2622" t="s">
        <v>836</v>
      </c>
      <c r="T2622" t="s">
        <v>836</v>
      </c>
      <c r="U2622" t="str">
        <f t="shared" si="701"/>
        <v>2500-12-31 00:00:00.0</v>
      </c>
      <c r="V2622" t="s">
        <v>837</v>
      </c>
      <c r="W2622" t="str">
        <f t="shared" si="703"/>
        <v>048314-070417-**-**</v>
      </c>
      <c r="X2622" t="s">
        <v>838</v>
      </c>
      <c r="Y2622">
        <v>1125</v>
      </c>
      <c r="Z2622">
        <v>1125</v>
      </c>
      <c r="AA2622" t="str">
        <f t="shared" si="699"/>
        <v>06/08/2016</v>
      </c>
    </row>
    <row r="2623" spans="1:27" x14ac:dyDescent="0.3">
      <c r="A2623" t="str">
        <f t="shared" si="689"/>
        <v>048314</v>
      </c>
      <c r="B2623" t="str">
        <f t="shared" si="700"/>
        <v>070417</v>
      </c>
      <c r="C2623" t="s">
        <v>1882</v>
      </c>
      <c r="D2623" t="s">
        <v>3839</v>
      </c>
      <c r="E2623" t="s">
        <v>3840</v>
      </c>
      <c r="F2623" t="s">
        <v>3841</v>
      </c>
      <c r="G2623" t="s">
        <v>3842</v>
      </c>
      <c r="H2623" t="str">
        <f t="shared" si="697"/>
        <v>048314</v>
      </c>
      <c r="I2623" t="s">
        <v>833</v>
      </c>
      <c r="J2623" t="str">
        <f t="shared" si="704"/>
        <v>2015-07-01 00:00:00.0</v>
      </c>
      <c r="K2623" t="s">
        <v>834</v>
      </c>
      <c r="L2623" t="s">
        <v>0</v>
      </c>
      <c r="M2623" t="str">
        <f t="shared" si="693"/>
        <v>048314</v>
      </c>
      <c r="N2623">
        <v>1</v>
      </c>
      <c r="O2623">
        <v>1</v>
      </c>
      <c r="P2623" t="str">
        <f>"09"</f>
        <v>09</v>
      </c>
      <c r="Q2623" t="s">
        <v>835</v>
      </c>
      <c r="S2623" t="s">
        <v>836</v>
      </c>
      <c r="T2623" t="s">
        <v>836</v>
      </c>
      <c r="U2623" t="str">
        <f t="shared" si="701"/>
        <v>2500-12-31 00:00:00.0</v>
      </c>
      <c r="V2623" t="s">
        <v>837</v>
      </c>
      <c r="W2623" t="str">
        <f>"048314-004796-**-**"</f>
        <v>048314-004796-**-**</v>
      </c>
      <c r="X2623" t="s">
        <v>838</v>
      </c>
      <c r="Y2623">
        <v>1254.5</v>
      </c>
      <c r="Z2623">
        <v>1254.5</v>
      </c>
      <c r="AA2623" t="str">
        <f t="shared" si="699"/>
        <v>06/08/2016</v>
      </c>
    </row>
    <row r="2624" spans="1:27" x14ac:dyDescent="0.3">
      <c r="A2624" t="str">
        <f t="shared" si="689"/>
        <v>048314</v>
      </c>
      <c r="B2624" t="str">
        <f t="shared" si="700"/>
        <v>070417</v>
      </c>
      <c r="C2624" t="s">
        <v>1831</v>
      </c>
      <c r="D2624" t="s">
        <v>3839</v>
      </c>
      <c r="E2624" t="s">
        <v>3840</v>
      </c>
      <c r="F2624" t="s">
        <v>3841</v>
      </c>
      <c r="G2624" t="s">
        <v>3842</v>
      </c>
      <c r="H2624" t="str">
        <f t="shared" si="697"/>
        <v>048314</v>
      </c>
      <c r="I2624" t="s">
        <v>833</v>
      </c>
      <c r="J2624" t="str">
        <f t="shared" si="704"/>
        <v>2015-07-01 00:00:00.0</v>
      </c>
      <c r="K2624" t="s">
        <v>834</v>
      </c>
      <c r="L2624" t="s">
        <v>0</v>
      </c>
      <c r="M2624" t="str">
        <f t="shared" si="693"/>
        <v>048314</v>
      </c>
      <c r="N2624">
        <v>1</v>
      </c>
      <c r="O2624">
        <v>1</v>
      </c>
      <c r="P2624" t="str">
        <f>"09"</f>
        <v>09</v>
      </c>
      <c r="Q2624" t="s">
        <v>835</v>
      </c>
      <c r="S2624" t="s">
        <v>860</v>
      </c>
      <c r="T2624" t="s">
        <v>836</v>
      </c>
      <c r="U2624" t="str">
        <f t="shared" si="701"/>
        <v>2500-12-31 00:00:00.0</v>
      </c>
      <c r="V2624" t="s">
        <v>837</v>
      </c>
      <c r="W2624" t="str">
        <f>"048314-004796-**-**"</f>
        <v>048314-004796-**-**</v>
      </c>
      <c r="X2624" t="s">
        <v>838</v>
      </c>
      <c r="Y2624">
        <v>1254.5</v>
      </c>
      <c r="Z2624">
        <v>1254.5</v>
      </c>
      <c r="AA2624" t="str">
        <f t="shared" si="699"/>
        <v>06/08/2016</v>
      </c>
    </row>
    <row r="2625" spans="1:27" x14ac:dyDescent="0.3">
      <c r="A2625" t="str">
        <f t="shared" si="689"/>
        <v>048314</v>
      </c>
      <c r="B2625" t="str">
        <f t="shared" si="700"/>
        <v>070417</v>
      </c>
      <c r="C2625" t="s">
        <v>2572</v>
      </c>
      <c r="D2625" t="s">
        <v>3839</v>
      </c>
      <c r="E2625" t="s">
        <v>3840</v>
      </c>
      <c r="F2625" t="s">
        <v>3841</v>
      </c>
      <c r="G2625" t="s">
        <v>3842</v>
      </c>
      <c r="H2625" t="str">
        <f t="shared" si="697"/>
        <v>048314</v>
      </c>
      <c r="I2625" t="s">
        <v>833</v>
      </c>
      <c r="J2625" t="str">
        <f t="shared" si="704"/>
        <v>2015-07-01 00:00:00.0</v>
      </c>
      <c r="K2625" t="s">
        <v>834</v>
      </c>
      <c r="L2625" t="s">
        <v>0</v>
      </c>
      <c r="M2625" t="str">
        <f t="shared" si="693"/>
        <v>048314</v>
      </c>
      <c r="N2625">
        <v>1</v>
      </c>
      <c r="O2625">
        <v>1</v>
      </c>
      <c r="P2625" t="str">
        <f>"06"</f>
        <v>06</v>
      </c>
      <c r="Q2625" t="s">
        <v>835</v>
      </c>
      <c r="S2625" t="s">
        <v>836</v>
      </c>
      <c r="T2625" t="s">
        <v>836</v>
      </c>
      <c r="U2625" t="str">
        <f t="shared" si="701"/>
        <v>2500-12-31 00:00:00.0</v>
      </c>
      <c r="V2625" t="s">
        <v>837</v>
      </c>
      <c r="W2625" t="str">
        <f>"048314-070417-**-**"</f>
        <v>048314-070417-**-**</v>
      </c>
      <c r="X2625" t="s">
        <v>838</v>
      </c>
      <c r="Y2625">
        <v>1125</v>
      </c>
      <c r="Z2625">
        <v>1125</v>
      </c>
      <c r="AA2625" t="str">
        <f t="shared" si="699"/>
        <v>06/08/2016</v>
      </c>
    </row>
    <row r="2626" spans="1:27" x14ac:dyDescent="0.3">
      <c r="A2626" t="str">
        <f t="shared" ref="A2626:A2689" si="705">"048314"</f>
        <v>048314</v>
      </c>
      <c r="B2626" t="str">
        <f t="shared" si="700"/>
        <v>070417</v>
      </c>
      <c r="C2626" t="s">
        <v>2182</v>
      </c>
      <c r="D2626" t="s">
        <v>3839</v>
      </c>
      <c r="E2626" t="s">
        <v>3840</v>
      </c>
      <c r="F2626" t="s">
        <v>3841</v>
      </c>
      <c r="G2626" t="s">
        <v>3842</v>
      </c>
      <c r="H2626" t="str">
        <f t="shared" si="697"/>
        <v>048314</v>
      </c>
      <c r="I2626" t="s">
        <v>833</v>
      </c>
      <c r="J2626" t="str">
        <f t="shared" si="704"/>
        <v>2015-07-01 00:00:00.0</v>
      </c>
      <c r="K2626" t="s">
        <v>834</v>
      </c>
      <c r="L2626" t="s">
        <v>0</v>
      </c>
      <c r="M2626" t="str">
        <f t="shared" si="693"/>
        <v>048314</v>
      </c>
      <c r="N2626">
        <v>1</v>
      </c>
      <c r="O2626">
        <v>1</v>
      </c>
      <c r="P2626" t="str">
        <f>"08"</f>
        <v>08</v>
      </c>
      <c r="Q2626" t="str">
        <f>"10"</f>
        <v>10</v>
      </c>
      <c r="R2626" t="str">
        <f>"2"</f>
        <v>2</v>
      </c>
      <c r="S2626" t="s">
        <v>836</v>
      </c>
      <c r="T2626" t="s">
        <v>836</v>
      </c>
      <c r="U2626" t="str">
        <f t="shared" si="701"/>
        <v>2500-12-31 00:00:00.0</v>
      </c>
      <c r="V2626" t="s">
        <v>837</v>
      </c>
      <c r="W2626" t="str">
        <f>"048314-070417-**-**"</f>
        <v>048314-070417-**-**</v>
      </c>
      <c r="X2626" t="s">
        <v>838</v>
      </c>
      <c r="Y2626">
        <v>1125</v>
      </c>
      <c r="Z2626">
        <v>1125</v>
      </c>
      <c r="AA2626" t="str">
        <f t="shared" si="699"/>
        <v>06/08/2016</v>
      </c>
    </row>
    <row r="2627" spans="1:27" x14ac:dyDescent="0.3">
      <c r="A2627" t="str">
        <f t="shared" si="705"/>
        <v>048314</v>
      </c>
      <c r="B2627" t="str">
        <f t="shared" si="700"/>
        <v>070417</v>
      </c>
      <c r="C2627" t="s">
        <v>2434</v>
      </c>
      <c r="D2627" t="s">
        <v>3839</v>
      </c>
      <c r="E2627" t="s">
        <v>3840</v>
      </c>
      <c r="F2627" t="s">
        <v>3841</v>
      </c>
      <c r="G2627" t="s">
        <v>3842</v>
      </c>
      <c r="H2627" t="str">
        <f t="shared" si="697"/>
        <v>048314</v>
      </c>
      <c r="I2627" t="s">
        <v>833</v>
      </c>
      <c r="J2627" t="str">
        <f t="shared" si="704"/>
        <v>2015-07-01 00:00:00.0</v>
      </c>
      <c r="K2627" t="s">
        <v>834</v>
      </c>
      <c r="L2627" t="s">
        <v>0</v>
      </c>
      <c r="M2627" t="str">
        <f t="shared" si="693"/>
        <v>048314</v>
      </c>
      <c r="N2627">
        <v>1</v>
      </c>
      <c r="O2627">
        <v>1</v>
      </c>
      <c r="P2627" t="str">
        <f>"08"</f>
        <v>08</v>
      </c>
      <c r="Q2627" t="s">
        <v>835</v>
      </c>
      <c r="S2627" t="s">
        <v>836</v>
      </c>
      <c r="T2627" t="s">
        <v>836</v>
      </c>
      <c r="U2627" t="str">
        <f t="shared" si="701"/>
        <v>2500-12-31 00:00:00.0</v>
      </c>
      <c r="V2627" t="s">
        <v>837</v>
      </c>
      <c r="W2627" t="str">
        <f>"048314-070417-**-**"</f>
        <v>048314-070417-**-**</v>
      </c>
      <c r="X2627" t="s">
        <v>838</v>
      </c>
      <c r="Y2627">
        <v>1125</v>
      </c>
      <c r="Z2627">
        <v>1125</v>
      </c>
      <c r="AA2627" t="str">
        <f t="shared" si="699"/>
        <v>06/08/2016</v>
      </c>
    </row>
    <row r="2628" spans="1:27" x14ac:dyDescent="0.3">
      <c r="A2628" t="str">
        <f t="shared" si="705"/>
        <v>048314</v>
      </c>
      <c r="B2628" t="str">
        <f t="shared" si="700"/>
        <v>070417</v>
      </c>
      <c r="C2628" t="s">
        <v>2127</v>
      </c>
      <c r="D2628" t="s">
        <v>3839</v>
      </c>
      <c r="E2628" t="s">
        <v>3840</v>
      </c>
      <c r="F2628" t="s">
        <v>3841</v>
      </c>
      <c r="G2628" t="s">
        <v>3842</v>
      </c>
      <c r="H2628" t="str">
        <f t="shared" si="697"/>
        <v>048314</v>
      </c>
      <c r="I2628" t="s">
        <v>833</v>
      </c>
      <c r="J2628" t="str">
        <f t="shared" si="704"/>
        <v>2015-07-01 00:00:00.0</v>
      </c>
      <c r="K2628" t="s">
        <v>834</v>
      </c>
      <c r="L2628" t="s">
        <v>0</v>
      </c>
      <c r="M2628" t="str">
        <f t="shared" si="693"/>
        <v>048314</v>
      </c>
      <c r="N2628">
        <v>1</v>
      </c>
      <c r="O2628">
        <v>1</v>
      </c>
      <c r="P2628" t="str">
        <f>"08"</f>
        <v>08</v>
      </c>
      <c r="Q2628" t="s">
        <v>835</v>
      </c>
      <c r="S2628" t="s">
        <v>836</v>
      </c>
      <c r="T2628" t="s">
        <v>836</v>
      </c>
      <c r="U2628" t="str">
        <f t="shared" si="701"/>
        <v>2500-12-31 00:00:00.0</v>
      </c>
      <c r="V2628" t="s">
        <v>837</v>
      </c>
      <c r="W2628" t="str">
        <f>"048314-070417-**-**"</f>
        <v>048314-070417-**-**</v>
      </c>
      <c r="X2628" t="s">
        <v>838</v>
      </c>
      <c r="Y2628">
        <v>1125</v>
      </c>
      <c r="Z2628">
        <v>1125</v>
      </c>
      <c r="AA2628" t="str">
        <f t="shared" si="699"/>
        <v>06/08/2016</v>
      </c>
    </row>
    <row r="2629" spans="1:27" x14ac:dyDescent="0.3">
      <c r="A2629" t="str">
        <f t="shared" si="705"/>
        <v>048314</v>
      </c>
      <c r="B2629" t="str">
        <f t="shared" si="700"/>
        <v>070417</v>
      </c>
      <c r="C2629" t="s">
        <v>2245</v>
      </c>
      <c r="D2629" t="s">
        <v>3839</v>
      </c>
      <c r="E2629" t="s">
        <v>3840</v>
      </c>
      <c r="F2629" t="s">
        <v>3841</v>
      </c>
      <c r="G2629" t="s">
        <v>3842</v>
      </c>
      <c r="H2629" t="str">
        <f t="shared" si="697"/>
        <v>048314</v>
      </c>
      <c r="I2629" t="s">
        <v>833</v>
      </c>
      <c r="J2629" t="str">
        <f t="shared" si="704"/>
        <v>2015-07-01 00:00:00.0</v>
      </c>
      <c r="K2629" t="s">
        <v>834</v>
      </c>
      <c r="L2629" t="s">
        <v>0</v>
      </c>
      <c r="M2629" t="str">
        <f t="shared" si="693"/>
        <v>048314</v>
      </c>
      <c r="N2629">
        <v>1</v>
      </c>
      <c r="O2629">
        <v>1</v>
      </c>
      <c r="P2629" t="str">
        <f>"08"</f>
        <v>08</v>
      </c>
      <c r="Q2629" t="s">
        <v>835</v>
      </c>
      <c r="S2629" t="s">
        <v>836</v>
      </c>
      <c r="T2629" t="s">
        <v>836</v>
      </c>
      <c r="U2629" t="str">
        <f t="shared" si="701"/>
        <v>2500-12-31 00:00:00.0</v>
      </c>
      <c r="V2629" t="s">
        <v>837</v>
      </c>
      <c r="W2629" t="str">
        <f>"048314-070417-**-**"</f>
        <v>048314-070417-**-**</v>
      </c>
      <c r="X2629" t="s">
        <v>838</v>
      </c>
      <c r="Y2629">
        <v>1125</v>
      </c>
      <c r="Z2629">
        <v>1125</v>
      </c>
      <c r="AA2629" t="str">
        <f t="shared" si="699"/>
        <v>06/08/2016</v>
      </c>
    </row>
    <row r="2630" spans="1:27" x14ac:dyDescent="0.3">
      <c r="A2630" t="str">
        <f t="shared" si="705"/>
        <v>048314</v>
      </c>
      <c r="B2630" t="str">
        <f t="shared" si="700"/>
        <v>070417</v>
      </c>
      <c r="C2630" t="s">
        <v>2246</v>
      </c>
      <c r="D2630" t="s">
        <v>3839</v>
      </c>
      <c r="E2630" t="s">
        <v>3840</v>
      </c>
      <c r="F2630" t="s">
        <v>3841</v>
      </c>
      <c r="G2630" t="s">
        <v>3842</v>
      </c>
      <c r="H2630" t="str">
        <f t="shared" si="697"/>
        <v>048314</v>
      </c>
      <c r="I2630" t="s">
        <v>833</v>
      </c>
      <c r="J2630" t="str">
        <f t="shared" si="704"/>
        <v>2015-07-01 00:00:00.0</v>
      </c>
      <c r="K2630" t="s">
        <v>834</v>
      </c>
      <c r="L2630" t="s">
        <v>0</v>
      </c>
      <c r="M2630" t="str">
        <f t="shared" si="693"/>
        <v>048314</v>
      </c>
      <c r="N2630">
        <v>1</v>
      </c>
      <c r="O2630">
        <v>1</v>
      </c>
      <c r="P2630" t="str">
        <f>"09"</f>
        <v>09</v>
      </c>
      <c r="Q2630" t="s">
        <v>835</v>
      </c>
      <c r="S2630" t="s">
        <v>836</v>
      </c>
      <c r="T2630" t="s">
        <v>836</v>
      </c>
      <c r="U2630" t="str">
        <f t="shared" si="701"/>
        <v>2500-12-31 00:00:00.0</v>
      </c>
      <c r="V2630" t="s">
        <v>837</v>
      </c>
      <c r="W2630" t="str">
        <f>"048314-004796-**-**"</f>
        <v>048314-004796-**-**</v>
      </c>
      <c r="X2630" t="s">
        <v>838</v>
      </c>
      <c r="Y2630">
        <v>1254.5</v>
      </c>
      <c r="Z2630">
        <v>1254.5</v>
      </c>
      <c r="AA2630" t="str">
        <f t="shared" si="699"/>
        <v>06/08/2016</v>
      </c>
    </row>
    <row r="2631" spans="1:27" x14ac:dyDescent="0.3">
      <c r="A2631" t="str">
        <f t="shared" si="705"/>
        <v>048314</v>
      </c>
      <c r="B2631" t="str">
        <f t="shared" si="700"/>
        <v>070417</v>
      </c>
      <c r="C2631" t="s">
        <v>2690</v>
      </c>
      <c r="D2631" t="s">
        <v>3839</v>
      </c>
      <c r="E2631" t="s">
        <v>3840</v>
      </c>
      <c r="F2631" t="s">
        <v>3841</v>
      </c>
      <c r="G2631" t="s">
        <v>3842</v>
      </c>
      <c r="H2631" t="str">
        <f t="shared" si="697"/>
        <v>048314</v>
      </c>
      <c r="I2631" t="s">
        <v>833</v>
      </c>
      <c r="J2631" t="str">
        <f t="shared" si="704"/>
        <v>2015-07-01 00:00:00.0</v>
      </c>
      <c r="K2631" t="s">
        <v>834</v>
      </c>
      <c r="L2631" t="s">
        <v>0</v>
      </c>
      <c r="M2631" t="str">
        <f t="shared" si="693"/>
        <v>048314</v>
      </c>
      <c r="N2631">
        <v>1</v>
      </c>
      <c r="O2631">
        <v>1</v>
      </c>
      <c r="P2631" t="str">
        <f>"06"</f>
        <v>06</v>
      </c>
      <c r="Q2631" t="s">
        <v>835</v>
      </c>
      <c r="S2631" t="s">
        <v>860</v>
      </c>
      <c r="T2631" t="s">
        <v>836</v>
      </c>
      <c r="U2631" t="str">
        <f t="shared" si="701"/>
        <v>2500-12-31 00:00:00.0</v>
      </c>
      <c r="V2631" t="s">
        <v>837</v>
      </c>
      <c r="W2631" t="str">
        <f>"048314-070417-**-**"</f>
        <v>048314-070417-**-**</v>
      </c>
      <c r="X2631" t="s">
        <v>838</v>
      </c>
      <c r="Y2631">
        <v>1125</v>
      </c>
      <c r="Z2631">
        <v>1125</v>
      </c>
      <c r="AA2631" t="str">
        <f t="shared" si="699"/>
        <v>06/08/2016</v>
      </c>
    </row>
    <row r="2632" spans="1:27" x14ac:dyDescent="0.3">
      <c r="A2632" t="str">
        <f t="shared" si="705"/>
        <v>048314</v>
      </c>
      <c r="B2632" t="str">
        <f t="shared" si="700"/>
        <v>070417</v>
      </c>
      <c r="C2632" t="s">
        <v>1996</v>
      </c>
      <c r="D2632" t="s">
        <v>3839</v>
      </c>
      <c r="E2632" t="s">
        <v>3840</v>
      </c>
      <c r="F2632" t="s">
        <v>3841</v>
      </c>
      <c r="G2632" t="s">
        <v>3842</v>
      </c>
      <c r="H2632" t="str">
        <f t="shared" si="697"/>
        <v>048314</v>
      </c>
      <c r="I2632" t="s">
        <v>833</v>
      </c>
      <c r="J2632" t="str">
        <f t="shared" si="704"/>
        <v>2015-07-01 00:00:00.0</v>
      </c>
      <c r="K2632" t="s">
        <v>834</v>
      </c>
      <c r="L2632" t="s">
        <v>0</v>
      </c>
      <c r="M2632" t="str">
        <f t="shared" si="693"/>
        <v>048314</v>
      </c>
      <c r="N2632">
        <v>1</v>
      </c>
      <c r="O2632">
        <v>1</v>
      </c>
      <c r="P2632" t="str">
        <f>"09"</f>
        <v>09</v>
      </c>
      <c r="Q2632" t="s">
        <v>835</v>
      </c>
      <c r="S2632" t="s">
        <v>836</v>
      </c>
      <c r="T2632" t="s">
        <v>836</v>
      </c>
      <c r="U2632" t="str">
        <f t="shared" si="701"/>
        <v>2500-12-31 00:00:00.0</v>
      </c>
      <c r="V2632" t="s">
        <v>837</v>
      </c>
      <c r="W2632" t="str">
        <f>"048314-004796-**-**"</f>
        <v>048314-004796-**-**</v>
      </c>
      <c r="X2632" t="s">
        <v>838</v>
      </c>
      <c r="Y2632">
        <v>1254.5</v>
      </c>
      <c r="Z2632">
        <v>1254.5</v>
      </c>
      <c r="AA2632" t="str">
        <f t="shared" si="699"/>
        <v>06/08/2016</v>
      </c>
    </row>
    <row r="2633" spans="1:27" x14ac:dyDescent="0.3">
      <c r="A2633" t="str">
        <f t="shared" si="705"/>
        <v>048314</v>
      </c>
      <c r="B2633" t="str">
        <f t="shared" si="700"/>
        <v>070417</v>
      </c>
      <c r="C2633" t="s">
        <v>1883</v>
      </c>
      <c r="D2633" t="s">
        <v>3839</v>
      </c>
      <c r="E2633" t="s">
        <v>3840</v>
      </c>
      <c r="F2633" t="s">
        <v>3841</v>
      </c>
      <c r="G2633" t="s">
        <v>3842</v>
      </c>
      <c r="H2633" t="str">
        <f t="shared" si="697"/>
        <v>048314</v>
      </c>
      <c r="I2633" t="s">
        <v>833</v>
      </c>
      <c r="J2633" t="str">
        <f t="shared" si="704"/>
        <v>2015-07-01 00:00:00.0</v>
      </c>
      <c r="K2633" t="s">
        <v>834</v>
      </c>
      <c r="L2633" t="s">
        <v>0</v>
      </c>
      <c r="M2633" t="str">
        <f t="shared" si="693"/>
        <v>048314</v>
      </c>
      <c r="N2633">
        <v>1</v>
      </c>
      <c r="O2633">
        <v>1</v>
      </c>
      <c r="P2633" t="str">
        <f>"09"</f>
        <v>09</v>
      </c>
      <c r="Q2633" t="s">
        <v>835</v>
      </c>
      <c r="S2633" t="s">
        <v>836</v>
      </c>
      <c r="T2633" t="s">
        <v>836</v>
      </c>
      <c r="U2633" t="str">
        <f t="shared" si="701"/>
        <v>2500-12-31 00:00:00.0</v>
      </c>
      <c r="V2633" t="s">
        <v>837</v>
      </c>
      <c r="W2633" t="str">
        <f>"048314-004796-**-**"</f>
        <v>048314-004796-**-**</v>
      </c>
      <c r="X2633" t="s">
        <v>838</v>
      </c>
      <c r="Y2633">
        <v>1254.5</v>
      </c>
      <c r="Z2633">
        <v>1254.5</v>
      </c>
      <c r="AA2633" t="str">
        <f t="shared" si="699"/>
        <v>06/08/2016</v>
      </c>
    </row>
    <row r="2634" spans="1:27" x14ac:dyDescent="0.3">
      <c r="A2634" t="str">
        <f t="shared" si="705"/>
        <v>048314</v>
      </c>
      <c r="B2634" t="str">
        <f t="shared" si="700"/>
        <v>070417</v>
      </c>
      <c r="C2634" t="s">
        <v>2435</v>
      </c>
      <c r="D2634" t="s">
        <v>3839</v>
      </c>
      <c r="E2634" t="s">
        <v>3840</v>
      </c>
      <c r="F2634" t="s">
        <v>3841</v>
      </c>
      <c r="G2634" t="s">
        <v>3842</v>
      </c>
      <c r="H2634" t="str">
        <f t="shared" si="697"/>
        <v>048314</v>
      </c>
      <c r="I2634" t="s">
        <v>833</v>
      </c>
      <c r="J2634" t="str">
        <f t="shared" si="704"/>
        <v>2015-07-01 00:00:00.0</v>
      </c>
      <c r="K2634" t="s">
        <v>834</v>
      </c>
      <c r="L2634" t="s">
        <v>0</v>
      </c>
      <c r="M2634" t="str">
        <f t="shared" si="693"/>
        <v>048314</v>
      </c>
      <c r="N2634">
        <v>1</v>
      </c>
      <c r="O2634">
        <v>1</v>
      </c>
      <c r="P2634" t="str">
        <f>"07"</f>
        <v>07</v>
      </c>
      <c r="Q2634" t="s">
        <v>835</v>
      </c>
      <c r="S2634" t="s">
        <v>860</v>
      </c>
      <c r="T2634" t="s">
        <v>836</v>
      </c>
      <c r="U2634" t="str">
        <f t="shared" si="701"/>
        <v>2500-12-31 00:00:00.0</v>
      </c>
      <c r="V2634" t="s">
        <v>837</v>
      </c>
      <c r="W2634" t="str">
        <f>"048314-070417-**-**"</f>
        <v>048314-070417-**-**</v>
      </c>
      <c r="X2634" t="s">
        <v>838</v>
      </c>
      <c r="Y2634">
        <v>1125</v>
      </c>
      <c r="Z2634">
        <v>1125</v>
      </c>
      <c r="AA2634" t="str">
        <f t="shared" si="699"/>
        <v>06/08/2016</v>
      </c>
    </row>
    <row r="2635" spans="1:27" x14ac:dyDescent="0.3">
      <c r="A2635" t="str">
        <f t="shared" si="705"/>
        <v>048314</v>
      </c>
      <c r="B2635" t="str">
        <f t="shared" si="700"/>
        <v>070417</v>
      </c>
      <c r="C2635" t="s">
        <v>2128</v>
      </c>
      <c r="D2635" t="s">
        <v>3839</v>
      </c>
      <c r="E2635" t="s">
        <v>3840</v>
      </c>
      <c r="F2635" t="s">
        <v>3841</v>
      </c>
      <c r="G2635" t="s">
        <v>3842</v>
      </c>
      <c r="H2635" t="str">
        <f t="shared" si="697"/>
        <v>048314</v>
      </c>
      <c r="I2635" t="s">
        <v>833</v>
      </c>
      <c r="J2635" t="str">
        <f t="shared" si="704"/>
        <v>2015-07-01 00:00:00.0</v>
      </c>
      <c r="K2635" t="s">
        <v>834</v>
      </c>
      <c r="L2635" t="s">
        <v>0</v>
      </c>
      <c r="M2635" t="str">
        <f t="shared" si="693"/>
        <v>048314</v>
      </c>
      <c r="N2635">
        <v>1</v>
      </c>
      <c r="O2635">
        <v>1</v>
      </c>
      <c r="P2635" t="str">
        <f>"08"</f>
        <v>08</v>
      </c>
      <c r="Q2635" t="s">
        <v>835</v>
      </c>
      <c r="S2635" t="s">
        <v>860</v>
      </c>
      <c r="T2635" t="s">
        <v>836</v>
      </c>
      <c r="U2635" t="str">
        <f t="shared" si="701"/>
        <v>2500-12-31 00:00:00.0</v>
      </c>
      <c r="V2635" t="s">
        <v>837</v>
      </c>
      <c r="W2635" t="str">
        <f>"048314-070417-**-**"</f>
        <v>048314-070417-**-**</v>
      </c>
      <c r="X2635" t="s">
        <v>838</v>
      </c>
      <c r="Y2635">
        <v>1125</v>
      </c>
      <c r="Z2635">
        <v>1125</v>
      </c>
      <c r="AA2635" t="str">
        <f t="shared" si="699"/>
        <v>06/08/2016</v>
      </c>
    </row>
    <row r="2636" spans="1:27" x14ac:dyDescent="0.3">
      <c r="A2636" t="str">
        <f t="shared" si="705"/>
        <v>048314</v>
      </c>
      <c r="B2636" t="str">
        <f t="shared" si="700"/>
        <v>070417</v>
      </c>
      <c r="C2636" t="s">
        <v>2129</v>
      </c>
      <c r="D2636" t="s">
        <v>3839</v>
      </c>
      <c r="E2636" t="s">
        <v>3840</v>
      </c>
      <c r="F2636" t="s">
        <v>3841</v>
      </c>
      <c r="G2636" t="s">
        <v>3842</v>
      </c>
      <c r="H2636" t="str">
        <f t="shared" si="697"/>
        <v>048314</v>
      </c>
      <c r="I2636" t="s">
        <v>833</v>
      </c>
      <c r="J2636" t="str">
        <f t="shared" si="704"/>
        <v>2015-07-01 00:00:00.0</v>
      </c>
      <c r="K2636" t="s">
        <v>834</v>
      </c>
      <c r="L2636" t="s">
        <v>0</v>
      </c>
      <c r="M2636" t="str">
        <f t="shared" si="693"/>
        <v>048314</v>
      </c>
      <c r="N2636">
        <v>1</v>
      </c>
      <c r="O2636">
        <v>1</v>
      </c>
      <c r="P2636" t="str">
        <f>"08"</f>
        <v>08</v>
      </c>
      <c r="Q2636" t="s">
        <v>835</v>
      </c>
      <c r="S2636" t="s">
        <v>836</v>
      </c>
      <c r="T2636" t="s">
        <v>836</v>
      </c>
      <c r="U2636" t="str">
        <f t="shared" si="701"/>
        <v>2500-12-31 00:00:00.0</v>
      </c>
      <c r="V2636" t="s">
        <v>837</v>
      </c>
      <c r="W2636" t="str">
        <f>"048314-070417-**-**"</f>
        <v>048314-070417-**-**</v>
      </c>
      <c r="X2636" t="s">
        <v>838</v>
      </c>
      <c r="Y2636">
        <v>1125</v>
      </c>
      <c r="Z2636">
        <v>1125</v>
      </c>
      <c r="AA2636" t="str">
        <f t="shared" si="699"/>
        <v>06/08/2016</v>
      </c>
    </row>
    <row r="2637" spans="1:27" x14ac:dyDescent="0.3">
      <c r="A2637" t="str">
        <f t="shared" si="705"/>
        <v>048314</v>
      </c>
      <c r="B2637" t="str">
        <f t="shared" si="700"/>
        <v>070417</v>
      </c>
      <c r="C2637" t="s">
        <v>2691</v>
      </c>
      <c r="D2637" t="s">
        <v>3839</v>
      </c>
      <c r="E2637" t="s">
        <v>3840</v>
      </c>
      <c r="F2637" t="s">
        <v>3841</v>
      </c>
      <c r="G2637" t="s">
        <v>3842</v>
      </c>
      <c r="H2637" t="str">
        <f t="shared" si="697"/>
        <v>048314</v>
      </c>
      <c r="I2637" t="s">
        <v>833</v>
      </c>
      <c r="J2637" t="str">
        <f t="shared" si="704"/>
        <v>2015-07-01 00:00:00.0</v>
      </c>
      <c r="K2637" t="s">
        <v>834</v>
      </c>
      <c r="L2637" t="s">
        <v>0</v>
      </c>
      <c r="M2637" t="str">
        <f t="shared" si="693"/>
        <v>048314</v>
      </c>
      <c r="N2637">
        <v>1</v>
      </c>
      <c r="O2637">
        <v>1</v>
      </c>
      <c r="P2637" t="str">
        <f>"06"</f>
        <v>06</v>
      </c>
      <c r="Q2637" t="s">
        <v>835</v>
      </c>
      <c r="S2637" t="s">
        <v>836</v>
      </c>
      <c r="T2637" t="s">
        <v>836</v>
      </c>
      <c r="U2637" t="str">
        <f t="shared" si="701"/>
        <v>2500-12-31 00:00:00.0</v>
      </c>
      <c r="V2637" t="s">
        <v>837</v>
      </c>
      <c r="W2637" t="str">
        <f>"048314-070417-**-**"</f>
        <v>048314-070417-**-**</v>
      </c>
      <c r="X2637" t="s">
        <v>838</v>
      </c>
      <c r="Y2637">
        <v>1125</v>
      </c>
      <c r="Z2637">
        <v>1125</v>
      </c>
      <c r="AA2637" t="str">
        <f t="shared" si="699"/>
        <v>06/08/2016</v>
      </c>
    </row>
    <row r="2638" spans="1:27" x14ac:dyDescent="0.3">
      <c r="A2638" t="str">
        <f t="shared" si="705"/>
        <v>048314</v>
      </c>
      <c r="B2638" t="str">
        <f t="shared" si="700"/>
        <v>070417</v>
      </c>
      <c r="C2638" t="s">
        <v>2436</v>
      </c>
      <c r="D2638" t="s">
        <v>3839</v>
      </c>
      <c r="E2638" t="s">
        <v>3840</v>
      </c>
      <c r="F2638" t="s">
        <v>3841</v>
      </c>
      <c r="G2638" t="s">
        <v>3842</v>
      </c>
      <c r="H2638" t="str">
        <f>"142950"</f>
        <v>142950</v>
      </c>
      <c r="I2638" t="s">
        <v>833</v>
      </c>
      <c r="J2638" t="str">
        <f t="shared" si="704"/>
        <v>2015-07-01 00:00:00.0</v>
      </c>
      <c r="K2638" t="s">
        <v>834</v>
      </c>
      <c r="L2638" t="s">
        <v>2</v>
      </c>
      <c r="M2638" t="str">
        <f t="shared" si="693"/>
        <v>048314</v>
      </c>
      <c r="N2638">
        <v>1</v>
      </c>
      <c r="O2638">
        <v>1</v>
      </c>
      <c r="P2638" t="str">
        <f>"07"</f>
        <v>07</v>
      </c>
      <c r="Q2638" t="s">
        <v>835</v>
      </c>
      <c r="S2638" t="s">
        <v>836</v>
      </c>
      <c r="T2638" t="s">
        <v>836</v>
      </c>
      <c r="U2638" t="str">
        <f t="shared" si="701"/>
        <v>2500-12-31 00:00:00.0</v>
      </c>
      <c r="V2638" t="s">
        <v>837</v>
      </c>
      <c r="W2638" t="str">
        <f>"142950-142950-**-**"</f>
        <v>142950-142950-**-**</v>
      </c>
      <c r="X2638" t="s">
        <v>865</v>
      </c>
      <c r="Y2638">
        <v>925.52</v>
      </c>
      <c r="Z2638">
        <v>925.52</v>
      </c>
      <c r="AA2638" t="str">
        <f>"05/25/2016"</f>
        <v>05/25/2016</v>
      </c>
    </row>
    <row r="2639" spans="1:27" x14ac:dyDescent="0.3">
      <c r="A2639" t="str">
        <f t="shared" si="705"/>
        <v>048314</v>
      </c>
      <c r="B2639" t="str">
        <f t="shared" si="700"/>
        <v>070417</v>
      </c>
      <c r="C2639" t="s">
        <v>2692</v>
      </c>
      <c r="D2639" t="s">
        <v>3839</v>
      </c>
      <c r="E2639" t="s">
        <v>3840</v>
      </c>
      <c r="F2639" t="s">
        <v>3841</v>
      </c>
      <c r="G2639" t="s">
        <v>3842</v>
      </c>
      <c r="H2639" t="str">
        <f t="shared" ref="H2639:H2644" si="706">"048314"</f>
        <v>048314</v>
      </c>
      <c r="I2639" t="s">
        <v>833</v>
      </c>
      <c r="J2639" t="str">
        <f t="shared" si="704"/>
        <v>2015-07-01 00:00:00.0</v>
      </c>
      <c r="K2639" t="s">
        <v>834</v>
      </c>
      <c r="L2639" t="s">
        <v>0</v>
      </c>
      <c r="M2639" t="str">
        <f t="shared" si="693"/>
        <v>048314</v>
      </c>
      <c r="N2639">
        <v>1</v>
      </c>
      <c r="O2639">
        <v>1</v>
      </c>
      <c r="P2639" t="str">
        <f>"06"</f>
        <v>06</v>
      </c>
      <c r="Q2639" t="s">
        <v>835</v>
      </c>
      <c r="S2639" t="s">
        <v>860</v>
      </c>
      <c r="T2639" t="s">
        <v>836</v>
      </c>
      <c r="U2639" t="str">
        <f t="shared" si="701"/>
        <v>2500-12-31 00:00:00.0</v>
      </c>
      <c r="V2639" t="s">
        <v>837</v>
      </c>
      <c r="W2639" t="str">
        <f>"048314-070417-**-**"</f>
        <v>048314-070417-**-**</v>
      </c>
      <c r="X2639" t="s">
        <v>838</v>
      </c>
      <c r="Y2639">
        <v>1125</v>
      </c>
      <c r="Z2639">
        <v>1125</v>
      </c>
      <c r="AA2639" t="str">
        <f t="shared" ref="AA2639:AA2644" si="707">"06/08/2016"</f>
        <v>06/08/2016</v>
      </c>
    </row>
    <row r="2640" spans="1:27" x14ac:dyDescent="0.3">
      <c r="A2640" t="str">
        <f t="shared" si="705"/>
        <v>048314</v>
      </c>
      <c r="B2640" t="str">
        <f t="shared" si="700"/>
        <v>070417</v>
      </c>
      <c r="C2640" t="s">
        <v>2364</v>
      </c>
      <c r="D2640" t="s">
        <v>3839</v>
      </c>
      <c r="E2640" t="s">
        <v>3840</v>
      </c>
      <c r="F2640" t="s">
        <v>3841</v>
      </c>
      <c r="G2640" t="s">
        <v>3842</v>
      </c>
      <c r="H2640" t="str">
        <f t="shared" si="706"/>
        <v>048314</v>
      </c>
      <c r="I2640" t="s">
        <v>833</v>
      </c>
      <c r="J2640" t="str">
        <f t="shared" si="704"/>
        <v>2015-07-01 00:00:00.0</v>
      </c>
      <c r="K2640" t="s">
        <v>834</v>
      </c>
      <c r="L2640" t="s">
        <v>0</v>
      </c>
      <c r="M2640" t="str">
        <f t="shared" si="693"/>
        <v>048314</v>
      </c>
      <c r="N2640">
        <v>1</v>
      </c>
      <c r="O2640">
        <v>1</v>
      </c>
      <c r="P2640" t="str">
        <f>"07"</f>
        <v>07</v>
      </c>
      <c r="Q2640" t="s">
        <v>835</v>
      </c>
      <c r="S2640" t="s">
        <v>836</v>
      </c>
      <c r="T2640" t="s">
        <v>836</v>
      </c>
      <c r="U2640" t="str">
        <f t="shared" si="701"/>
        <v>2500-12-31 00:00:00.0</v>
      </c>
      <c r="V2640" t="s">
        <v>837</v>
      </c>
      <c r="W2640" t="str">
        <f>"048314-070417-**-**"</f>
        <v>048314-070417-**-**</v>
      </c>
      <c r="X2640" t="s">
        <v>838</v>
      </c>
      <c r="Y2640">
        <v>1125</v>
      </c>
      <c r="Z2640">
        <v>1125</v>
      </c>
      <c r="AA2640" t="str">
        <f t="shared" si="707"/>
        <v>06/08/2016</v>
      </c>
    </row>
    <row r="2641" spans="1:27" x14ac:dyDescent="0.3">
      <c r="A2641" t="str">
        <f t="shared" si="705"/>
        <v>048314</v>
      </c>
      <c r="B2641" t="str">
        <f t="shared" si="700"/>
        <v>070417</v>
      </c>
      <c r="C2641" t="s">
        <v>1979</v>
      </c>
      <c r="D2641" t="s">
        <v>3839</v>
      </c>
      <c r="E2641" t="s">
        <v>3840</v>
      </c>
      <c r="F2641" t="s">
        <v>3841</v>
      </c>
      <c r="G2641" t="s">
        <v>3842</v>
      </c>
      <c r="H2641" t="str">
        <f t="shared" si="706"/>
        <v>048314</v>
      </c>
      <c r="I2641" t="s">
        <v>833</v>
      </c>
      <c r="J2641" t="str">
        <f t="shared" si="704"/>
        <v>2015-07-01 00:00:00.0</v>
      </c>
      <c r="K2641" t="s">
        <v>834</v>
      </c>
      <c r="L2641" t="s">
        <v>0</v>
      </c>
      <c r="M2641" t="str">
        <f t="shared" si="693"/>
        <v>048314</v>
      </c>
      <c r="N2641">
        <v>1</v>
      </c>
      <c r="O2641">
        <v>1</v>
      </c>
      <c r="P2641" t="str">
        <f>"08"</f>
        <v>08</v>
      </c>
      <c r="Q2641" t="s">
        <v>835</v>
      </c>
      <c r="S2641" t="s">
        <v>860</v>
      </c>
      <c r="T2641" t="s">
        <v>836</v>
      </c>
      <c r="U2641" t="str">
        <f t="shared" si="701"/>
        <v>2500-12-31 00:00:00.0</v>
      </c>
      <c r="V2641" t="s">
        <v>837</v>
      </c>
      <c r="W2641" t="str">
        <f>"048314-070417-**-**"</f>
        <v>048314-070417-**-**</v>
      </c>
      <c r="X2641" t="s">
        <v>838</v>
      </c>
      <c r="Y2641">
        <v>1125</v>
      </c>
      <c r="Z2641">
        <v>1125</v>
      </c>
      <c r="AA2641" t="str">
        <f t="shared" si="707"/>
        <v>06/08/2016</v>
      </c>
    </row>
    <row r="2642" spans="1:27" x14ac:dyDescent="0.3">
      <c r="A2642" t="str">
        <f t="shared" si="705"/>
        <v>048314</v>
      </c>
      <c r="B2642" t="str">
        <f t="shared" si="700"/>
        <v>070417</v>
      </c>
      <c r="C2642" t="s">
        <v>2437</v>
      </c>
      <c r="D2642" t="s">
        <v>3839</v>
      </c>
      <c r="E2642" t="s">
        <v>3840</v>
      </c>
      <c r="F2642" t="s">
        <v>3841</v>
      </c>
      <c r="G2642" t="s">
        <v>3842</v>
      </c>
      <c r="H2642" t="str">
        <f t="shared" si="706"/>
        <v>048314</v>
      </c>
      <c r="I2642" t="s">
        <v>833</v>
      </c>
      <c r="J2642" t="str">
        <f t="shared" si="704"/>
        <v>2015-07-01 00:00:00.0</v>
      </c>
      <c r="K2642" t="s">
        <v>834</v>
      </c>
      <c r="L2642" t="s">
        <v>0</v>
      </c>
      <c r="M2642" t="str">
        <f t="shared" ref="M2642:M2651" si="708">"048314"</f>
        <v>048314</v>
      </c>
      <c r="N2642">
        <v>1</v>
      </c>
      <c r="O2642">
        <v>1</v>
      </c>
      <c r="P2642" t="str">
        <f>"07"</f>
        <v>07</v>
      </c>
      <c r="Q2642" t="s">
        <v>835</v>
      </c>
      <c r="S2642" t="s">
        <v>836</v>
      </c>
      <c r="T2642" t="s">
        <v>836</v>
      </c>
      <c r="U2642" t="str">
        <f t="shared" si="701"/>
        <v>2500-12-31 00:00:00.0</v>
      </c>
      <c r="V2642" t="s">
        <v>837</v>
      </c>
      <c r="W2642" t="str">
        <f>"048314-070417-**-**"</f>
        <v>048314-070417-**-**</v>
      </c>
      <c r="X2642" t="s">
        <v>838</v>
      </c>
      <c r="Y2642">
        <v>1125</v>
      </c>
      <c r="Z2642">
        <v>1125</v>
      </c>
      <c r="AA2642" t="str">
        <f t="shared" si="707"/>
        <v>06/08/2016</v>
      </c>
    </row>
    <row r="2643" spans="1:27" x14ac:dyDescent="0.3">
      <c r="A2643" t="str">
        <f t="shared" si="705"/>
        <v>048314</v>
      </c>
      <c r="B2643" t="str">
        <f t="shared" si="700"/>
        <v>070417</v>
      </c>
      <c r="C2643" t="s">
        <v>1830</v>
      </c>
      <c r="D2643" t="s">
        <v>3839</v>
      </c>
      <c r="E2643" t="s">
        <v>3840</v>
      </c>
      <c r="F2643" t="s">
        <v>3841</v>
      </c>
      <c r="G2643" t="s">
        <v>3842</v>
      </c>
      <c r="H2643" t="str">
        <f t="shared" si="706"/>
        <v>048314</v>
      </c>
      <c r="I2643" t="s">
        <v>833</v>
      </c>
      <c r="J2643" t="str">
        <f t="shared" si="704"/>
        <v>2015-07-01 00:00:00.0</v>
      </c>
      <c r="K2643" t="s">
        <v>834</v>
      </c>
      <c r="L2643" t="s">
        <v>0</v>
      </c>
      <c r="M2643" t="str">
        <f t="shared" si="708"/>
        <v>048314</v>
      </c>
      <c r="N2643">
        <v>1</v>
      </c>
      <c r="O2643">
        <v>1</v>
      </c>
      <c r="P2643" t="str">
        <f>"08"</f>
        <v>08</v>
      </c>
      <c r="Q2643" t="s">
        <v>835</v>
      </c>
      <c r="S2643" t="s">
        <v>860</v>
      </c>
      <c r="T2643" t="s">
        <v>836</v>
      </c>
      <c r="U2643" t="str">
        <f t="shared" si="701"/>
        <v>2500-12-31 00:00:00.0</v>
      </c>
      <c r="V2643" t="s">
        <v>837</v>
      </c>
      <c r="W2643" t="str">
        <f>"048314-070417-**-**"</f>
        <v>048314-070417-**-**</v>
      </c>
      <c r="X2643" t="s">
        <v>838</v>
      </c>
      <c r="Y2643">
        <v>1125</v>
      </c>
      <c r="Z2643">
        <v>1125</v>
      </c>
      <c r="AA2643" t="str">
        <f t="shared" si="707"/>
        <v>06/08/2016</v>
      </c>
    </row>
    <row r="2644" spans="1:27" x14ac:dyDescent="0.3">
      <c r="A2644" t="str">
        <f t="shared" si="705"/>
        <v>048314</v>
      </c>
      <c r="B2644" t="str">
        <f t="shared" si="700"/>
        <v>070417</v>
      </c>
      <c r="C2644" t="s">
        <v>2317</v>
      </c>
      <c r="D2644" t="s">
        <v>3839</v>
      </c>
      <c r="E2644" t="s">
        <v>3840</v>
      </c>
      <c r="F2644" t="s">
        <v>3841</v>
      </c>
      <c r="G2644" t="s">
        <v>3842</v>
      </c>
      <c r="H2644" t="str">
        <f t="shared" si="706"/>
        <v>048314</v>
      </c>
      <c r="I2644" t="s">
        <v>833</v>
      </c>
      <c r="J2644" t="str">
        <f t="shared" si="704"/>
        <v>2015-07-01 00:00:00.0</v>
      </c>
      <c r="K2644" t="s">
        <v>834</v>
      </c>
      <c r="L2644" t="s">
        <v>0</v>
      </c>
      <c r="M2644" t="str">
        <f t="shared" si="708"/>
        <v>048314</v>
      </c>
      <c r="N2644">
        <v>1</v>
      </c>
      <c r="O2644">
        <v>1</v>
      </c>
      <c r="P2644" t="str">
        <f>"09"</f>
        <v>09</v>
      </c>
      <c r="Q2644" t="str">
        <f>"10"</f>
        <v>10</v>
      </c>
      <c r="R2644" t="str">
        <f>"2"</f>
        <v>2</v>
      </c>
      <c r="S2644" t="s">
        <v>836</v>
      </c>
      <c r="T2644" t="s">
        <v>836</v>
      </c>
      <c r="U2644" t="str">
        <f t="shared" si="701"/>
        <v>2500-12-31 00:00:00.0</v>
      </c>
      <c r="V2644" t="s">
        <v>837</v>
      </c>
      <c r="W2644" t="str">
        <f>"048314-004796-**-**"</f>
        <v>048314-004796-**-**</v>
      </c>
      <c r="X2644" t="s">
        <v>838</v>
      </c>
      <c r="Y2644">
        <v>1254.5</v>
      </c>
      <c r="Z2644">
        <v>1254.5</v>
      </c>
      <c r="AA2644" t="str">
        <f t="shared" si="707"/>
        <v>06/08/2016</v>
      </c>
    </row>
    <row r="2645" spans="1:27" x14ac:dyDescent="0.3">
      <c r="A2645" t="str">
        <f t="shared" si="705"/>
        <v>048314</v>
      </c>
      <c r="B2645" t="str">
        <f t="shared" si="700"/>
        <v>070417</v>
      </c>
      <c r="C2645" t="s">
        <v>2693</v>
      </c>
      <c r="D2645" t="s">
        <v>3839</v>
      </c>
      <c r="E2645" t="s">
        <v>3840</v>
      </c>
      <c r="F2645" t="s">
        <v>3841</v>
      </c>
      <c r="G2645" t="s">
        <v>3842</v>
      </c>
      <c r="H2645" t="str">
        <f>"143396"</f>
        <v>143396</v>
      </c>
      <c r="I2645" t="s">
        <v>833</v>
      </c>
      <c r="J2645" t="str">
        <f>"2015-09-03 00:00:00.0"</f>
        <v>2015-09-03 00:00:00.0</v>
      </c>
      <c r="K2645" t="s">
        <v>834</v>
      </c>
      <c r="L2645" t="s">
        <v>2</v>
      </c>
      <c r="M2645" t="str">
        <f t="shared" si="708"/>
        <v>048314</v>
      </c>
      <c r="N2645">
        <v>0.43010799999999999</v>
      </c>
      <c r="O2645">
        <v>0.43010799999999999</v>
      </c>
      <c r="P2645" t="str">
        <f>"06"</f>
        <v>06</v>
      </c>
      <c r="Q2645" t="s">
        <v>835</v>
      </c>
      <c r="S2645" t="s">
        <v>836</v>
      </c>
      <c r="T2645" t="s">
        <v>836</v>
      </c>
      <c r="U2645" t="str">
        <f>"2016-01-14 00:00:00.0"</f>
        <v>2016-01-14 00:00:00.0</v>
      </c>
      <c r="V2645" t="s">
        <v>837</v>
      </c>
      <c r="W2645" t="str">
        <f>"143396-143396-06-**"</f>
        <v>143396-143396-06-**</v>
      </c>
      <c r="X2645" t="s">
        <v>865</v>
      </c>
      <c r="Y2645">
        <v>480</v>
      </c>
      <c r="Z2645">
        <v>1116</v>
      </c>
      <c r="AA2645" t="str">
        <f>"05/25/2016"</f>
        <v>05/25/2016</v>
      </c>
    </row>
    <row r="2646" spans="1:27" x14ac:dyDescent="0.3">
      <c r="A2646" t="str">
        <f t="shared" si="705"/>
        <v>048314</v>
      </c>
      <c r="B2646" t="str">
        <f t="shared" si="700"/>
        <v>070417</v>
      </c>
      <c r="C2646" t="s">
        <v>1951</v>
      </c>
      <c r="D2646" t="s">
        <v>3839</v>
      </c>
      <c r="E2646" t="s">
        <v>3840</v>
      </c>
      <c r="F2646" t="s">
        <v>3841</v>
      </c>
      <c r="G2646" t="s">
        <v>3842</v>
      </c>
      <c r="H2646" t="str">
        <f t="shared" ref="H2646:H2709" si="709">"048314"</f>
        <v>048314</v>
      </c>
      <c r="I2646" t="s">
        <v>833</v>
      </c>
      <c r="J2646" t="str">
        <f t="shared" ref="J2646:J2665" si="710">"2015-07-01 00:00:00.0"</f>
        <v>2015-07-01 00:00:00.0</v>
      </c>
      <c r="K2646" t="s">
        <v>834</v>
      </c>
      <c r="L2646" t="s">
        <v>0</v>
      </c>
      <c r="M2646" t="str">
        <f t="shared" si="708"/>
        <v>048314</v>
      </c>
      <c r="N2646">
        <v>1</v>
      </c>
      <c r="O2646">
        <v>1</v>
      </c>
      <c r="P2646" t="str">
        <f>"09"</f>
        <v>09</v>
      </c>
      <c r="Q2646" t="s">
        <v>835</v>
      </c>
      <c r="S2646" t="s">
        <v>836</v>
      </c>
      <c r="T2646" t="s">
        <v>836</v>
      </c>
      <c r="U2646" t="str">
        <f t="shared" ref="U2646:U2709" si="711">"2500-12-31 00:00:00.0"</f>
        <v>2500-12-31 00:00:00.0</v>
      </c>
      <c r="V2646" t="s">
        <v>837</v>
      </c>
      <c r="W2646" t="str">
        <f>"048314-004796-**-**"</f>
        <v>048314-004796-**-**</v>
      </c>
      <c r="X2646" t="s">
        <v>838</v>
      </c>
      <c r="Y2646">
        <v>1254.5</v>
      </c>
      <c r="Z2646">
        <v>1254.5</v>
      </c>
      <c r="AA2646" t="str">
        <f t="shared" ref="AA2646:AA2709" si="712">"06/08/2016"</f>
        <v>06/08/2016</v>
      </c>
    </row>
    <row r="2647" spans="1:27" x14ac:dyDescent="0.3">
      <c r="A2647" t="str">
        <f t="shared" si="705"/>
        <v>048314</v>
      </c>
      <c r="B2647" t="str">
        <f t="shared" si="700"/>
        <v>070417</v>
      </c>
      <c r="C2647" t="s">
        <v>2694</v>
      </c>
      <c r="D2647" t="s">
        <v>3839</v>
      </c>
      <c r="E2647" t="s">
        <v>3840</v>
      </c>
      <c r="F2647" t="s">
        <v>3841</v>
      </c>
      <c r="G2647" t="s">
        <v>3842</v>
      </c>
      <c r="H2647" t="str">
        <f t="shared" si="709"/>
        <v>048314</v>
      </c>
      <c r="I2647" t="s">
        <v>833</v>
      </c>
      <c r="J2647" t="str">
        <f t="shared" si="710"/>
        <v>2015-07-01 00:00:00.0</v>
      </c>
      <c r="K2647" t="s">
        <v>834</v>
      </c>
      <c r="L2647" t="s">
        <v>0</v>
      </c>
      <c r="M2647" t="str">
        <f t="shared" si="708"/>
        <v>048314</v>
      </c>
      <c r="N2647">
        <v>1</v>
      </c>
      <c r="O2647">
        <v>1</v>
      </c>
      <c r="P2647" t="str">
        <f>"06"</f>
        <v>06</v>
      </c>
      <c r="Q2647" t="s">
        <v>835</v>
      </c>
      <c r="S2647" t="s">
        <v>836</v>
      </c>
      <c r="T2647" t="s">
        <v>836</v>
      </c>
      <c r="U2647" t="str">
        <f t="shared" si="711"/>
        <v>2500-12-31 00:00:00.0</v>
      </c>
      <c r="V2647" t="s">
        <v>837</v>
      </c>
      <c r="W2647" t="str">
        <f t="shared" ref="W2647:W2666" si="713">"048314-070417-**-**"</f>
        <v>048314-070417-**-**</v>
      </c>
      <c r="X2647" t="s">
        <v>838</v>
      </c>
      <c r="Y2647">
        <v>1125</v>
      </c>
      <c r="Z2647">
        <v>1125</v>
      </c>
      <c r="AA2647" t="str">
        <f t="shared" si="712"/>
        <v>06/08/2016</v>
      </c>
    </row>
    <row r="2648" spans="1:27" x14ac:dyDescent="0.3">
      <c r="A2648" t="str">
        <f t="shared" si="705"/>
        <v>048314</v>
      </c>
      <c r="B2648" t="str">
        <f t="shared" si="700"/>
        <v>070417</v>
      </c>
      <c r="C2648" t="s">
        <v>2438</v>
      </c>
      <c r="D2648" t="s">
        <v>3839</v>
      </c>
      <c r="E2648" t="s">
        <v>3840</v>
      </c>
      <c r="F2648" t="s">
        <v>3841</v>
      </c>
      <c r="G2648" t="s">
        <v>3842</v>
      </c>
      <c r="H2648" t="str">
        <f t="shared" si="709"/>
        <v>048314</v>
      </c>
      <c r="I2648" t="s">
        <v>833</v>
      </c>
      <c r="J2648" t="str">
        <f t="shared" si="710"/>
        <v>2015-07-01 00:00:00.0</v>
      </c>
      <c r="K2648" t="s">
        <v>834</v>
      </c>
      <c r="L2648" t="s">
        <v>0</v>
      </c>
      <c r="M2648" t="str">
        <f t="shared" si="708"/>
        <v>048314</v>
      </c>
      <c r="N2648">
        <v>1</v>
      </c>
      <c r="O2648">
        <v>1</v>
      </c>
      <c r="P2648" t="str">
        <f>"07"</f>
        <v>07</v>
      </c>
      <c r="Q2648" t="s">
        <v>835</v>
      </c>
      <c r="S2648" t="s">
        <v>836</v>
      </c>
      <c r="T2648" t="s">
        <v>836</v>
      </c>
      <c r="U2648" t="str">
        <f t="shared" si="711"/>
        <v>2500-12-31 00:00:00.0</v>
      </c>
      <c r="V2648" t="s">
        <v>837</v>
      </c>
      <c r="W2648" t="str">
        <f t="shared" si="713"/>
        <v>048314-070417-**-**</v>
      </c>
      <c r="X2648" t="s">
        <v>838</v>
      </c>
      <c r="Y2648">
        <v>1125</v>
      </c>
      <c r="Z2648">
        <v>1125</v>
      </c>
      <c r="AA2648" t="str">
        <f t="shared" si="712"/>
        <v>06/08/2016</v>
      </c>
    </row>
    <row r="2649" spans="1:27" x14ac:dyDescent="0.3">
      <c r="A2649" t="str">
        <f t="shared" si="705"/>
        <v>048314</v>
      </c>
      <c r="B2649" t="str">
        <f t="shared" si="700"/>
        <v>070417</v>
      </c>
      <c r="C2649" t="s">
        <v>2586</v>
      </c>
      <c r="D2649" t="s">
        <v>3839</v>
      </c>
      <c r="E2649" t="s">
        <v>3840</v>
      </c>
      <c r="F2649" t="s">
        <v>3841</v>
      </c>
      <c r="G2649" t="s">
        <v>3842</v>
      </c>
      <c r="H2649" t="str">
        <f t="shared" si="709"/>
        <v>048314</v>
      </c>
      <c r="I2649" t="s">
        <v>833</v>
      </c>
      <c r="J2649" t="str">
        <f t="shared" si="710"/>
        <v>2015-07-01 00:00:00.0</v>
      </c>
      <c r="K2649" t="s">
        <v>834</v>
      </c>
      <c r="L2649" t="s">
        <v>0</v>
      </c>
      <c r="M2649" t="str">
        <f t="shared" si="708"/>
        <v>048314</v>
      </c>
      <c r="N2649">
        <v>1</v>
      </c>
      <c r="O2649">
        <v>1</v>
      </c>
      <c r="P2649" t="str">
        <f>"06"</f>
        <v>06</v>
      </c>
      <c r="Q2649" t="s">
        <v>835</v>
      </c>
      <c r="S2649" t="s">
        <v>860</v>
      </c>
      <c r="T2649" t="s">
        <v>836</v>
      </c>
      <c r="U2649" t="str">
        <f t="shared" si="711"/>
        <v>2500-12-31 00:00:00.0</v>
      </c>
      <c r="V2649" t="s">
        <v>837</v>
      </c>
      <c r="W2649" t="str">
        <f t="shared" si="713"/>
        <v>048314-070417-**-**</v>
      </c>
      <c r="X2649" t="s">
        <v>838</v>
      </c>
      <c r="Y2649">
        <v>1125</v>
      </c>
      <c r="Z2649">
        <v>1125</v>
      </c>
      <c r="AA2649" t="str">
        <f t="shared" si="712"/>
        <v>06/08/2016</v>
      </c>
    </row>
    <row r="2650" spans="1:27" x14ac:dyDescent="0.3">
      <c r="A2650" t="str">
        <f t="shared" si="705"/>
        <v>048314</v>
      </c>
      <c r="B2650" t="str">
        <f t="shared" si="700"/>
        <v>070417</v>
      </c>
      <c r="C2650" t="s">
        <v>2439</v>
      </c>
      <c r="D2650" t="s">
        <v>3839</v>
      </c>
      <c r="E2650" t="s">
        <v>3840</v>
      </c>
      <c r="F2650" t="s">
        <v>3841</v>
      </c>
      <c r="G2650" t="s">
        <v>3842</v>
      </c>
      <c r="H2650" t="str">
        <f t="shared" si="709"/>
        <v>048314</v>
      </c>
      <c r="I2650" t="s">
        <v>833</v>
      </c>
      <c r="J2650" t="str">
        <f t="shared" si="710"/>
        <v>2015-07-01 00:00:00.0</v>
      </c>
      <c r="K2650" t="s">
        <v>834</v>
      </c>
      <c r="L2650" t="s">
        <v>0</v>
      </c>
      <c r="M2650" t="str">
        <f t="shared" si="708"/>
        <v>048314</v>
      </c>
      <c r="N2650">
        <v>1</v>
      </c>
      <c r="O2650">
        <v>1</v>
      </c>
      <c r="P2650" t="str">
        <f>"08"</f>
        <v>08</v>
      </c>
      <c r="Q2650" t="s">
        <v>835</v>
      </c>
      <c r="S2650" t="s">
        <v>836</v>
      </c>
      <c r="T2650" t="s">
        <v>836</v>
      </c>
      <c r="U2650" t="str">
        <f t="shared" si="711"/>
        <v>2500-12-31 00:00:00.0</v>
      </c>
      <c r="V2650" t="s">
        <v>837</v>
      </c>
      <c r="W2650" t="str">
        <f t="shared" si="713"/>
        <v>048314-070417-**-**</v>
      </c>
      <c r="X2650" t="s">
        <v>838</v>
      </c>
      <c r="Y2650">
        <v>1125</v>
      </c>
      <c r="Z2650">
        <v>1125</v>
      </c>
      <c r="AA2650" t="str">
        <f t="shared" si="712"/>
        <v>06/08/2016</v>
      </c>
    </row>
    <row r="2651" spans="1:27" x14ac:dyDescent="0.3">
      <c r="A2651" t="str">
        <f t="shared" si="705"/>
        <v>048314</v>
      </c>
      <c r="B2651" t="str">
        <f t="shared" si="700"/>
        <v>070417</v>
      </c>
      <c r="C2651" t="s">
        <v>2440</v>
      </c>
      <c r="D2651" t="s">
        <v>3839</v>
      </c>
      <c r="E2651" t="s">
        <v>3840</v>
      </c>
      <c r="F2651" t="s">
        <v>3841</v>
      </c>
      <c r="G2651" t="s">
        <v>3842</v>
      </c>
      <c r="H2651" t="str">
        <f t="shared" si="709"/>
        <v>048314</v>
      </c>
      <c r="I2651" t="s">
        <v>833</v>
      </c>
      <c r="J2651" t="str">
        <f t="shared" si="710"/>
        <v>2015-07-01 00:00:00.0</v>
      </c>
      <c r="K2651" t="s">
        <v>834</v>
      </c>
      <c r="L2651" t="s">
        <v>0</v>
      </c>
      <c r="M2651" t="str">
        <f t="shared" si="708"/>
        <v>048314</v>
      </c>
      <c r="N2651">
        <v>1</v>
      </c>
      <c r="O2651">
        <v>1</v>
      </c>
      <c r="P2651" t="str">
        <f>"07"</f>
        <v>07</v>
      </c>
      <c r="Q2651" t="s">
        <v>835</v>
      </c>
      <c r="S2651" t="s">
        <v>836</v>
      </c>
      <c r="T2651" t="s">
        <v>836</v>
      </c>
      <c r="U2651" t="str">
        <f t="shared" si="711"/>
        <v>2500-12-31 00:00:00.0</v>
      </c>
      <c r="V2651" t="s">
        <v>837</v>
      </c>
      <c r="W2651" t="str">
        <f t="shared" si="713"/>
        <v>048314-070417-**-**</v>
      </c>
      <c r="X2651" t="s">
        <v>838</v>
      </c>
      <c r="Y2651">
        <v>1125</v>
      </c>
      <c r="Z2651">
        <v>1125</v>
      </c>
      <c r="AA2651" t="str">
        <f t="shared" si="712"/>
        <v>06/08/2016</v>
      </c>
    </row>
    <row r="2652" spans="1:27" x14ac:dyDescent="0.3">
      <c r="A2652" t="str">
        <f t="shared" si="705"/>
        <v>048314</v>
      </c>
      <c r="B2652" t="str">
        <f t="shared" si="700"/>
        <v>070417</v>
      </c>
      <c r="C2652" t="s">
        <v>2315</v>
      </c>
      <c r="D2652" t="s">
        <v>3839</v>
      </c>
      <c r="E2652" t="s">
        <v>3840</v>
      </c>
      <c r="F2652" t="s">
        <v>3841</v>
      </c>
      <c r="G2652" t="s">
        <v>3842</v>
      </c>
      <c r="H2652" t="str">
        <f t="shared" si="709"/>
        <v>048314</v>
      </c>
      <c r="I2652" t="s">
        <v>833</v>
      </c>
      <c r="J2652" t="str">
        <f t="shared" si="710"/>
        <v>2015-07-01 00:00:00.0</v>
      </c>
      <c r="K2652" t="s">
        <v>834</v>
      </c>
      <c r="L2652" t="s">
        <v>0</v>
      </c>
      <c r="M2652" t="str">
        <f>"046425"</f>
        <v>046425</v>
      </c>
      <c r="N2652">
        <v>1</v>
      </c>
      <c r="O2652">
        <v>1</v>
      </c>
      <c r="P2652" t="str">
        <f>"07"</f>
        <v>07</v>
      </c>
      <c r="Q2652" t="s">
        <v>835</v>
      </c>
      <c r="S2652" t="s">
        <v>836</v>
      </c>
      <c r="T2652" t="s">
        <v>836</v>
      </c>
      <c r="U2652" t="str">
        <f t="shared" si="711"/>
        <v>2500-12-31 00:00:00.0</v>
      </c>
      <c r="V2652" t="s">
        <v>837</v>
      </c>
      <c r="W2652" t="str">
        <f t="shared" si="713"/>
        <v>048314-070417-**-**</v>
      </c>
      <c r="X2652" t="s">
        <v>838</v>
      </c>
      <c r="Y2652">
        <v>1125</v>
      </c>
      <c r="Z2652">
        <v>1125</v>
      </c>
      <c r="AA2652" t="str">
        <f t="shared" si="712"/>
        <v>06/08/2016</v>
      </c>
    </row>
    <row r="2653" spans="1:27" x14ac:dyDescent="0.3">
      <c r="A2653" t="str">
        <f t="shared" si="705"/>
        <v>048314</v>
      </c>
      <c r="B2653" t="str">
        <f t="shared" si="700"/>
        <v>070417</v>
      </c>
      <c r="C2653" t="s">
        <v>2272</v>
      </c>
      <c r="D2653" t="s">
        <v>3839</v>
      </c>
      <c r="E2653" t="s">
        <v>3840</v>
      </c>
      <c r="F2653" t="s">
        <v>3841</v>
      </c>
      <c r="G2653" t="s">
        <v>3842</v>
      </c>
      <c r="H2653" t="str">
        <f t="shared" si="709"/>
        <v>048314</v>
      </c>
      <c r="I2653" t="s">
        <v>833</v>
      </c>
      <c r="J2653" t="str">
        <f t="shared" si="710"/>
        <v>2015-07-01 00:00:00.0</v>
      </c>
      <c r="K2653" t="s">
        <v>834</v>
      </c>
      <c r="L2653" t="s">
        <v>0</v>
      </c>
      <c r="M2653" t="str">
        <f t="shared" ref="M2653:M2706" si="714">"048314"</f>
        <v>048314</v>
      </c>
      <c r="N2653">
        <v>1</v>
      </c>
      <c r="O2653">
        <v>1</v>
      </c>
      <c r="P2653" t="str">
        <f>"08"</f>
        <v>08</v>
      </c>
      <c r="Q2653" t="s">
        <v>835</v>
      </c>
      <c r="S2653" t="s">
        <v>836</v>
      </c>
      <c r="T2653" t="s">
        <v>836</v>
      </c>
      <c r="U2653" t="str">
        <f t="shared" si="711"/>
        <v>2500-12-31 00:00:00.0</v>
      </c>
      <c r="V2653" t="s">
        <v>837</v>
      </c>
      <c r="W2653" t="str">
        <f t="shared" si="713"/>
        <v>048314-070417-**-**</v>
      </c>
      <c r="X2653" t="s">
        <v>838</v>
      </c>
      <c r="Y2653">
        <v>1125</v>
      </c>
      <c r="Z2653">
        <v>1125</v>
      </c>
      <c r="AA2653" t="str">
        <f t="shared" si="712"/>
        <v>06/08/2016</v>
      </c>
    </row>
    <row r="2654" spans="1:27" x14ac:dyDescent="0.3">
      <c r="A2654" t="str">
        <f t="shared" si="705"/>
        <v>048314</v>
      </c>
      <c r="B2654" t="str">
        <f t="shared" si="700"/>
        <v>070417</v>
      </c>
      <c r="C2654" t="s">
        <v>2441</v>
      </c>
      <c r="D2654" t="s">
        <v>3839</v>
      </c>
      <c r="E2654" t="s">
        <v>3840</v>
      </c>
      <c r="F2654" t="s">
        <v>3841</v>
      </c>
      <c r="G2654" t="s">
        <v>3842</v>
      </c>
      <c r="H2654" t="str">
        <f t="shared" si="709"/>
        <v>048314</v>
      </c>
      <c r="I2654" t="s">
        <v>833</v>
      </c>
      <c r="J2654" t="str">
        <f t="shared" si="710"/>
        <v>2015-07-01 00:00:00.0</v>
      </c>
      <c r="K2654" t="s">
        <v>834</v>
      </c>
      <c r="L2654" t="s">
        <v>0</v>
      </c>
      <c r="M2654" t="str">
        <f t="shared" si="714"/>
        <v>048314</v>
      </c>
      <c r="N2654">
        <v>1</v>
      </c>
      <c r="O2654">
        <v>1</v>
      </c>
      <c r="P2654" t="str">
        <f>"07"</f>
        <v>07</v>
      </c>
      <c r="Q2654" t="s">
        <v>835</v>
      </c>
      <c r="S2654" t="s">
        <v>836</v>
      </c>
      <c r="T2654" t="s">
        <v>836</v>
      </c>
      <c r="U2654" t="str">
        <f t="shared" si="711"/>
        <v>2500-12-31 00:00:00.0</v>
      </c>
      <c r="V2654" t="s">
        <v>837</v>
      </c>
      <c r="W2654" t="str">
        <f t="shared" si="713"/>
        <v>048314-070417-**-**</v>
      </c>
      <c r="X2654" t="s">
        <v>838</v>
      </c>
      <c r="Y2654">
        <v>1125</v>
      </c>
      <c r="Z2654">
        <v>1125</v>
      </c>
      <c r="AA2654" t="str">
        <f t="shared" si="712"/>
        <v>06/08/2016</v>
      </c>
    </row>
    <row r="2655" spans="1:27" x14ac:dyDescent="0.3">
      <c r="A2655" t="str">
        <f t="shared" si="705"/>
        <v>048314</v>
      </c>
      <c r="B2655" t="str">
        <f t="shared" si="700"/>
        <v>070417</v>
      </c>
      <c r="C2655" t="s">
        <v>2365</v>
      </c>
      <c r="D2655" t="s">
        <v>3839</v>
      </c>
      <c r="E2655" t="s">
        <v>3840</v>
      </c>
      <c r="F2655" t="s">
        <v>3841</v>
      </c>
      <c r="G2655" t="s">
        <v>3842</v>
      </c>
      <c r="H2655" t="str">
        <f t="shared" si="709"/>
        <v>048314</v>
      </c>
      <c r="I2655" t="s">
        <v>833</v>
      </c>
      <c r="J2655" t="str">
        <f t="shared" si="710"/>
        <v>2015-07-01 00:00:00.0</v>
      </c>
      <c r="K2655" t="s">
        <v>834</v>
      </c>
      <c r="L2655" t="s">
        <v>0</v>
      </c>
      <c r="M2655" t="str">
        <f t="shared" si="714"/>
        <v>048314</v>
      </c>
      <c r="N2655">
        <v>1</v>
      </c>
      <c r="O2655">
        <v>1</v>
      </c>
      <c r="P2655" t="str">
        <f>"08"</f>
        <v>08</v>
      </c>
      <c r="Q2655" t="s">
        <v>835</v>
      </c>
      <c r="S2655" t="s">
        <v>836</v>
      </c>
      <c r="T2655" t="s">
        <v>836</v>
      </c>
      <c r="U2655" t="str">
        <f t="shared" si="711"/>
        <v>2500-12-31 00:00:00.0</v>
      </c>
      <c r="V2655" t="s">
        <v>837</v>
      </c>
      <c r="W2655" t="str">
        <f t="shared" si="713"/>
        <v>048314-070417-**-**</v>
      </c>
      <c r="X2655" t="s">
        <v>838</v>
      </c>
      <c r="Y2655">
        <v>1125</v>
      </c>
      <c r="Z2655">
        <v>1125</v>
      </c>
      <c r="AA2655" t="str">
        <f t="shared" si="712"/>
        <v>06/08/2016</v>
      </c>
    </row>
    <row r="2656" spans="1:27" x14ac:dyDescent="0.3">
      <c r="A2656" t="str">
        <f t="shared" si="705"/>
        <v>048314</v>
      </c>
      <c r="B2656" t="str">
        <f t="shared" si="700"/>
        <v>070417</v>
      </c>
      <c r="C2656" t="s">
        <v>2544</v>
      </c>
      <c r="D2656" t="s">
        <v>3839</v>
      </c>
      <c r="E2656" t="s">
        <v>3840</v>
      </c>
      <c r="F2656" t="s">
        <v>3841</v>
      </c>
      <c r="G2656" t="s">
        <v>3842</v>
      </c>
      <c r="H2656" t="str">
        <f t="shared" si="709"/>
        <v>048314</v>
      </c>
      <c r="I2656" t="s">
        <v>833</v>
      </c>
      <c r="J2656" t="str">
        <f t="shared" si="710"/>
        <v>2015-07-01 00:00:00.0</v>
      </c>
      <c r="K2656" t="s">
        <v>834</v>
      </c>
      <c r="L2656" t="s">
        <v>0</v>
      </c>
      <c r="M2656" t="str">
        <f t="shared" si="714"/>
        <v>048314</v>
      </c>
      <c r="N2656">
        <v>1</v>
      </c>
      <c r="O2656">
        <v>1</v>
      </c>
      <c r="P2656" t="str">
        <f>"06"</f>
        <v>06</v>
      </c>
      <c r="Q2656" t="str">
        <f>"12"</f>
        <v>12</v>
      </c>
      <c r="R2656" t="str">
        <f>"6"</f>
        <v>6</v>
      </c>
      <c r="S2656" t="s">
        <v>860</v>
      </c>
      <c r="T2656" t="s">
        <v>836</v>
      </c>
      <c r="U2656" t="str">
        <f t="shared" si="711"/>
        <v>2500-12-31 00:00:00.0</v>
      </c>
      <c r="V2656" t="s">
        <v>837</v>
      </c>
      <c r="W2656" t="str">
        <f t="shared" si="713"/>
        <v>048314-070417-**-**</v>
      </c>
      <c r="X2656" t="s">
        <v>838</v>
      </c>
      <c r="Y2656">
        <v>1125</v>
      </c>
      <c r="Z2656">
        <v>1125</v>
      </c>
      <c r="AA2656" t="str">
        <f t="shared" si="712"/>
        <v>06/08/2016</v>
      </c>
    </row>
    <row r="2657" spans="1:27" x14ac:dyDescent="0.3">
      <c r="A2657" t="str">
        <f t="shared" si="705"/>
        <v>048314</v>
      </c>
      <c r="B2657" t="str">
        <f t="shared" si="700"/>
        <v>070417</v>
      </c>
      <c r="C2657" t="s">
        <v>2366</v>
      </c>
      <c r="D2657" t="s">
        <v>3839</v>
      </c>
      <c r="E2657" t="s">
        <v>3840</v>
      </c>
      <c r="F2657" t="s">
        <v>3841</v>
      </c>
      <c r="G2657" t="s">
        <v>3842</v>
      </c>
      <c r="H2657" t="str">
        <f t="shared" si="709"/>
        <v>048314</v>
      </c>
      <c r="I2657" t="s">
        <v>833</v>
      </c>
      <c r="J2657" t="str">
        <f t="shared" si="710"/>
        <v>2015-07-01 00:00:00.0</v>
      </c>
      <c r="K2657" t="s">
        <v>834</v>
      </c>
      <c r="L2657" t="s">
        <v>0</v>
      </c>
      <c r="M2657" t="str">
        <f t="shared" si="714"/>
        <v>048314</v>
      </c>
      <c r="N2657">
        <v>1</v>
      </c>
      <c r="O2657">
        <v>1</v>
      </c>
      <c r="P2657" t="str">
        <f>"07"</f>
        <v>07</v>
      </c>
      <c r="Q2657" t="s">
        <v>835</v>
      </c>
      <c r="S2657" t="s">
        <v>836</v>
      </c>
      <c r="T2657" t="s">
        <v>836</v>
      </c>
      <c r="U2657" t="str">
        <f t="shared" si="711"/>
        <v>2500-12-31 00:00:00.0</v>
      </c>
      <c r="V2657" t="s">
        <v>837</v>
      </c>
      <c r="W2657" t="str">
        <f t="shared" si="713"/>
        <v>048314-070417-**-**</v>
      </c>
      <c r="X2657" t="s">
        <v>838</v>
      </c>
      <c r="Y2657">
        <v>1125</v>
      </c>
      <c r="Z2657">
        <v>1125</v>
      </c>
      <c r="AA2657" t="str">
        <f t="shared" si="712"/>
        <v>06/08/2016</v>
      </c>
    </row>
    <row r="2658" spans="1:27" x14ac:dyDescent="0.3">
      <c r="A2658" t="str">
        <f t="shared" si="705"/>
        <v>048314</v>
      </c>
      <c r="B2658" t="str">
        <f t="shared" si="700"/>
        <v>070417</v>
      </c>
      <c r="C2658" t="s">
        <v>3082</v>
      </c>
      <c r="D2658" t="s">
        <v>3839</v>
      </c>
      <c r="E2658" t="s">
        <v>3840</v>
      </c>
      <c r="F2658" t="s">
        <v>3841</v>
      </c>
      <c r="G2658" t="s">
        <v>3842</v>
      </c>
      <c r="H2658" t="str">
        <f t="shared" si="709"/>
        <v>048314</v>
      </c>
      <c r="I2658" t="s">
        <v>833</v>
      </c>
      <c r="J2658" t="str">
        <f t="shared" si="710"/>
        <v>2015-07-01 00:00:00.0</v>
      </c>
      <c r="K2658" t="s">
        <v>834</v>
      </c>
      <c r="L2658" t="s">
        <v>0</v>
      </c>
      <c r="M2658" t="str">
        <f t="shared" si="714"/>
        <v>048314</v>
      </c>
      <c r="N2658">
        <v>1</v>
      </c>
      <c r="O2658">
        <v>1</v>
      </c>
      <c r="P2658" t="str">
        <f>"06"</f>
        <v>06</v>
      </c>
      <c r="Q2658" t="str">
        <f>"15"</f>
        <v>15</v>
      </c>
      <c r="R2658" t="str">
        <f>"2"</f>
        <v>2</v>
      </c>
      <c r="S2658" t="s">
        <v>836</v>
      </c>
      <c r="T2658" t="s">
        <v>836</v>
      </c>
      <c r="U2658" t="str">
        <f t="shared" si="711"/>
        <v>2500-12-31 00:00:00.0</v>
      </c>
      <c r="V2658" t="s">
        <v>837</v>
      </c>
      <c r="W2658" t="str">
        <f t="shared" si="713"/>
        <v>048314-070417-**-**</v>
      </c>
      <c r="X2658" t="s">
        <v>838</v>
      </c>
      <c r="Y2658">
        <v>1125</v>
      </c>
      <c r="Z2658">
        <v>1125</v>
      </c>
      <c r="AA2658" t="str">
        <f t="shared" si="712"/>
        <v>06/08/2016</v>
      </c>
    </row>
    <row r="2659" spans="1:27" x14ac:dyDescent="0.3">
      <c r="A2659" t="str">
        <f t="shared" si="705"/>
        <v>048314</v>
      </c>
      <c r="B2659" t="str">
        <f t="shared" si="700"/>
        <v>070417</v>
      </c>
      <c r="C2659" t="s">
        <v>2367</v>
      </c>
      <c r="D2659" t="s">
        <v>3839</v>
      </c>
      <c r="E2659" t="s">
        <v>3840</v>
      </c>
      <c r="F2659" t="s">
        <v>3841</v>
      </c>
      <c r="G2659" t="s">
        <v>3842</v>
      </c>
      <c r="H2659" t="str">
        <f t="shared" si="709"/>
        <v>048314</v>
      </c>
      <c r="I2659" t="s">
        <v>833</v>
      </c>
      <c r="J2659" t="str">
        <f t="shared" si="710"/>
        <v>2015-07-01 00:00:00.0</v>
      </c>
      <c r="K2659" t="s">
        <v>834</v>
      </c>
      <c r="L2659" t="s">
        <v>0</v>
      </c>
      <c r="M2659" t="str">
        <f t="shared" si="714"/>
        <v>048314</v>
      </c>
      <c r="N2659">
        <v>1</v>
      </c>
      <c r="O2659">
        <v>1</v>
      </c>
      <c r="P2659" t="str">
        <f>"07"</f>
        <v>07</v>
      </c>
      <c r="Q2659" t="s">
        <v>835</v>
      </c>
      <c r="S2659" t="s">
        <v>860</v>
      </c>
      <c r="T2659" t="s">
        <v>836</v>
      </c>
      <c r="U2659" t="str">
        <f t="shared" si="711"/>
        <v>2500-12-31 00:00:00.0</v>
      </c>
      <c r="V2659" t="s">
        <v>837</v>
      </c>
      <c r="W2659" t="str">
        <f t="shared" si="713"/>
        <v>048314-070417-**-**</v>
      </c>
      <c r="X2659" t="s">
        <v>838</v>
      </c>
      <c r="Y2659">
        <v>1125</v>
      </c>
      <c r="Z2659">
        <v>1125</v>
      </c>
      <c r="AA2659" t="str">
        <f t="shared" si="712"/>
        <v>06/08/2016</v>
      </c>
    </row>
    <row r="2660" spans="1:27" x14ac:dyDescent="0.3">
      <c r="A2660" t="str">
        <f t="shared" si="705"/>
        <v>048314</v>
      </c>
      <c r="B2660" t="str">
        <f t="shared" ref="B2660:B2723" si="715">"070417"</f>
        <v>070417</v>
      </c>
      <c r="C2660" t="s">
        <v>2442</v>
      </c>
      <c r="D2660" t="s">
        <v>3839</v>
      </c>
      <c r="E2660" t="s">
        <v>3840</v>
      </c>
      <c r="F2660" t="s">
        <v>3841</v>
      </c>
      <c r="G2660" t="s">
        <v>3842</v>
      </c>
      <c r="H2660" t="str">
        <f t="shared" si="709"/>
        <v>048314</v>
      </c>
      <c r="I2660" t="s">
        <v>833</v>
      </c>
      <c r="J2660" t="str">
        <f t="shared" si="710"/>
        <v>2015-07-01 00:00:00.0</v>
      </c>
      <c r="K2660" t="s">
        <v>834</v>
      </c>
      <c r="L2660" t="s">
        <v>0</v>
      </c>
      <c r="M2660" t="str">
        <f t="shared" si="714"/>
        <v>048314</v>
      </c>
      <c r="N2660">
        <v>1</v>
      </c>
      <c r="O2660">
        <v>1</v>
      </c>
      <c r="P2660" t="str">
        <f>"07"</f>
        <v>07</v>
      </c>
      <c r="Q2660" t="s">
        <v>835</v>
      </c>
      <c r="S2660" t="s">
        <v>860</v>
      </c>
      <c r="T2660" t="s">
        <v>836</v>
      </c>
      <c r="U2660" t="str">
        <f t="shared" si="711"/>
        <v>2500-12-31 00:00:00.0</v>
      </c>
      <c r="V2660" t="s">
        <v>837</v>
      </c>
      <c r="W2660" t="str">
        <f t="shared" si="713"/>
        <v>048314-070417-**-**</v>
      </c>
      <c r="X2660" t="s">
        <v>838</v>
      </c>
      <c r="Y2660">
        <v>1125</v>
      </c>
      <c r="Z2660">
        <v>1125</v>
      </c>
      <c r="AA2660" t="str">
        <f t="shared" si="712"/>
        <v>06/08/2016</v>
      </c>
    </row>
    <row r="2661" spans="1:27" x14ac:dyDescent="0.3">
      <c r="A2661" t="str">
        <f t="shared" si="705"/>
        <v>048314</v>
      </c>
      <c r="B2661" t="str">
        <f t="shared" si="715"/>
        <v>070417</v>
      </c>
      <c r="C2661" t="s">
        <v>2695</v>
      </c>
      <c r="D2661" t="s">
        <v>3839</v>
      </c>
      <c r="E2661" t="s">
        <v>3840</v>
      </c>
      <c r="F2661" t="s">
        <v>3841</v>
      </c>
      <c r="G2661" t="s">
        <v>3842</v>
      </c>
      <c r="H2661" t="str">
        <f t="shared" si="709"/>
        <v>048314</v>
      </c>
      <c r="I2661" t="s">
        <v>833</v>
      </c>
      <c r="J2661" t="str">
        <f t="shared" si="710"/>
        <v>2015-07-01 00:00:00.0</v>
      </c>
      <c r="K2661" t="s">
        <v>834</v>
      </c>
      <c r="L2661" t="s">
        <v>0</v>
      </c>
      <c r="M2661" t="str">
        <f t="shared" si="714"/>
        <v>048314</v>
      </c>
      <c r="N2661">
        <v>1</v>
      </c>
      <c r="O2661">
        <v>1</v>
      </c>
      <c r="P2661" t="str">
        <f>"07"</f>
        <v>07</v>
      </c>
      <c r="Q2661" t="s">
        <v>835</v>
      </c>
      <c r="S2661" t="s">
        <v>836</v>
      </c>
      <c r="T2661" t="s">
        <v>836</v>
      </c>
      <c r="U2661" t="str">
        <f t="shared" si="711"/>
        <v>2500-12-31 00:00:00.0</v>
      </c>
      <c r="V2661" t="s">
        <v>837</v>
      </c>
      <c r="W2661" t="str">
        <f t="shared" si="713"/>
        <v>048314-070417-**-**</v>
      </c>
      <c r="X2661" t="s">
        <v>838</v>
      </c>
      <c r="Y2661">
        <v>1125</v>
      </c>
      <c r="Z2661">
        <v>1125</v>
      </c>
      <c r="AA2661" t="str">
        <f t="shared" si="712"/>
        <v>06/08/2016</v>
      </c>
    </row>
    <row r="2662" spans="1:27" x14ac:dyDescent="0.3">
      <c r="A2662" t="str">
        <f t="shared" si="705"/>
        <v>048314</v>
      </c>
      <c r="B2662" t="str">
        <f t="shared" si="715"/>
        <v>070417</v>
      </c>
      <c r="C2662" t="s">
        <v>2884</v>
      </c>
      <c r="D2662" t="s">
        <v>3839</v>
      </c>
      <c r="E2662" t="s">
        <v>3840</v>
      </c>
      <c r="F2662" t="s">
        <v>3841</v>
      </c>
      <c r="G2662" t="s">
        <v>3842</v>
      </c>
      <c r="H2662" t="str">
        <f t="shared" si="709"/>
        <v>048314</v>
      </c>
      <c r="I2662" t="s">
        <v>833</v>
      </c>
      <c r="J2662" t="str">
        <f t="shared" si="710"/>
        <v>2015-07-01 00:00:00.0</v>
      </c>
      <c r="K2662" t="s">
        <v>834</v>
      </c>
      <c r="L2662" t="s">
        <v>0</v>
      </c>
      <c r="M2662" t="str">
        <f t="shared" si="714"/>
        <v>048314</v>
      </c>
      <c r="N2662">
        <v>1</v>
      </c>
      <c r="O2662">
        <v>1</v>
      </c>
      <c r="P2662" t="str">
        <f>"06"</f>
        <v>06</v>
      </c>
      <c r="Q2662" t="str">
        <f>"15"</f>
        <v>15</v>
      </c>
      <c r="R2662" t="str">
        <f>"2"</f>
        <v>2</v>
      </c>
      <c r="S2662" t="s">
        <v>836</v>
      </c>
      <c r="T2662" t="s">
        <v>836</v>
      </c>
      <c r="U2662" t="str">
        <f t="shared" si="711"/>
        <v>2500-12-31 00:00:00.0</v>
      </c>
      <c r="V2662" t="s">
        <v>837</v>
      </c>
      <c r="W2662" t="str">
        <f t="shared" si="713"/>
        <v>048314-070417-**-**</v>
      </c>
      <c r="X2662" t="s">
        <v>838</v>
      </c>
      <c r="Y2662">
        <v>1125</v>
      </c>
      <c r="Z2662">
        <v>1125</v>
      </c>
      <c r="AA2662" t="str">
        <f t="shared" si="712"/>
        <v>06/08/2016</v>
      </c>
    </row>
    <row r="2663" spans="1:27" x14ac:dyDescent="0.3">
      <c r="A2663" t="str">
        <f t="shared" si="705"/>
        <v>048314</v>
      </c>
      <c r="B2663" t="str">
        <f t="shared" si="715"/>
        <v>070417</v>
      </c>
      <c r="C2663" t="s">
        <v>3084</v>
      </c>
      <c r="D2663" t="s">
        <v>3839</v>
      </c>
      <c r="E2663" t="s">
        <v>3840</v>
      </c>
      <c r="F2663" t="s">
        <v>3841</v>
      </c>
      <c r="G2663" t="s">
        <v>3842</v>
      </c>
      <c r="H2663" t="str">
        <f t="shared" si="709"/>
        <v>048314</v>
      </c>
      <c r="I2663" t="s">
        <v>833</v>
      </c>
      <c r="J2663" t="str">
        <f t="shared" si="710"/>
        <v>2015-07-01 00:00:00.0</v>
      </c>
      <c r="K2663" t="s">
        <v>834</v>
      </c>
      <c r="L2663" t="s">
        <v>0</v>
      </c>
      <c r="M2663" t="str">
        <f t="shared" si="714"/>
        <v>048314</v>
      </c>
      <c r="N2663">
        <v>1</v>
      </c>
      <c r="O2663">
        <v>1</v>
      </c>
      <c r="P2663" t="str">
        <f>"07"</f>
        <v>07</v>
      </c>
      <c r="Q2663" t="s">
        <v>835</v>
      </c>
      <c r="S2663" t="s">
        <v>836</v>
      </c>
      <c r="T2663" t="s">
        <v>836</v>
      </c>
      <c r="U2663" t="str">
        <f t="shared" si="711"/>
        <v>2500-12-31 00:00:00.0</v>
      </c>
      <c r="V2663" t="s">
        <v>837</v>
      </c>
      <c r="W2663" t="str">
        <f t="shared" si="713"/>
        <v>048314-070417-**-**</v>
      </c>
      <c r="X2663" t="s">
        <v>838</v>
      </c>
      <c r="Y2663">
        <v>1125</v>
      </c>
      <c r="Z2663">
        <v>1125</v>
      </c>
      <c r="AA2663" t="str">
        <f t="shared" si="712"/>
        <v>06/08/2016</v>
      </c>
    </row>
    <row r="2664" spans="1:27" x14ac:dyDescent="0.3">
      <c r="A2664" t="str">
        <f t="shared" si="705"/>
        <v>048314</v>
      </c>
      <c r="B2664" t="str">
        <f t="shared" si="715"/>
        <v>070417</v>
      </c>
      <c r="C2664" t="s">
        <v>2443</v>
      </c>
      <c r="D2664" t="s">
        <v>3839</v>
      </c>
      <c r="E2664" t="s">
        <v>3840</v>
      </c>
      <c r="F2664" t="s">
        <v>3841</v>
      </c>
      <c r="G2664" t="s">
        <v>3842</v>
      </c>
      <c r="H2664" t="str">
        <f t="shared" si="709"/>
        <v>048314</v>
      </c>
      <c r="I2664" t="s">
        <v>833</v>
      </c>
      <c r="J2664" t="str">
        <f t="shared" si="710"/>
        <v>2015-07-01 00:00:00.0</v>
      </c>
      <c r="K2664" t="s">
        <v>834</v>
      </c>
      <c r="L2664" t="s">
        <v>0</v>
      </c>
      <c r="M2664" t="str">
        <f t="shared" si="714"/>
        <v>048314</v>
      </c>
      <c r="N2664">
        <v>1</v>
      </c>
      <c r="O2664">
        <v>1</v>
      </c>
      <c r="P2664" t="str">
        <f>"07"</f>
        <v>07</v>
      </c>
      <c r="Q2664" t="s">
        <v>835</v>
      </c>
      <c r="S2664" t="s">
        <v>836</v>
      </c>
      <c r="T2664" t="s">
        <v>836</v>
      </c>
      <c r="U2664" t="str">
        <f t="shared" si="711"/>
        <v>2500-12-31 00:00:00.0</v>
      </c>
      <c r="V2664" t="s">
        <v>837</v>
      </c>
      <c r="W2664" t="str">
        <f t="shared" si="713"/>
        <v>048314-070417-**-**</v>
      </c>
      <c r="X2664" t="s">
        <v>838</v>
      </c>
      <c r="Y2664">
        <v>1125</v>
      </c>
      <c r="Z2664">
        <v>1125</v>
      </c>
      <c r="AA2664" t="str">
        <f t="shared" si="712"/>
        <v>06/08/2016</v>
      </c>
    </row>
    <row r="2665" spans="1:27" x14ac:dyDescent="0.3">
      <c r="A2665" t="str">
        <f t="shared" si="705"/>
        <v>048314</v>
      </c>
      <c r="B2665" t="str">
        <f t="shared" si="715"/>
        <v>070417</v>
      </c>
      <c r="C2665" t="s">
        <v>2130</v>
      </c>
      <c r="D2665" t="s">
        <v>3839</v>
      </c>
      <c r="E2665" t="s">
        <v>3840</v>
      </c>
      <c r="F2665" t="s">
        <v>3841</v>
      </c>
      <c r="G2665" t="s">
        <v>3842</v>
      </c>
      <c r="H2665" t="str">
        <f t="shared" si="709"/>
        <v>048314</v>
      </c>
      <c r="I2665" t="s">
        <v>833</v>
      </c>
      <c r="J2665" t="str">
        <f t="shared" si="710"/>
        <v>2015-07-01 00:00:00.0</v>
      </c>
      <c r="K2665" t="s">
        <v>834</v>
      </c>
      <c r="L2665" t="s">
        <v>0</v>
      </c>
      <c r="M2665" t="str">
        <f t="shared" si="714"/>
        <v>048314</v>
      </c>
      <c r="N2665">
        <v>1</v>
      </c>
      <c r="O2665">
        <v>1</v>
      </c>
      <c r="P2665" t="str">
        <f>"08"</f>
        <v>08</v>
      </c>
      <c r="Q2665" t="s">
        <v>835</v>
      </c>
      <c r="S2665" t="s">
        <v>836</v>
      </c>
      <c r="T2665" t="s">
        <v>836</v>
      </c>
      <c r="U2665" t="str">
        <f t="shared" si="711"/>
        <v>2500-12-31 00:00:00.0</v>
      </c>
      <c r="V2665" t="s">
        <v>837</v>
      </c>
      <c r="W2665" t="str">
        <f t="shared" si="713"/>
        <v>048314-070417-**-**</v>
      </c>
      <c r="X2665" t="s">
        <v>838</v>
      </c>
      <c r="Y2665">
        <v>1125</v>
      </c>
      <c r="Z2665">
        <v>1125</v>
      </c>
      <c r="AA2665" t="str">
        <f t="shared" si="712"/>
        <v>06/08/2016</v>
      </c>
    </row>
    <row r="2666" spans="1:27" x14ac:dyDescent="0.3">
      <c r="A2666" t="str">
        <f t="shared" si="705"/>
        <v>048314</v>
      </c>
      <c r="B2666" t="str">
        <f t="shared" si="715"/>
        <v>070417</v>
      </c>
      <c r="C2666" t="s">
        <v>2071</v>
      </c>
      <c r="D2666" t="s">
        <v>3839</v>
      </c>
      <c r="E2666" t="s">
        <v>3840</v>
      </c>
      <c r="F2666" t="s">
        <v>3841</v>
      </c>
      <c r="G2666" t="s">
        <v>3842</v>
      </c>
      <c r="H2666" t="str">
        <f t="shared" si="709"/>
        <v>048314</v>
      </c>
      <c r="I2666" t="s">
        <v>833</v>
      </c>
      <c r="J2666" t="str">
        <f>"2015-08-01 00:00:00.0"</f>
        <v>2015-08-01 00:00:00.0</v>
      </c>
      <c r="K2666" t="s">
        <v>834</v>
      </c>
      <c r="L2666" t="s">
        <v>0</v>
      </c>
      <c r="M2666" t="str">
        <f t="shared" si="714"/>
        <v>048314</v>
      </c>
      <c r="N2666">
        <v>1</v>
      </c>
      <c r="O2666">
        <v>1</v>
      </c>
      <c r="P2666" t="str">
        <f>"08"</f>
        <v>08</v>
      </c>
      <c r="Q2666" t="s">
        <v>835</v>
      </c>
      <c r="S2666" t="s">
        <v>860</v>
      </c>
      <c r="T2666" t="s">
        <v>836</v>
      </c>
      <c r="U2666" t="str">
        <f t="shared" si="711"/>
        <v>2500-12-31 00:00:00.0</v>
      </c>
      <c r="V2666" t="s">
        <v>837</v>
      </c>
      <c r="W2666" t="str">
        <f t="shared" si="713"/>
        <v>048314-070417-**-**</v>
      </c>
      <c r="X2666" t="s">
        <v>838</v>
      </c>
      <c r="Y2666">
        <v>1125</v>
      </c>
      <c r="Z2666">
        <v>1125</v>
      </c>
      <c r="AA2666" t="str">
        <f t="shared" si="712"/>
        <v>06/08/2016</v>
      </c>
    </row>
    <row r="2667" spans="1:27" x14ac:dyDescent="0.3">
      <c r="A2667" t="str">
        <f t="shared" si="705"/>
        <v>048314</v>
      </c>
      <c r="B2667" t="str">
        <f t="shared" si="715"/>
        <v>070417</v>
      </c>
      <c r="C2667" t="s">
        <v>1849</v>
      </c>
      <c r="D2667" t="s">
        <v>3839</v>
      </c>
      <c r="E2667" t="s">
        <v>3840</v>
      </c>
      <c r="F2667" t="s">
        <v>3841</v>
      </c>
      <c r="G2667" t="s">
        <v>3842</v>
      </c>
      <c r="H2667" t="str">
        <f t="shared" si="709"/>
        <v>048314</v>
      </c>
      <c r="I2667" t="s">
        <v>833</v>
      </c>
      <c r="J2667" t="str">
        <f t="shared" ref="J2667:J2696" si="716">"2015-07-01 00:00:00.0"</f>
        <v>2015-07-01 00:00:00.0</v>
      </c>
      <c r="K2667" t="s">
        <v>834</v>
      </c>
      <c r="L2667" t="s">
        <v>0</v>
      </c>
      <c r="M2667" t="str">
        <f t="shared" si="714"/>
        <v>048314</v>
      </c>
      <c r="N2667">
        <v>1</v>
      </c>
      <c r="O2667">
        <v>1</v>
      </c>
      <c r="P2667" t="str">
        <f>"09"</f>
        <v>09</v>
      </c>
      <c r="Q2667" t="s">
        <v>835</v>
      </c>
      <c r="S2667" t="s">
        <v>836</v>
      </c>
      <c r="T2667" t="s">
        <v>836</v>
      </c>
      <c r="U2667" t="str">
        <f t="shared" si="711"/>
        <v>2500-12-31 00:00:00.0</v>
      </c>
      <c r="V2667" t="s">
        <v>837</v>
      </c>
      <c r="W2667" t="str">
        <f>"048314-004796-**-**"</f>
        <v>048314-004796-**-**</v>
      </c>
      <c r="X2667" t="s">
        <v>838</v>
      </c>
      <c r="Y2667">
        <v>1254.5</v>
      </c>
      <c r="Z2667">
        <v>1254.5</v>
      </c>
      <c r="AA2667" t="str">
        <f t="shared" si="712"/>
        <v>06/08/2016</v>
      </c>
    </row>
    <row r="2668" spans="1:27" x14ac:dyDescent="0.3">
      <c r="A2668" t="str">
        <f t="shared" si="705"/>
        <v>048314</v>
      </c>
      <c r="B2668" t="str">
        <f t="shared" si="715"/>
        <v>070417</v>
      </c>
      <c r="C2668" t="s">
        <v>1884</v>
      </c>
      <c r="D2668" t="s">
        <v>3839</v>
      </c>
      <c r="E2668" t="s">
        <v>3840</v>
      </c>
      <c r="F2668" t="s">
        <v>3841</v>
      </c>
      <c r="G2668" t="s">
        <v>3842</v>
      </c>
      <c r="H2668" t="str">
        <f t="shared" si="709"/>
        <v>048314</v>
      </c>
      <c r="I2668" t="s">
        <v>833</v>
      </c>
      <c r="J2668" t="str">
        <f t="shared" si="716"/>
        <v>2015-07-01 00:00:00.0</v>
      </c>
      <c r="K2668" t="s">
        <v>834</v>
      </c>
      <c r="L2668" t="s">
        <v>0</v>
      </c>
      <c r="M2668" t="str">
        <f t="shared" si="714"/>
        <v>048314</v>
      </c>
      <c r="N2668">
        <v>1</v>
      </c>
      <c r="O2668">
        <v>1</v>
      </c>
      <c r="P2668" t="str">
        <f>"09"</f>
        <v>09</v>
      </c>
      <c r="Q2668" t="s">
        <v>835</v>
      </c>
      <c r="S2668" t="s">
        <v>836</v>
      </c>
      <c r="T2668" t="s">
        <v>836</v>
      </c>
      <c r="U2668" t="str">
        <f t="shared" si="711"/>
        <v>2500-12-31 00:00:00.0</v>
      </c>
      <c r="V2668" t="s">
        <v>837</v>
      </c>
      <c r="W2668" t="str">
        <f>"048314-004796-**-**"</f>
        <v>048314-004796-**-**</v>
      </c>
      <c r="X2668" t="s">
        <v>838</v>
      </c>
      <c r="Y2668">
        <v>1254.5</v>
      </c>
      <c r="Z2668">
        <v>1254.5</v>
      </c>
      <c r="AA2668" t="str">
        <f t="shared" si="712"/>
        <v>06/08/2016</v>
      </c>
    </row>
    <row r="2669" spans="1:27" x14ac:dyDescent="0.3">
      <c r="A2669" t="str">
        <f t="shared" si="705"/>
        <v>048314</v>
      </c>
      <c r="B2669" t="str">
        <f t="shared" si="715"/>
        <v>070417</v>
      </c>
      <c r="C2669" t="s">
        <v>2696</v>
      </c>
      <c r="D2669" t="s">
        <v>3839</v>
      </c>
      <c r="E2669" t="s">
        <v>3840</v>
      </c>
      <c r="F2669" t="s">
        <v>3841</v>
      </c>
      <c r="G2669" t="s">
        <v>3842</v>
      </c>
      <c r="H2669" t="str">
        <f t="shared" si="709"/>
        <v>048314</v>
      </c>
      <c r="I2669" t="s">
        <v>833</v>
      </c>
      <c r="J2669" t="str">
        <f t="shared" si="716"/>
        <v>2015-07-01 00:00:00.0</v>
      </c>
      <c r="K2669" t="s">
        <v>834</v>
      </c>
      <c r="L2669" t="s">
        <v>0</v>
      </c>
      <c r="M2669" t="str">
        <f t="shared" si="714"/>
        <v>048314</v>
      </c>
      <c r="N2669">
        <v>1</v>
      </c>
      <c r="O2669">
        <v>1</v>
      </c>
      <c r="P2669" t="str">
        <f>"06"</f>
        <v>06</v>
      </c>
      <c r="Q2669" t="s">
        <v>835</v>
      </c>
      <c r="S2669" t="s">
        <v>836</v>
      </c>
      <c r="T2669" t="s">
        <v>836</v>
      </c>
      <c r="U2669" t="str">
        <f t="shared" si="711"/>
        <v>2500-12-31 00:00:00.0</v>
      </c>
      <c r="V2669" t="s">
        <v>837</v>
      </c>
      <c r="W2669" t="str">
        <f>"048314-070417-**-**"</f>
        <v>048314-070417-**-**</v>
      </c>
      <c r="X2669" t="s">
        <v>838</v>
      </c>
      <c r="Y2669">
        <v>1125</v>
      </c>
      <c r="Z2669">
        <v>1125</v>
      </c>
      <c r="AA2669" t="str">
        <f t="shared" si="712"/>
        <v>06/08/2016</v>
      </c>
    </row>
    <row r="2670" spans="1:27" x14ac:dyDescent="0.3">
      <c r="A2670" t="str">
        <f t="shared" si="705"/>
        <v>048314</v>
      </c>
      <c r="B2670" t="str">
        <f t="shared" si="715"/>
        <v>070417</v>
      </c>
      <c r="C2670" t="s">
        <v>2697</v>
      </c>
      <c r="D2670" t="s">
        <v>3839</v>
      </c>
      <c r="E2670" t="s">
        <v>3840</v>
      </c>
      <c r="F2670" t="s">
        <v>3841</v>
      </c>
      <c r="G2670" t="s">
        <v>3842</v>
      </c>
      <c r="H2670" t="str">
        <f t="shared" si="709"/>
        <v>048314</v>
      </c>
      <c r="I2670" t="s">
        <v>833</v>
      </c>
      <c r="J2670" t="str">
        <f t="shared" si="716"/>
        <v>2015-07-01 00:00:00.0</v>
      </c>
      <c r="K2670" t="s">
        <v>834</v>
      </c>
      <c r="L2670" t="s">
        <v>0</v>
      </c>
      <c r="M2670" t="str">
        <f t="shared" si="714"/>
        <v>048314</v>
      </c>
      <c r="N2670">
        <v>1</v>
      </c>
      <c r="O2670">
        <v>1</v>
      </c>
      <c r="P2670" t="str">
        <f>"06"</f>
        <v>06</v>
      </c>
      <c r="Q2670" t="str">
        <f>"05"</f>
        <v>05</v>
      </c>
      <c r="R2670" t="str">
        <f>"1"</f>
        <v>1</v>
      </c>
      <c r="S2670" t="s">
        <v>836</v>
      </c>
      <c r="T2670" t="s">
        <v>836</v>
      </c>
      <c r="U2670" t="str">
        <f t="shared" si="711"/>
        <v>2500-12-31 00:00:00.0</v>
      </c>
      <c r="V2670" t="s">
        <v>837</v>
      </c>
      <c r="W2670" t="str">
        <f>"048314-070417-**-**"</f>
        <v>048314-070417-**-**</v>
      </c>
      <c r="X2670" t="s">
        <v>838</v>
      </c>
      <c r="Y2670">
        <v>1125</v>
      </c>
      <c r="Z2670">
        <v>1125</v>
      </c>
      <c r="AA2670" t="str">
        <f t="shared" si="712"/>
        <v>06/08/2016</v>
      </c>
    </row>
    <row r="2671" spans="1:27" x14ac:dyDescent="0.3">
      <c r="A2671" t="str">
        <f t="shared" si="705"/>
        <v>048314</v>
      </c>
      <c r="B2671" t="str">
        <f t="shared" si="715"/>
        <v>070417</v>
      </c>
      <c r="C2671" t="s">
        <v>844</v>
      </c>
      <c r="D2671" t="s">
        <v>3839</v>
      </c>
      <c r="E2671" t="s">
        <v>3840</v>
      </c>
      <c r="F2671" t="s">
        <v>3841</v>
      </c>
      <c r="G2671" t="s">
        <v>3842</v>
      </c>
      <c r="H2671" t="str">
        <f t="shared" si="709"/>
        <v>048314</v>
      </c>
      <c r="I2671" t="s">
        <v>833</v>
      </c>
      <c r="J2671" t="str">
        <f t="shared" si="716"/>
        <v>2015-07-01 00:00:00.0</v>
      </c>
      <c r="K2671" t="s">
        <v>834</v>
      </c>
      <c r="L2671" t="s">
        <v>0</v>
      </c>
      <c r="M2671" t="str">
        <f t="shared" si="714"/>
        <v>048314</v>
      </c>
      <c r="N2671">
        <v>1</v>
      </c>
      <c r="O2671">
        <v>1</v>
      </c>
      <c r="P2671" t="str">
        <f>"07"</f>
        <v>07</v>
      </c>
      <c r="Q2671" t="s">
        <v>835</v>
      </c>
      <c r="S2671" t="s">
        <v>836</v>
      </c>
      <c r="T2671" t="s">
        <v>836</v>
      </c>
      <c r="U2671" t="str">
        <f t="shared" si="711"/>
        <v>2500-12-31 00:00:00.0</v>
      </c>
      <c r="V2671" t="s">
        <v>837</v>
      </c>
      <c r="W2671" t="str">
        <f>"048314-070417-**-**"</f>
        <v>048314-070417-**-**</v>
      </c>
      <c r="X2671" t="s">
        <v>838</v>
      </c>
      <c r="Y2671">
        <v>1125</v>
      </c>
      <c r="Z2671">
        <v>1125</v>
      </c>
      <c r="AA2671" t="str">
        <f t="shared" si="712"/>
        <v>06/08/2016</v>
      </c>
    </row>
    <row r="2672" spans="1:27" x14ac:dyDescent="0.3">
      <c r="A2672" t="str">
        <f t="shared" si="705"/>
        <v>048314</v>
      </c>
      <c r="B2672" t="str">
        <f t="shared" si="715"/>
        <v>070417</v>
      </c>
      <c r="C2672" t="s">
        <v>2298</v>
      </c>
      <c r="D2672" t="s">
        <v>3839</v>
      </c>
      <c r="E2672" t="s">
        <v>3840</v>
      </c>
      <c r="F2672" t="s">
        <v>3841</v>
      </c>
      <c r="G2672" t="s">
        <v>3842</v>
      </c>
      <c r="H2672" t="str">
        <f t="shared" si="709"/>
        <v>048314</v>
      </c>
      <c r="I2672" t="s">
        <v>833</v>
      </c>
      <c r="J2672" t="str">
        <f t="shared" si="716"/>
        <v>2015-07-01 00:00:00.0</v>
      </c>
      <c r="K2672" t="s">
        <v>834</v>
      </c>
      <c r="L2672" t="s">
        <v>0</v>
      </c>
      <c r="M2672" t="str">
        <f t="shared" si="714"/>
        <v>048314</v>
      </c>
      <c r="N2672">
        <v>1</v>
      </c>
      <c r="O2672">
        <v>1</v>
      </c>
      <c r="P2672" t="str">
        <f>"09"</f>
        <v>09</v>
      </c>
      <c r="Q2672" t="s">
        <v>835</v>
      </c>
      <c r="S2672" t="s">
        <v>836</v>
      </c>
      <c r="T2672" t="s">
        <v>836</v>
      </c>
      <c r="U2672" t="str">
        <f t="shared" si="711"/>
        <v>2500-12-31 00:00:00.0</v>
      </c>
      <c r="V2672" t="s">
        <v>837</v>
      </c>
      <c r="W2672" t="str">
        <f>"048314-004796-**-**"</f>
        <v>048314-004796-**-**</v>
      </c>
      <c r="X2672" t="s">
        <v>838</v>
      </c>
      <c r="Y2672">
        <v>1254.5</v>
      </c>
      <c r="Z2672">
        <v>1254.5</v>
      </c>
      <c r="AA2672" t="str">
        <f t="shared" si="712"/>
        <v>06/08/2016</v>
      </c>
    </row>
    <row r="2673" spans="1:27" x14ac:dyDescent="0.3">
      <c r="A2673" t="str">
        <f t="shared" si="705"/>
        <v>048314</v>
      </c>
      <c r="B2673" t="str">
        <f t="shared" si="715"/>
        <v>070417</v>
      </c>
      <c r="C2673" t="s">
        <v>2368</v>
      </c>
      <c r="D2673" t="s">
        <v>3839</v>
      </c>
      <c r="E2673" t="s">
        <v>3840</v>
      </c>
      <c r="F2673" t="s">
        <v>3841</v>
      </c>
      <c r="G2673" t="s">
        <v>3842</v>
      </c>
      <c r="H2673" t="str">
        <f t="shared" si="709"/>
        <v>048314</v>
      </c>
      <c r="I2673" t="s">
        <v>833</v>
      </c>
      <c r="J2673" t="str">
        <f t="shared" si="716"/>
        <v>2015-07-01 00:00:00.0</v>
      </c>
      <c r="K2673" t="s">
        <v>834</v>
      </c>
      <c r="L2673" t="s">
        <v>0</v>
      </c>
      <c r="M2673" t="str">
        <f t="shared" si="714"/>
        <v>048314</v>
      </c>
      <c r="N2673">
        <v>1</v>
      </c>
      <c r="O2673">
        <v>1</v>
      </c>
      <c r="P2673" t="str">
        <f>"07"</f>
        <v>07</v>
      </c>
      <c r="Q2673" t="s">
        <v>835</v>
      </c>
      <c r="S2673" t="s">
        <v>836</v>
      </c>
      <c r="T2673" t="s">
        <v>836</v>
      </c>
      <c r="U2673" t="str">
        <f t="shared" si="711"/>
        <v>2500-12-31 00:00:00.0</v>
      </c>
      <c r="V2673" t="s">
        <v>837</v>
      </c>
      <c r="W2673" t="str">
        <f>"048314-070417-**-**"</f>
        <v>048314-070417-**-**</v>
      </c>
      <c r="X2673" t="s">
        <v>838</v>
      </c>
      <c r="Y2673">
        <v>1125</v>
      </c>
      <c r="Z2673">
        <v>1125</v>
      </c>
      <c r="AA2673" t="str">
        <f t="shared" si="712"/>
        <v>06/08/2016</v>
      </c>
    </row>
    <row r="2674" spans="1:27" x14ac:dyDescent="0.3">
      <c r="A2674" t="str">
        <f t="shared" si="705"/>
        <v>048314</v>
      </c>
      <c r="B2674" t="str">
        <f t="shared" si="715"/>
        <v>070417</v>
      </c>
      <c r="C2674" t="s">
        <v>1974</v>
      </c>
      <c r="D2674" t="s">
        <v>3839</v>
      </c>
      <c r="E2674" t="s">
        <v>3840</v>
      </c>
      <c r="F2674" t="s">
        <v>3841</v>
      </c>
      <c r="G2674" t="s">
        <v>3842</v>
      </c>
      <c r="H2674" t="str">
        <f t="shared" si="709"/>
        <v>048314</v>
      </c>
      <c r="I2674" t="s">
        <v>833</v>
      </c>
      <c r="J2674" t="str">
        <f t="shared" si="716"/>
        <v>2015-07-01 00:00:00.0</v>
      </c>
      <c r="K2674" t="s">
        <v>834</v>
      </c>
      <c r="L2674" t="s">
        <v>0</v>
      </c>
      <c r="M2674" t="str">
        <f t="shared" si="714"/>
        <v>048314</v>
      </c>
      <c r="N2674">
        <v>1</v>
      </c>
      <c r="O2674">
        <v>1</v>
      </c>
      <c r="P2674" t="str">
        <f>"09"</f>
        <v>09</v>
      </c>
      <c r="Q2674" t="s">
        <v>835</v>
      </c>
      <c r="S2674" t="s">
        <v>836</v>
      </c>
      <c r="T2674" t="s">
        <v>836</v>
      </c>
      <c r="U2674" t="str">
        <f t="shared" si="711"/>
        <v>2500-12-31 00:00:00.0</v>
      </c>
      <c r="V2674" t="s">
        <v>837</v>
      </c>
      <c r="W2674" t="str">
        <f>"048314-004796-**-**"</f>
        <v>048314-004796-**-**</v>
      </c>
      <c r="X2674" t="s">
        <v>838</v>
      </c>
      <c r="Y2674">
        <v>1254.5</v>
      </c>
      <c r="Z2674">
        <v>1254.5</v>
      </c>
      <c r="AA2674" t="str">
        <f t="shared" si="712"/>
        <v>06/08/2016</v>
      </c>
    </row>
    <row r="2675" spans="1:27" x14ac:dyDescent="0.3">
      <c r="A2675" t="str">
        <f t="shared" si="705"/>
        <v>048314</v>
      </c>
      <c r="B2675" t="str">
        <f t="shared" si="715"/>
        <v>070417</v>
      </c>
      <c r="C2675" t="s">
        <v>2215</v>
      </c>
      <c r="D2675" t="s">
        <v>3839</v>
      </c>
      <c r="E2675" t="s">
        <v>3840</v>
      </c>
      <c r="F2675" t="s">
        <v>3841</v>
      </c>
      <c r="G2675" t="s">
        <v>3842</v>
      </c>
      <c r="H2675" t="str">
        <f t="shared" si="709"/>
        <v>048314</v>
      </c>
      <c r="I2675" t="s">
        <v>833</v>
      </c>
      <c r="J2675" t="str">
        <f t="shared" si="716"/>
        <v>2015-07-01 00:00:00.0</v>
      </c>
      <c r="K2675" t="s">
        <v>834</v>
      </c>
      <c r="L2675" t="s">
        <v>0</v>
      </c>
      <c r="M2675" t="str">
        <f t="shared" si="714"/>
        <v>048314</v>
      </c>
      <c r="N2675">
        <v>1</v>
      </c>
      <c r="O2675">
        <v>1</v>
      </c>
      <c r="P2675" t="str">
        <f>"09"</f>
        <v>09</v>
      </c>
      <c r="Q2675" t="s">
        <v>835</v>
      </c>
      <c r="S2675" t="s">
        <v>836</v>
      </c>
      <c r="T2675" t="s">
        <v>836</v>
      </c>
      <c r="U2675" t="str">
        <f t="shared" si="711"/>
        <v>2500-12-31 00:00:00.0</v>
      </c>
      <c r="V2675" t="s">
        <v>837</v>
      </c>
      <c r="W2675" t="str">
        <f>"048314-004796-**-**"</f>
        <v>048314-004796-**-**</v>
      </c>
      <c r="X2675" t="s">
        <v>838</v>
      </c>
      <c r="Y2675">
        <v>1254.5</v>
      </c>
      <c r="Z2675">
        <v>1254.5</v>
      </c>
      <c r="AA2675" t="str">
        <f t="shared" si="712"/>
        <v>06/08/2016</v>
      </c>
    </row>
    <row r="2676" spans="1:27" x14ac:dyDescent="0.3">
      <c r="A2676" t="str">
        <f t="shared" si="705"/>
        <v>048314</v>
      </c>
      <c r="B2676" t="str">
        <f t="shared" si="715"/>
        <v>070417</v>
      </c>
      <c r="C2676" t="s">
        <v>2131</v>
      </c>
      <c r="D2676" t="s">
        <v>3839</v>
      </c>
      <c r="E2676" t="s">
        <v>3840</v>
      </c>
      <c r="F2676" t="s">
        <v>3841</v>
      </c>
      <c r="G2676" t="s">
        <v>3842</v>
      </c>
      <c r="H2676" t="str">
        <f t="shared" si="709"/>
        <v>048314</v>
      </c>
      <c r="I2676" t="s">
        <v>833</v>
      </c>
      <c r="J2676" t="str">
        <f t="shared" si="716"/>
        <v>2015-07-01 00:00:00.0</v>
      </c>
      <c r="K2676" t="s">
        <v>834</v>
      </c>
      <c r="L2676" t="s">
        <v>0</v>
      </c>
      <c r="M2676" t="str">
        <f t="shared" si="714"/>
        <v>048314</v>
      </c>
      <c r="N2676">
        <v>1</v>
      </c>
      <c r="O2676">
        <v>1</v>
      </c>
      <c r="P2676" t="str">
        <f>"08"</f>
        <v>08</v>
      </c>
      <c r="Q2676" t="s">
        <v>835</v>
      </c>
      <c r="S2676" t="s">
        <v>836</v>
      </c>
      <c r="T2676" t="s">
        <v>836</v>
      </c>
      <c r="U2676" t="str">
        <f t="shared" si="711"/>
        <v>2500-12-31 00:00:00.0</v>
      </c>
      <c r="V2676" t="s">
        <v>837</v>
      </c>
      <c r="W2676" t="str">
        <f t="shared" ref="W2676:W2689" si="717">"048314-070417-**-**"</f>
        <v>048314-070417-**-**</v>
      </c>
      <c r="X2676" t="s">
        <v>838</v>
      </c>
      <c r="Y2676">
        <v>1125</v>
      </c>
      <c r="Z2676">
        <v>1125</v>
      </c>
      <c r="AA2676" t="str">
        <f t="shared" si="712"/>
        <v>06/08/2016</v>
      </c>
    </row>
    <row r="2677" spans="1:27" x14ac:dyDescent="0.3">
      <c r="A2677" t="str">
        <f t="shared" si="705"/>
        <v>048314</v>
      </c>
      <c r="B2677" t="str">
        <f t="shared" si="715"/>
        <v>070417</v>
      </c>
      <c r="C2677" t="s">
        <v>2698</v>
      </c>
      <c r="D2677" t="s">
        <v>3839</v>
      </c>
      <c r="E2677" t="s">
        <v>3840</v>
      </c>
      <c r="F2677" t="s">
        <v>3841</v>
      </c>
      <c r="G2677" t="s">
        <v>3842</v>
      </c>
      <c r="H2677" t="str">
        <f t="shared" si="709"/>
        <v>048314</v>
      </c>
      <c r="I2677" t="s">
        <v>833</v>
      </c>
      <c r="J2677" t="str">
        <f t="shared" si="716"/>
        <v>2015-07-01 00:00:00.0</v>
      </c>
      <c r="K2677" t="s">
        <v>834</v>
      </c>
      <c r="L2677" t="s">
        <v>0</v>
      </c>
      <c r="M2677" t="str">
        <f t="shared" si="714"/>
        <v>048314</v>
      </c>
      <c r="N2677">
        <v>1</v>
      </c>
      <c r="O2677">
        <v>1</v>
      </c>
      <c r="P2677" t="str">
        <f>"06"</f>
        <v>06</v>
      </c>
      <c r="Q2677" t="s">
        <v>835</v>
      </c>
      <c r="S2677" t="s">
        <v>836</v>
      </c>
      <c r="T2677" t="s">
        <v>836</v>
      </c>
      <c r="U2677" t="str">
        <f t="shared" si="711"/>
        <v>2500-12-31 00:00:00.0</v>
      </c>
      <c r="V2677" t="s">
        <v>837</v>
      </c>
      <c r="W2677" t="str">
        <f t="shared" si="717"/>
        <v>048314-070417-**-**</v>
      </c>
      <c r="X2677" t="s">
        <v>838</v>
      </c>
      <c r="Y2677">
        <v>1125</v>
      </c>
      <c r="Z2677">
        <v>1125</v>
      </c>
      <c r="AA2677" t="str">
        <f t="shared" si="712"/>
        <v>06/08/2016</v>
      </c>
    </row>
    <row r="2678" spans="1:27" x14ac:dyDescent="0.3">
      <c r="A2678" t="str">
        <f t="shared" si="705"/>
        <v>048314</v>
      </c>
      <c r="B2678" t="str">
        <f t="shared" si="715"/>
        <v>070417</v>
      </c>
      <c r="C2678" t="s">
        <v>2699</v>
      </c>
      <c r="D2678" t="s">
        <v>3839</v>
      </c>
      <c r="E2678" t="s">
        <v>3840</v>
      </c>
      <c r="F2678" t="s">
        <v>3841</v>
      </c>
      <c r="G2678" t="s">
        <v>3842</v>
      </c>
      <c r="H2678" t="str">
        <f t="shared" si="709"/>
        <v>048314</v>
      </c>
      <c r="I2678" t="s">
        <v>833</v>
      </c>
      <c r="J2678" t="str">
        <f t="shared" si="716"/>
        <v>2015-07-01 00:00:00.0</v>
      </c>
      <c r="K2678" t="s">
        <v>834</v>
      </c>
      <c r="L2678" t="s">
        <v>0</v>
      </c>
      <c r="M2678" t="str">
        <f t="shared" si="714"/>
        <v>048314</v>
      </c>
      <c r="N2678">
        <v>1</v>
      </c>
      <c r="O2678">
        <v>1</v>
      </c>
      <c r="P2678" t="str">
        <f>"06"</f>
        <v>06</v>
      </c>
      <c r="Q2678" t="s">
        <v>835</v>
      </c>
      <c r="S2678" t="s">
        <v>860</v>
      </c>
      <c r="T2678" t="s">
        <v>836</v>
      </c>
      <c r="U2678" t="str">
        <f t="shared" si="711"/>
        <v>2500-12-31 00:00:00.0</v>
      </c>
      <c r="V2678" t="s">
        <v>837</v>
      </c>
      <c r="W2678" t="str">
        <f t="shared" si="717"/>
        <v>048314-070417-**-**</v>
      </c>
      <c r="X2678" t="s">
        <v>838</v>
      </c>
      <c r="Y2678">
        <v>1125</v>
      </c>
      <c r="Z2678">
        <v>1125</v>
      </c>
      <c r="AA2678" t="str">
        <f t="shared" si="712"/>
        <v>06/08/2016</v>
      </c>
    </row>
    <row r="2679" spans="1:27" x14ac:dyDescent="0.3">
      <c r="A2679" t="str">
        <f t="shared" si="705"/>
        <v>048314</v>
      </c>
      <c r="B2679" t="str">
        <f t="shared" si="715"/>
        <v>070417</v>
      </c>
      <c r="C2679" t="s">
        <v>2325</v>
      </c>
      <c r="D2679" t="s">
        <v>3839</v>
      </c>
      <c r="E2679" t="s">
        <v>3840</v>
      </c>
      <c r="F2679" t="s">
        <v>3841</v>
      </c>
      <c r="G2679" t="s">
        <v>3842</v>
      </c>
      <c r="H2679" t="str">
        <f t="shared" si="709"/>
        <v>048314</v>
      </c>
      <c r="I2679" t="s">
        <v>833</v>
      </c>
      <c r="J2679" t="str">
        <f t="shared" si="716"/>
        <v>2015-07-01 00:00:00.0</v>
      </c>
      <c r="K2679" t="s">
        <v>834</v>
      </c>
      <c r="L2679" t="s">
        <v>0</v>
      </c>
      <c r="M2679" t="str">
        <f t="shared" si="714"/>
        <v>048314</v>
      </c>
      <c r="N2679">
        <v>1</v>
      </c>
      <c r="O2679">
        <v>1</v>
      </c>
      <c r="P2679" t="str">
        <f>"07"</f>
        <v>07</v>
      </c>
      <c r="Q2679" t="s">
        <v>835</v>
      </c>
      <c r="S2679" t="s">
        <v>836</v>
      </c>
      <c r="T2679" t="s">
        <v>836</v>
      </c>
      <c r="U2679" t="str">
        <f t="shared" si="711"/>
        <v>2500-12-31 00:00:00.0</v>
      </c>
      <c r="V2679" t="s">
        <v>837</v>
      </c>
      <c r="W2679" t="str">
        <f t="shared" si="717"/>
        <v>048314-070417-**-**</v>
      </c>
      <c r="X2679" t="s">
        <v>838</v>
      </c>
      <c r="Y2679">
        <v>1125</v>
      </c>
      <c r="Z2679">
        <v>1125</v>
      </c>
      <c r="AA2679" t="str">
        <f t="shared" si="712"/>
        <v>06/08/2016</v>
      </c>
    </row>
    <row r="2680" spans="1:27" x14ac:dyDescent="0.3">
      <c r="A2680" t="str">
        <f t="shared" si="705"/>
        <v>048314</v>
      </c>
      <c r="B2680" t="str">
        <f t="shared" si="715"/>
        <v>070417</v>
      </c>
      <c r="C2680" t="s">
        <v>2700</v>
      </c>
      <c r="D2680" t="s">
        <v>3839</v>
      </c>
      <c r="E2680" t="s">
        <v>3840</v>
      </c>
      <c r="F2680" t="s">
        <v>3841</v>
      </c>
      <c r="G2680" t="s">
        <v>3842</v>
      </c>
      <c r="H2680" t="str">
        <f t="shared" si="709"/>
        <v>048314</v>
      </c>
      <c r="I2680" t="s">
        <v>833</v>
      </c>
      <c r="J2680" t="str">
        <f t="shared" si="716"/>
        <v>2015-07-01 00:00:00.0</v>
      </c>
      <c r="K2680" t="s">
        <v>834</v>
      </c>
      <c r="L2680" t="s">
        <v>0</v>
      </c>
      <c r="M2680" t="str">
        <f t="shared" si="714"/>
        <v>048314</v>
      </c>
      <c r="N2680">
        <v>1</v>
      </c>
      <c r="O2680">
        <v>1</v>
      </c>
      <c r="P2680" t="str">
        <f>"06"</f>
        <v>06</v>
      </c>
      <c r="Q2680" t="s">
        <v>835</v>
      </c>
      <c r="S2680" t="s">
        <v>836</v>
      </c>
      <c r="T2680" t="s">
        <v>836</v>
      </c>
      <c r="U2680" t="str">
        <f t="shared" si="711"/>
        <v>2500-12-31 00:00:00.0</v>
      </c>
      <c r="V2680" t="s">
        <v>837</v>
      </c>
      <c r="W2680" t="str">
        <f t="shared" si="717"/>
        <v>048314-070417-**-**</v>
      </c>
      <c r="X2680" t="s">
        <v>838</v>
      </c>
      <c r="Y2680">
        <v>1125</v>
      </c>
      <c r="Z2680">
        <v>1125</v>
      </c>
      <c r="AA2680" t="str">
        <f t="shared" si="712"/>
        <v>06/08/2016</v>
      </c>
    </row>
    <row r="2681" spans="1:27" x14ac:dyDescent="0.3">
      <c r="A2681" t="str">
        <f t="shared" si="705"/>
        <v>048314</v>
      </c>
      <c r="B2681" t="str">
        <f t="shared" si="715"/>
        <v>070417</v>
      </c>
      <c r="C2681" t="s">
        <v>2562</v>
      </c>
      <c r="D2681" t="s">
        <v>3839</v>
      </c>
      <c r="E2681" t="s">
        <v>3840</v>
      </c>
      <c r="F2681" t="s">
        <v>3841</v>
      </c>
      <c r="G2681" t="s">
        <v>3842</v>
      </c>
      <c r="H2681" t="str">
        <f t="shared" si="709"/>
        <v>048314</v>
      </c>
      <c r="I2681" t="s">
        <v>833</v>
      </c>
      <c r="J2681" t="str">
        <f t="shared" si="716"/>
        <v>2015-07-01 00:00:00.0</v>
      </c>
      <c r="K2681" t="s">
        <v>834</v>
      </c>
      <c r="L2681" t="s">
        <v>0</v>
      </c>
      <c r="M2681" t="str">
        <f t="shared" si="714"/>
        <v>048314</v>
      </c>
      <c r="N2681">
        <v>1</v>
      </c>
      <c r="O2681">
        <v>1</v>
      </c>
      <c r="P2681" t="str">
        <f>"06"</f>
        <v>06</v>
      </c>
      <c r="Q2681" t="s">
        <v>835</v>
      </c>
      <c r="S2681" t="s">
        <v>860</v>
      </c>
      <c r="T2681" t="s">
        <v>836</v>
      </c>
      <c r="U2681" t="str">
        <f t="shared" si="711"/>
        <v>2500-12-31 00:00:00.0</v>
      </c>
      <c r="V2681" t="s">
        <v>837</v>
      </c>
      <c r="W2681" t="str">
        <f t="shared" si="717"/>
        <v>048314-070417-**-**</v>
      </c>
      <c r="X2681" t="s">
        <v>838</v>
      </c>
      <c r="Y2681">
        <v>1125</v>
      </c>
      <c r="Z2681">
        <v>1125</v>
      </c>
      <c r="AA2681" t="str">
        <f t="shared" si="712"/>
        <v>06/08/2016</v>
      </c>
    </row>
    <row r="2682" spans="1:27" x14ac:dyDescent="0.3">
      <c r="A2682" t="str">
        <f t="shared" si="705"/>
        <v>048314</v>
      </c>
      <c r="B2682" t="str">
        <f t="shared" si="715"/>
        <v>070417</v>
      </c>
      <c r="C2682" t="s">
        <v>2444</v>
      </c>
      <c r="D2682" t="s">
        <v>3839</v>
      </c>
      <c r="E2682" t="s">
        <v>3840</v>
      </c>
      <c r="F2682" t="s">
        <v>3841</v>
      </c>
      <c r="G2682" t="s">
        <v>3842</v>
      </c>
      <c r="H2682" t="str">
        <f t="shared" si="709"/>
        <v>048314</v>
      </c>
      <c r="I2682" t="s">
        <v>833</v>
      </c>
      <c r="J2682" t="str">
        <f t="shared" si="716"/>
        <v>2015-07-01 00:00:00.0</v>
      </c>
      <c r="K2682" t="s">
        <v>834</v>
      </c>
      <c r="L2682" t="s">
        <v>0</v>
      </c>
      <c r="M2682" t="str">
        <f t="shared" si="714"/>
        <v>048314</v>
      </c>
      <c r="N2682">
        <v>1</v>
      </c>
      <c r="O2682">
        <v>1</v>
      </c>
      <c r="P2682" t="str">
        <f>"07"</f>
        <v>07</v>
      </c>
      <c r="Q2682" t="s">
        <v>835</v>
      </c>
      <c r="S2682" t="s">
        <v>836</v>
      </c>
      <c r="T2682" t="s">
        <v>836</v>
      </c>
      <c r="U2682" t="str">
        <f t="shared" si="711"/>
        <v>2500-12-31 00:00:00.0</v>
      </c>
      <c r="V2682" t="s">
        <v>837</v>
      </c>
      <c r="W2682" t="str">
        <f t="shared" si="717"/>
        <v>048314-070417-**-**</v>
      </c>
      <c r="X2682" t="s">
        <v>838</v>
      </c>
      <c r="Y2682">
        <v>1125</v>
      </c>
      <c r="Z2682">
        <v>1125</v>
      </c>
      <c r="AA2682" t="str">
        <f t="shared" si="712"/>
        <v>06/08/2016</v>
      </c>
    </row>
    <row r="2683" spans="1:27" x14ac:dyDescent="0.3">
      <c r="A2683" t="str">
        <f t="shared" si="705"/>
        <v>048314</v>
      </c>
      <c r="B2683" t="str">
        <f t="shared" si="715"/>
        <v>070417</v>
      </c>
      <c r="C2683" t="s">
        <v>2254</v>
      </c>
      <c r="D2683" t="s">
        <v>3839</v>
      </c>
      <c r="E2683" t="s">
        <v>3840</v>
      </c>
      <c r="F2683" t="s">
        <v>3841</v>
      </c>
      <c r="G2683" t="s">
        <v>3842</v>
      </c>
      <c r="H2683" t="str">
        <f t="shared" si="709"/>
        <v>048314</v>
      </c>
      <c r="I2683" t="s">
        <v>833</v>
      </c>
      <c r="J2683" t="str">
        <f t="shared" si="716"/>
        <v>2015-07-01 00:00:00.0</v>
      </c>
      <c r="K2683" t="s">
        <v>834</v>
      </c>
      <c r="L2683" t="s">
        <v>0</v>
      </c>
      <c r="M2683" t="str">
        <f t="shared" si="714"/>
        <v>048314</v>
      </c>
      <c r="N2683">
        <v>1</v>
      </c>
      <c r="O2683">
        <v>1</v>
      </c>
      <c r="P2683" t="str">
        <f>"08"</f>
        <v>08</v>
      </c>
      <c r="Q2683" t="s">
        <v>835</v>
      </c>
      <c r="S2683" t="s">
        <v>836</v>
      </c>
      <c r="T2683" t="s">
        <v>836</v>
      </c>
      <c r="U2683" t="str">
        <f t="shared" si="711"/>
        <v>2500-12-31 00:00:00.0</v>
      </c>
      <c r="V2683" t="s">
        <v>837</v>
      </c>
      <c r="W2683" t="str">
        <f t="shared" si="717"/>
        <v>048314-070417-**-**</v>
      </c>
      <c r="X2683" t="s">
        <v>838</v>
      </c>
      <c r="Y2683">
        <v>1125</v>
      </c>
      <c r="Z2683">
        <v>1125</v>
      </c>
      <c r="AA2683" t="str">
        <f t="shared" si="712"/>
        <v>06/08/2016</v>
      </c>
    </row>
    <row r="2684" spans="1:27" x14ac:dyDescent="0.3">
      <c r="A2684" t="str">
        <f t="shared" si="705"/>
        <v>048314</v>
      </c>
      <c r="B2684" t="str">
        <f t="shared" si="715"/>
        <v>070417</v>
      </c>
      <c r="C2684" t="s">
        <v>2217</v>
      </c>
      <c r="D2684" t="s">
        <v>3839</v>
      </c>
      <c r="E2684" t="s">
        <v>3840</v>
      </c>
      <c r="F2684" t="s">
        <v>3841</v>
      </c>
      <c r="G2684" t="s">
        <v>3842</v>
      </c>
      <c r="H2684" t="str">
        <f t="shared" si="709"/>
        <v>048314</v>
      </c>
      <c r="I2684" t="s">
        <v>833</v>
      </c>
      <c r="J2684" t="str">
        <f t="shared" si="716"/>
        <v>2015-07-01 00:00:00.0</v>
      </c>
      <c r="K2684" t="s">
        <v>834</v>
      </c>
      <c r="L2684" t="s">
        <v>0</v>
      </c>
      <c r="M2684" t="str">
        <f t="shared" si="714"/>
        <v>048314</v>
      </c>
      <c r="N2684">
        <v>1</v>
      </c>
      <c r="O2684">
        <v>1</v>
      </c>
      <c r="P2684" t="str">
        <f>"08"</f>
        <v>08</v>
      </c>
      <c r="Q2684" t="s">
        <v>835</v>
      </c>
      <c r="S2684" t="s">
        <v>836</v>
      </c>
      <c r="T2684" t="s">
        <v>836</v>
      </c>
      <c r="U2684" t="str">
        <f t="shared" si="711"/>
        <v>2500-12-31 00:00:00.0</v>
      </c>
      <c r="V2684" t="s">
        <v>837</v>
      </c>
      <c r="W2684" t="str">
        <f t="shared" si="717"/>
        <v>048314-070417-**-**</v>
      </c>
      <c r="X2684" t="s">
        <v>838</v>
      </c>
      <c r="Y2684">
        <v>1125</v>
      </c>
      <c r="Z2684">
        <v>1125</v>
      </c>
      <c r="AA2684" t="str">
        <f t="shared" si="712"/>
        <v>06/08/2016</v>
      </c>
    </row>
    <row r="2685" spans="1:27" x14ac:dyDescent="0.3">
      <c r="A2685" t="str">
        <f t="shared" si="705"/>
        <v>048314</v>
      </c>
      <c r="B2685" t="str">
        <f t="shared" si="715"/>
        <v>070417</v>
      </c>
      <c r="C2685" t="s">
        <v>2132</v>
      </c>
      <c r="D2685" t="s">
        <v>3839</v>
      </c>
      <c r="E2685" t="s">
        <v>3840</v>
      </c>
      <c r="F2685" t="s">
        <v>3841</v>
      </c>
      <c r="G2685" t="s">
        <v>3842</v>
      </c>
      <c r="H2685" t="str">
        <f t="shared" si="709"/>
        <v>048314</v>
      </c>
      <c r="I2685" t="s">
        <v>833</v>
      </c>
      <c r="J2685" t="str">
        <f t="shared" si="716"/>
        <v>2015-07-01 00:00:00.0</v>
      </c>
      <c r="K2685" t="s">
        <v>834</v>
      </c>
      <c r="L2685" t="s">
        <v>0</v>
      </c>
      <c r="M2685" t="str">
        <f t="shared" si="714"/>
        <v>048314</v>
      </c>
      <c r="N2685">
        <v>1</v>
      </c>
      <c r="O2685">
        <v>1</v>
      </c>
      <c r="P2685" t="str">
        <f>"08"</f>
        <v>08</v>
      </c>
      <c r="Q2685" t="s">
        <v>835</v>
      </c>
      <c r="S2685" t="s">
        <v>836</v>
      </c>
      <c r="T2685" t="s">
        <v>836</v>
      </c>
      <c r="U2685" t="str">
        <f t="shared" si="711"/>
        <v>2500-12-31 00:00:00.0</v>
      </c>
      <c r="V2685" t="s">
        <v>837</v>
      </c>
      <c r="W2685" t="str">
        <f t="shared" si="717"/>
        <v>048314-070417-**-**</v>
      </c>
      <c r="X2685" t="s">
        <v>838</v>
      </c>
      <c r="Y2685">
        <v>1125</v>
      </c>
      <c r="Z2685">
        <v>1125</v>
      </c>
      <c r="AA2685" t="str">
        <f t="shared" si="712"/>
        <v>06/08/2016</v>
      </c>
    </row>
    <row r="2686" spans="1:27" x14ac:dyDescent="0.3">
      <c r="A2686" t="str">
        <f t="shared" si="705"/>
        <v>048314</v>
      </c>
      <c r="B2686" t="str">
        <f t="shared" si="715"/>
        <v>070417</v>
      </c>
      <c r="C2686" t="s">
        <v>2701</v>
      </c>
      <c r="D2686" t="s">
        <v>3839</v>
      </c>
      <c r="E2686" t="s">
        <v>3840</v>
      </c>
      <c r="F2686" t="s">
        <v>3841</v>
      </c>
      <c r="G2686" t="s">
        <v>3842</v>
      </c>
      <c r="H2686" t="str">
        <f t="shared" si="709"/>
        <v>048314</v>
      </c>
      <c r="I2686" t="s">
        <v>833</v>
      </c>
      <c r="J2686" t="str">
        <f t="shared" si="716"/>
        <v>2015-07-01 00:00:00.0</v>
      </c>
      <c r="K2686" t="s">
        <v>834</v>
      </c>
      <c r="L2686" t="s">
        <v>0</v>
      </c>
      <c r="M2686" t="str">
        <f t="shared" si="714"/>
        <v>048314</v>
      </c>
      <c r="N2686">
        <v>1</v>
      </c>
      <c r="O2686">
        <v>1</v>
      </c>
      <c r="P2686" t="str">
        <f>"06"</f>
        <v>06</v>
      </c>
      <c r="Q2686" t="s">
        <v>835</v>
      </c>
      <c r="S2686" t="s">
        <v>836</v>
      </c>
      <c r="T2686" t="s">
        <v>836</v>
      </c>
      <c r="U2686" t="str">
        <f t="shared" si="711"/>
        <v>2500-12-31 00:00:00.0</v>
      </c>
      <c r="V2686" t="s">
        <v>837</v>
      </c>
      <c r="W2686" t="str">
        <f t="shared" si="717"/>
        <v>048314-070417-**-**</v>
      </c>
      <c r="X2686" t="s">
        <v>838</v>
      </c>
      <c r="Y2686">
        <v>1125</v>
      </c>
      <c r="Z2686">
        <v>1125</v>
      </c>
      <c r="AA2686" t="str">
        <f t="shared" si="712"/>
        <v>06/08/2016</v>
      </c>
    </row>
    <row r="2687" spans="1:27" x14ac:dyDescent="0.3">
      <c r="A2687" t="str">
        <f t="shared" si="705"/>
        <v>048314</v>
      </c>
      <c r="B2687" t="str">
        <f t="shared" si="715"/>
        <v>070417</v>
      </c>
      <c r="C2687" t="s">
        <v>2133</v>
      </c>
      <c r="D2687" t="s">
        <v>3839</v>
      </c>
      <c r="E2687" t="s">
        <v>3840</v>
      </c>
      <c r="F2687" t="s">
        <v>3841</v>
      </c>
      <c r="G2687" t="s">
        <v>3842</v>
      </c>
      <c r="H2687" t="str">
        <f t="shared" si="709"/>
        <v>048314</v>
      </c>
      <c r="I2687" t="s">
        <v>833</v>
      </c>
      <c r="J2687" t="str">
        <f t="shared" si="716"/>
        <v>2015-07-01 00:00:00.0</v>
      </c>
      <c r="K2687" t="s">
        <v>834</v>
      </c>
      <c r="L2687" t="s">
        <v>0</v>
      </c>
      <c r="M2687" t="str">
        <f t="shared" si="714"/>
        <v>048314</v>
      </c>
      <c r="N2687">
        <v>1</v>
      </c>
      <c r="O2687">
        <v>1</v>
      </c>
      <c r="P2687" t="str">
        <f>"08"</f>
        <v>08</v>
      </c>
      <c r="Q2687" t="s">
        <v>835</v>
      </c>
      <c r="S2687" t="s">
        <v>836</v>
      </c>
      <c r="T2687" t="s">
        <v>836</v>
      </c>
      <c r="U2687" t="str">
        <f t="shared" si="711"/>
        <v>2500-12-31 00:00:00.0</v>
      </c>
      <c r="V2687" t="s">
        <v>837</v>
      </c>
      <c r="W2687" t="str">
        <f t="shared" si="717"/>
        <v>048314-070417-**-**</v>
      </c>
      <c r="X2687" t="s">
        <v>838</v>
      </c>
      <c r="Y2687">
        <v>1125</v>
      </c>
      <c r="Z2687">
        <v>1125</v>
      </c>
      <c r="AA2687" t="str">
        <f t="shared" si="712"/>
        <v>06/08/2016</v>
      </c>
    </row>
    <row r="2688" spans="1:27" x14ac:dyDescent="0.3">
      <c r="A2688" t="str">
        <f t="shared" si="705"/>
        <v>048314</v>
      </c>
      <c r="B2688" t="str">
        <f t="shared" si="715"/>
        <v>070417</v>
      </c>
      <c r="C2688" t="s">
        <v>2445</v>
      </c>
      <c r="D2688" t="s">
        <v>3839</v>
      </c>
      <c r="E2688" t="s">
        <v>3840</v>
      </c>
      <c r="F2688" t="s">
        <v>3841</v>
      </c>
      <c r="G2688" t="s">
        <v>3842</v>
      </c>
      <c r="H2688" t="str">
        <f t="shared" si="709"/>
        <v>048314</v>
      </c>
      <c r="I2688" t="s">
        <v>833</v>
      </c>
      <c r="J2688" t="str">
        <f t="shared" si="716"/>
        <v>2015-07-01 00:00:00.0</v>
      </c>
      <c r="K2688" t="s">
        <v>834</v>
      </c>
      <c r="L2688" t="s">
        <v>0</v>
      </c>
      <c r="M2688" t="str">
        <f t="shared" si="714"/>
        <v>048314</v>
      </c>
      <c r="N2688">
        <v>1</v>
      </c>
      <c r="O2688">
        <v>1</v>
      </c>
      <c r="P2688" t="str">
        <f>"07"</f>
        <v>07</v>
      </c>
      <c r="Q2688" t="s">
        <v>835</v>
      </c>
      <c r="S2688" t="s">
        <v>836</v>
      </c>
      <c r="T2688" t="s">
        <v>836</v>
      </c>
      <c r="U2688" t="str">
        <f t="shared" si="711"/>
        <v>2500-12-31 00:00:00.0</v>
      </c>
      <c r="V2688" t="s">
        <v>837</v>
      </c>
      <c r="W2688" t="str">
        <f t="shared" si="717"/>
        <v>048314-070417-**-**</v>
      </c>
      <c r="X2688" t="s">
        <v>838</v>
      </c>
      <c r="Y2688">
        <v>1125</v>
      </c>
      <c r="Z2688">
        <v>1125</v>
      </c>
      <c r="AA2688" t="str">
        <f t="shared" si="712"/>
        <v>06/08/2016</v>
      </c>
    </row>
    <row r="2689" spans="1:27" x14ac:dyDescent="0.3">
      <c r="A2689" t="str">
        <f t="shared" si="705"/>
        <v>048314</v>
      </c>
      <c r="B2689" t="str">
        <f t="shared" si="715"/>
        <v>070417</v>
      </c>
      <c r="C2689" t="s">
        <v>2757</v>
      </c>
      <c r="D2689" t="s">
        <v>3839</v>
      </c>
      <c r="E2689" t="s">
        <v>3840</v>
      </c>
      <c r="F2689" t="s">
        <v>3841</v>
      </c>
      <c r="G2689" t="s">
        <v>3842</v>
      </c>
      <c r="H2689" t="str">
        <f t="shared" si="709"/>
        <v>048314</v>
      </c>
      <c r="I2689" t="s">
        <v>833</v>
      </c>
      <c r="J2689" t="str">
        <f t="shared" si="716"/>
        <v>2015-07-01 00:00:00.0</v>
      </c>
      <c r="K2689" t="s">
        <v>834</v>
      </c>
      <c r="L2689" t="s">
        <v>0</v>
      </c>
      <c r="M2689" t="str">
        <f t="shared" si="714"/>
        <v>048314</v>
      </c>
      <c r="N2689">
        <v>1</v>
      </c>
      <c r="O2689">
        <v>1</v>
      </c>
      <c r="P2689" t="str">
        <f>"06"</f>
        <v>06</v>
      </c>
      <c r="Q2689" t="s">
        <v>835</v>
      </c>
      <c r="S2689" t="s">
        <v>860</v>
      </c>
      <c r="T2689" t="s">
        <v>836</v>
      </c>
      <c r="U2689" t="str">
        <f t="shared" si="711"/>
        <v>2500-12-31 00:00:00.0</v>
      </c>
      <c r="V2689" t="s">
        <v>837</v>
      </c>
      <c r="W2689" t="str">
        <f t="shared" si="717"/>
        <v>048314-070417-**-**</v>
      </c>
      <c r="X2689" t="s">
        <v>838</v>
      </c>
      <c r="Y2689">
        <v>1125</v>
      </c>
      <c r="Z2689">
        <v>1125</v>
      </c>
      <c r="AA2689" t="str">
        <f t="shared" si="712"/>
        <v>06/08/2016</v>
      </c>
    </row>
    <row r="2690" spans="1:27" x14ac:dyDescent="0.3">
      <c r="A2690" t="str">
        <f t="shared" ref="A2690:A2753" si="718">"048314"</f>
        <v>048314</v>
      </c>
      <c r="B2690" t="str">
        <f t="shared" si="715"/>
        <v>070417</v>
      </c>
      <c r="C2690" t="s">
        <v>1952</v>
      </c>
      <c r="D2690" t="s">
        <v>3839</v>
      </c>
      <c r="E2690" t="s">
        <v>3840</v>
      </c>
      <c r="F2690" t="s">
        <v>3841</v>
      </c>
      <c r="G2690" t="s">
        <v>3842</v>
      </c>
      <c r="H2690" t="str">
        <f t="shared" si="709"/>
        <v>048314</v>
      </c>
      <c r="I2690" t="s">
        <v>833</v>
      </c>
      <c r="J2690" t="str">
        <f t="shared" si="716"/>
        <v>2015-07-01 00:00:00.0</v>
      </c>
      <c r="K2690" t="s">
        <v>834</v>
      </c>
      <c r="L2690" t="s">
        <v>0</v>
      </c>
      <c r="M2690" t="str">
        <f t="shared" si="714"/>
        <v>048314</v>
      </c>
      <c r="N2690">
        <v>1</v>
      </c>
      <c r="O2690">
        <v>1</v>
      </c>
      <c r="P2690" t="str">
        <f>"09"</f>
        <v>09</v>
      </c>
      <c r="Q2690" t="s">
        <v>835</v>
      </c>
      <c r="S2690" t="s">
        <v>836</v>
      </c>
      <c r="T2690" t="s">
        <v>836</v>
      </c>
      <c r="U2690" t="str">
        <f t="shared" si="711"/>
        <v>2500-12-31 00:00:00.0</v>
      </c>
      <c r="V2690" t="s">
        <v>837</v>
      </c>
      <c r="W2690" t="str">
        <f>"048314-004796-**-**"</f>
        <v>048314-004796-**-**</v>
      </c>
      <c r="X2690" t="s">
        <v>838</v>
      </c>
      <c r="Y2690">
        <v>1254.5</v>
      </c>
      <c r="Z2690">
        <v>1254.5</v>
      </c>
      <c r="AA2690" t="str">
        <f t="shared" si="712"/>
        <v>06/08/2016</v>
      </c>
    </row>
    <row r="2691" spans="1:27" x14ac:dyDescent="0.3">
      <c r="A2691" t="str">
        <f t="shared" si="718"/>
        <v>048314</v>
      </c>
      <c r="B2691" t="str">
        <f t="shared" si="715"/>
        <v>070417</v>
      </c>
      <c r="C2691" t="s">
        <v>2446</v>
      </c>
      <c r="D2691" t="s">
        <v>3839</v>
      </c>
      <c r="E2691" t="s">
        <v>3840</v>
      </c>
      <c r="F2691" t="s">
        <v>3841</v>
      </c>
      <c r="G2691" t="s">
        <v>3842</v>
      </c>
      <c r="H2691" t="str">
        <f t="shared" si="709"/>
        <v>048314</v>
      </c>
      <c r="I2691" t="s">
        <v>833</v>
      </c>
      <c r="J2691" t="str">
        <f t="shared" si="716"/>
        <v>2015-07-01 00:00:00.0</v>
      </c>
      <c r="K2691" t="s">
        <v>834</v>
      </c>
      <c r="L2691" t="s">
        <v>0</v>
      </c>
      <c r="M2691" t="str">
        <f t="shared" si="714"/>
        <v>048314</v>
      </c>
      <c r="N2691">
        <v>1</v>
      </c>
      <c r="O2691">
        <v>1</v>
      </c>
      <c r="P2691" t="str">
        <f>"07"</f>
        <v>07</v>
      </c>
      <c r="Q2691" t="s">
        <v>835</v>
      </c>
      <c r="S2691" t="s">
        <v>836</v>
      </c>
      <c r="T2691" t="s">
        <v>836</v>
      </c>
      <c r="U2691" t="str">
        <f t="shared" si="711"/>
        <v>2500-12-31 00:00:00.0</v>
      </c>
      <c r="V2691" t="s">
        <v>837</v>
      </c>
      <c r="W2691" t="str">
        <f>"048314-070417-**-**"</f>
        <v>048314-070417-**-**</v>
      </c>
      <c r="X2691" t="s">
        <v>838</v>
      </c>
      <c r="Y2691">
        <v>1125</v>
      </c>
      <c r="Z2691">
        <v>1125</v>
      </c>
      <c r="AA2691" t="str">
        <f t="shared" si="712"/>
        <v>06/08/2016</v>
      </c>
    </row>
    <row r="2692" spans="1:27" x14ac:dyDescent="0.3">
      <c r="A2692" t="str">
        <f t="shared" si="718"/>
        <v>048314</v>
      </c>
      <c r="B2692" t="str">
        <f t="shared" si="715"/>
        <v>070417</v>
      </c>
      <c r="C2692" t="s">
        <v>2702</v>
      </c>
      <c r="D2692" t="s">
        <v>3839</v>
      </c>
      <c r="E2692" t="s">
        <v>3840</v>
      </c>
      <c r="F2692" t="s">
        <v>3841</v>
      </c>
      <c r="G2692" t="s">
        <v>3842</v>
      </c>
      <c r="H2692" t="str">
        <f t="shared" si="709"/>
        <v>048314</v>
      </c>
      <c r="I2692" t="s">
        <v>833</v>
      </c>
      <c r="J2692" t="str">
        <f t="shared" si="716"/>
        <v>2015-07-01 00:00:00.0</v>
      </c>
      <c r="K2692" t="s">
        <v>834</v>
      </c>
      <c r="L2692" t="s">
        <v>0</v>
      </c>
      <c r="M2692" t="str">
        <f t="shared" si="714"/>
        <v>048314</v>
      </c>
      <c r="N2692">
        <v>1</v>
      </c>
      <c r="O2692">
        <v>1</v>
      </c>
      <c r="P2692" t="str">
        <f>"06"</f>
        <v>06</v>
      </c>
      <c r="Q2692" t="s">
        <v>835</v>
      </c>
      <c r="S2692" t="s">
        <v>836</v>
      </c>
      <c r="T2692" t="s">
        <v>836</v>
      </c>
      <c r="U2692" t="str">
        <f t="shared" si="711"/>
        <v>2500-12-31 00:00:00.0</v>
      </c>
      <c r="V2692" t="s">
        <v>837</v>
      </c>
      <c r="W2692" t="str">
        <f>"048314-070417-**-**"</f>
        <v>048314-070417-**-**</v>
      </c>
      <c r="X2692" t="s">
        <v>838</v>
      </c>
      <c r="Y2692">
        <v>1125</v>
      </c>
      <c r="Z2692">
        <v>1125</v>
      </c>
      <c r="AA2692" t="str">
        <f t="shared" si="712"/>
        <v>06/08/2016</v>
      </c>
    </row>
    <row r="2693" spans="1:27" x14ac:dyDescent="0.3">
      <c r="A2693" t="str">
        <f t="shared" si="718"/>
        <v>048314</v>
      </c>
      <c r="B2693" t="str">
        <f t="shared" si="715"/>
        <v>070417</v>
      </c>
      <c r="C2693" t="s">
        <v>1789</v>
      </c>
      <c r="D2693" t="s">
        <v>3839</v>
      </c>
      <c r="E2693" t="s">
        <v>3840</v>
      </c>
      <c r="F2693" t="s">
        <v>3841</v>
      </c>
      <c r="G2693" t="s">
        <v>3842</v>
      </c>
      <c r="H2693" t="str">
        <f t="shared" si="709"/>
        <v>048314</v>
      </c>
      <c r="I2693" t="s">
        <v>833</v>
      </c>
      <c r="J2693" t="str">
        <f t="shared" si="716"/>
        <v>2015-07-01 00:00:00.0</v>
      </c>
      <c r="K2693" t="s">
        <v>834</v>
      </c>
      <c r="L2693" t="s">
        <v>0</v>
      </c>
      <c r="M2693" t="str">
        <f t="shared" si="714"/>
        <v>048314</v>
      </c>
      <c r="N2693">
        <v>1</v>
      </c>
      <c r="O2693">
        <v>1</v>
      </c>
      <c r="P2693" t="str">
        <f>"08"</f>
        <v>08</v>
      </c>
      <c r="Q2693" t="s">
        <v>835</v>
      </c>
      <c r="S2693" t="s">
        <v>836</v>
      </c>
      <c r="T2693" t="s">
        <v>836</v>
      </c>
      <c r="U2693" t="str">
        <f t="shared" si="711"/>
        <v>2500-12-31 00:00:00.0</v>
      </c>
      <c r="V2693" t="s">
        <v>837</v>
      </c>
      <c r="W2693" t="str">
        <f>"048314-070417-**-**"</f>
        <v>048314-070417-**-**</v>
      </c>
      <c r="X2693" t="s">
        <v>838</v>
      </c>
      <c r="Y2693">
        <v>1125</v>
      </c>
      <c r="Z2693">
        <v>1125</v>
      </c>
      <c r="AA2693" t="str">
        <f t="shared" si="712"/>
        <v>06/08/2016</v>
      </c>
    </row>
    <row r="2694" spans="1:27" x14ac:dyDescent="0.3">
      <c r="A2694" t="str">
        <f t="shared" si="718"/>
        <v>048314</v>
      </c>
      <c r="B2694" t="str">
        <f t="shared" si="715"/>
        <v>070417</v>
      </c>
      <c r="C2694" t="s">
        <v>2895</v>
      </c>
      <c r="D2694" t="s">
        <v>3839</v>
      </c>
      <c r="E2694" t="s">
        <v>3840</v>
      </c>
      <c r="F2694" t="s">
        <v>3841</v>
      </c>
      <c r="G2694" t="s">
        <v>3842</v>
      </c>
      <c r="H2694" t="str">
        <f t="shared" si="709"/>
        <v>048314</v>
      </c>
      <c r="I2694" t="s">
        <v>833</v>
      </c>
      <c r="J2694" t="str">
        <f t="shared" si="716"/>
        <v>2015-07-01 00:00:00.0</v>
      </c>
      <c r="K2694" t="s">
        <v>834</v>
      </c>
      <c r="L2694" t="s">
        <v>0</v>
      </c>
      <c r="M2694" t="str">
        <f t="shared" si="714"/>
        <v>048314</v>
      </c>
      <c r="N2694">
        <v>1</v>
      </c>
      <c r="O2694">
        <v>1</v>
      </c>
      <c r="P2694" t="str">
        <f>"06"</f>
        <v>06</v>
      </c>
      <c r="Q2694" t="s">
        <v>835</v>
      </c>
      <c r="S2694" t="s">
        <v>836</v>
      </c>
      <c r="T2694" t="s">
        <v>836</v>
      </c>
      <c r="U2694" t="str">
        <f t="shared" si="711"/>
        <v>2500-12-31 00:00:00.0</v>
      </c>
      <c r="V2694" t="s">
        <v>837</v>
      </c>
      <c r="W2694" t="str">
        <f>"048314-070417-**-**"</f>
        <v>048314-070417-**-**</v>
      </c>
      <c r="X2694" t="s">
        <v>838</v>
      </c>
      <c r="Y2694">
        <v>1125</v>
      </c>
      <c r="Z2694">
        <v>1125</v>
      </c>
      <c r="AA2694" t="str">
        <f t="shared" si="712"/>
        <v>06/08/2016</v>
      </c>
    </row>
    <row r="2695" spans="1:27" x14ac:dyDescent="0.3">
      <c r="A2695" t="str">
        <f t="shared" si="718"/>
        <v>048314</v>
      </c>
      <c r="B2695" t="str">
        <f t="shared" si="715"/>
        <v>070417</v>
      </c>
      <c r="C2695" t="s">
        <v>1472</v>
      </c>
      <c r="D2695" t="s">
        <v>3839</v>
      </c>
      <c r="E2695" t="s">
        <v>3840</v>
      </c>
      <c r="F2695" t="s">
        <v>3841</v>
      </c>
      <c r="G2695" t="s">
        <v>3842</v>
      </c>
      <c r="H2695" t="str">
        <f t="shared" si="709"/>
        <v>048314</v>
      </c>
      <c r="I2695" t="s">
        <v>833</v>
      </c>
      <c r="J2695" t="str">
        <f t="shared" si="716"/>
        <v>2015-07-01 00:00:00.0</v>
      </c>
      <c r="K2695" t="s">
        <v>834</v>
      </c>
      <c r="L2695" t="s">
        <v>0</v>
      </c>
      <c r="M2695" t="str">
        <f t="shared" si="714"/>
        <v>048314</v>
      </c>
      <c r="N2695">
        <v>1</v>
      </c>
      <c r="O2695">
        <v>1</v>
      </c>
      <c r="P2695" t="str">
        <f>"09"</f>
        <v>09</v>
      </c>
      <c r="Q2695" t="str">
        <f>"15"</f>
        <v>15</v>
      </c>
      <c r="R2695" t="str">
        <f>"2"</f>
        <v>2</v>
      </c>
      <c r="S2695" t="s">
        <v>836</v>
      </c>
      <c r="T2695" t="s">
        <v>836</v>
      </c>
      <c r="U2695" t="str">
        <f t="shared" si="711"/>
        <v>2500-12-31 00:00:00.0</v>
      </c>
      <c r="V2695" t="s">
        <v>837</v>
      </c>
      <c r="W2695" t="str">
        <f>"048314-004796-**-**"</f>
        <v>048314-004796-**-**</v>
      </c>
      <c r="X2695" t="s">
        <v>838</v>
      </c>
      <c r="Y2695">
        <v>1254.5</v>
      </c>
      <c r="Z2695">
        <v>1254.5</v>
      </c>
      <c r="AA2695" t="str">
        <f t="shared" si="712"/>
        <v>06/08/2016</v>
      </c>
    </row>
    <row r="2696" spans="1:27" x14ac:dyDescent="0.3">
      <c r="A2696" t="str">
        <f t="shared" si="718"/>
        <v>048314</v>
      </c>
      <c r="B2696" t="str">
        <f t="shared" si="715"/>
        <v>070417</v>
      </c>
      <c r="C2696" t="s">
        <v>2704</v>
      </c>
      <c r="D2696" t="s">
        <v>3839</v>
      </c>
      <c r="E2696" t="s">
        <v>3840</v>
      </c>
      <c r="F2696" t="s">
        <v>3841</v>
      </c>
      <c r="G2696" t="s">
        <v>3842</v>
      </c>
      <c r="H2696" t="str">
        <f t="shared" si="709"/>
        <v>048314</v>
      </c>
      <c r="I2696" t="s">
        <v>833</v>
      </c>
      <c r="J2696" t="str">
        <f t="shared" si="716"/>
        <v>2015-07-01 00:00:00.0</v>
      </c>
      <c r="K2696" t="s">
        <v>834</v>
      </c>
      <c r="L2696" t="s">
        <v>0</v>
      </c>
      <c r="M2696" t="str">
        <f t="shared" si="714"/>
        <v>048314</v>
      </c>
      <c r="N2696">
        <v>1</v>
      </c>
      <c r="O2696">
        <v>1</v>
      </c>
      <c r="P2696" t="str">
        <f>"06"</f>
        <v>06</v>
      </c>
      <c r="Q2696" t="s">
        <v>835</v>
      </c>
      <c r="S2696" t="s">
        <v>836</v>
      </c>
      <c r="T2696" t="s">
        <v>836</v>
      </c>
      <c r="U2696" t="str">
        <f t="shared" si="711"/>
        <v>2500-12-31 00:00:00.0</v>
      </c>
      <c r="V2696" t="s">
        <v>837</v>
      </c>
      <c r="W2696" t="str">
        <f>"048314-070417-**-**"</f>
        <v>048314-070417-**-**</v>
      </c>
      <c r="X2696" t="s">
        <v>838</v>
      </c>
      <c r="Y2696">
        <v>1125</v>
      </c>
      <c r="Z2696">
        <v>1125</v>
      </c>
      <c r="AA2696" t="str">
        <f t="shared" si="712"/>
        <v>06/08/2016</v>
      </c>
    </row>
    <row r="2697" spans="1:27" x14ac:dyDescent="0.3">
      <c r="A2697" t="str">
        <f t="shared" si="718"/>
        <v>048314</v>
      </c>
      <c r="B2697" t="str">
        <f t="shared" si="715"/>
        <v>070417</v>
      </c>
      <c r="C2697" t="s">
        <v>1215</v>
      </c>
      <c r="D2697" t="s">
        <v>3839</v>
      </c>
      <c r="E2697" t="s">
        <v>3840</v>
      </c>
      <c r="F2697" t="s">
        <v>3841</v>
      </c>
      <c r="G2697" t="s">
        <v>3842</v>
      </c>
      <c r="H2697" t="str">
        <f t="shared" si="709"/>
        <v>048314</v>
      </c>
      <c r="I2697" t="s">
        <v>833</v>
      </c>
      <c r="J2697" t="str">
        <f>"2015-08-31 00:00:00.0"</f>
        <v>2015-08-31 00:00:00.0</v>
      </c>
      <c r="K2697" t="s">
        <v>834</v>
      </c>
      <c r="L2697" t="s">
        <v>0</v>
      </c>
      <c r="M2697" t="str">
        <f t="shared" si="714"/>
        <v>048314</v>
      </c>
      <c r="N2697">
        <v>1</v>
      </c>
      <c r="O2697">
        <v>1</v>
      </c>
      <c r="P2697" t="str">
        <f>"09"</f>
        <v>09</v>
      </c>
      <c r="Q2697" t="s">
        <v>835</v>
      </c>
      <c r="S2697" t="s">
        <v>860</v>
      </c>
      <c r="T2697" t="s">
        <v>836</v>
      </c>
      <c r="U2697" t="str">
        <f t="shared" si="711"/>
        <v>2500-12-31 00:00:00.0</v>
      </c>
      <c r="V2697" t="s">
        <v>837</v>
      </c>
      <c r="W2697" t="str">
        <f>"048314-004796-**-**"</f>
        <v>048314-004796-**-**</v>
      </c>
      <c r="X2697" t="s">
        <v>838</v>
      </c>
      <c r="Y2697">
        <v>1254.5</v>
      </c>
      <c r="Z2697">
        <v>1254.5</v>
      </c>
      <c r="AA2697" t="str">
        <f t="shared" si="712"/>
        <v>06/08/2016</v>
      </c>
    </row>
    <row r="2698" spans="1:27" x14ac:dyDescent="0.3">
      <c r="A2698" t="str">
        <f t="shared" si="718"/>
        <v>048314</v>
      </c>
      <c r="B2698" t="str">
        <f t="shared" si="715"/>
        <v>070417</v>
      </c>
      <c r="C2698" t="s">
        <v>2265</v>
      </c>
      <c r="D2698" t="s">
        <v>3839</v>
      </c>
      <c r="E2698" t="s">
        <v>3840</v>
      </c>
      <c r="F2698" t="s">
        <v>3841</v>
      </c>
      <c r="G2698" t="s">
        <v>3842</v>
      </c>
      <c r="H2698" t="str">
        <f t="shared" si="709"/>
        <v>048314</v>
      </c>
      <c r="I2698" t="s">
        <v>833</v>
      </c>
      <c r="J2698" t="str">
        <f t="shared" ref="J2698:J2715" si="719">"2015-07-01 00:00:00.0"</f>
        <v>2015-07-01 00:00:00.0</v>
      </c>
      <c r="K2698" t="s">
        <v>834</v>
      </c>
      <c r="L2698" t="s">
        <v>0</v>
      </c>
      <c r="M2698" t="str">
        <f t="shared" si="714"/>
        <v>048314</v>
      </c>
      <c r="N2698">
        <v>1</v>
      </c>
      <c r="O2698">
        <v>1</v>
      </c>
      <c r="P2698" t="str">
        <f>"08"</f>
        <v>08</v>
      </c>
      <c r="Q2698" t="s">
        <v>835</v>
      </c>
      <c r="S2698" t="s">
        <v>836</v>
      </c>
      <c r="T2698" t="s">
        <v>836</v>
      </c>
      <c r="U2698" t="str">
        <f t="shared" si="711"/>
        <v>2500-12-31 00:00:00.0</v>
      </c>
      <c r="V2698" t="s">
        <v>837</v>
      </c>
      <c r="W2698" t="str">
        <f>"048314-070417-**-**"</f>
        <v>048314-070417-**-**</v>
      </c>
      <c r="X2698" t="s">
        <v>838</v>
      </c>
      <c r="Y2698">
        <v>1125</v>
      </c>
      <c r="Z2698">
        <v>1125</v>
      </c>
      <c r="AA2698" t="str">
        <f t="shared" si="712"/>
        <v>06/08/2016</v>
      </c>
    </row>
    <row r="2699" spans="1:27" x14ac:dyDescent="0.3">
      <c r="A2699" t="str">
        <f t="shared" si="718"/>
        <v>048314</v>
      </c>
      <c r="B2699" t="str">
        <f t="shared" si="715"/>
        <v>070417</v>
      </c>
      <c r="C2699" t="s">
        <v>2591</v>
      </c>
      <c r="D2699" t="s">
        <v>3839</v>
      </c>
      <c r="E2699" t="s">
        <v>3840</v>
      </c>
      <c r="F2699" t="s">
        <v>3841</v>
      </c>
      <c r="G2699" t="s">
        <v>3842</v>
      </c>
      <c r="H2699" t="str">
        <f t="shared" si="709"/>
        <v>048314</v>
      </c>
      <c r="I2699" t="s">
        <v>833</v>
      </c>
      <c r="J2699" t="str">
        <f t="shared" si="719"/>
        <v>2015-07-01 00:00:00.0</v>
      </c>
      <c r="K2699" t="s">
        <v>834</v>
      </c>
      <c r="L2699" t="s">
        <v>0</v>
      </c>
      <c r="M2699" t="str">
        <f t="shared" si="714"/>
        <v>048314</v>
      </c>
      <c r="N2699">
        <v>1</v>
      </c>
      <c r="O2699">
        <v>1</v>
      </c>
      <c r="P2699" t="str">
        <f>"06"</f>
        <v>06</v>
      </c>
      <c r="Q2699" t="s">
        <v>835</v>
      </c>
      <c r="S2699" t="s">
        <v>836</v>
      </c>
      <c r="T2699" t="s">
        <v>836</v>
      </c>
      <c r="U2699" t="str">
        <f t="shared" si="711"/>
        <v>2500-12-31 00:00:00.0</v>
      </c>
      <c r="V2699" t="s">
        <v>837</v>
      </c>
      <c r="W2699" t="str">
        <f>"048314-070417-**-**"</f>
        <v>048314-070417-**-**</v>
      </c>
      <c r="X2699" t="s">
        <v>838</v>
      </c>
      <c r="Y2699">
        <v>1125</v>
      </c>
      <c r="Z2699">
        <v>1125</v>
      </c>
      <c r="AA2699" t="str">
        <f t="shared" si="712"/>
        <v>06/08/2016</v>
      </c>
    </row>
    <row r="2700" spans="1:27" x14ac:dyDescent="0.3">
      <c r="A2700" t="str">
        <f t="shared" si="718"/>
        <v>048314</v>
      </c>
      <c r="B2700" t="str">
        <f t="shared" si="715"/>
        <v>070417</v>
      </c>
      <c r="C2700" t="s">
        <v>2705</v>
      </c>
      <c r="D2700" t="s">
        <v>3839</v>
      </c>
      <c r="E2700" t="s">
        <v>3840</v>
      </c>
      <c r="F2700" t="s">
        <v>3841</v>
      </c>
      <c r="G2700" t="s">
        <v>3842</v>
      </c>
      <c r="H2700" t="str">
        <f t="shared" si="709"/>
        <v>048314</v>
      </c>
      <c r="I2700" t="s">
        <v>833</v>
      </c>
      <c r="J2700" t="str">
        <f t="shared" si="719"/>
        <v>2015-07-01 00:00:00.0</v>
      </c>
      <c r="K2700" t="s">
        <v>834</v>
      </c>
      <c r="L2700" t="s">
        <v>0</v>
      </c>
      <c r="M2700" t="str">
        <f t="shared" si="714"/>
        <v>048314</v>
      </c>
      <c r="N2700">
        <v>1</v>
      </c>
      <c r="O2700">
        <v>1</v>
      </c>
      <c r="P2700" t="str">
        <f>"06"</f>
        <v>06</v>
      </c>
      <c r="Q2700" t="s">
        <v>835</v>
      </c>
      <c r="S2700" t="s">
        <v>836</v>
      </c>
      <c r="T2700" t="s">
        <v>836</v>
      </c>
      <c r="U2700" t="str">
        <f t="shared" si="711"/>
        <v>2500-12-31 00:00:00.0</v>
      </c>
      <c r="V2700" t="s">
        <v>837</v>
      </c>
      <c r="W2700" t="str">
        <f>"048314-070417-**-**"</f>
        <v>048314-070417-**-**</v>
      </c>
      <c r="X2700" t="s">
        <v>838</v>
      </c>
      <c r="Y2700">
        <v>1125</v>
      </c>
      <c r="Z2700">
        <v>1125</v>
      </c>
      <c r="AA2700" t="str">
        <f t="shared" si="712"/>
        <v>06/08/2016</v>
      </c>
    </row>
    <row r="2701" spans="1:27" x14ac:dyDescent="0.3">
      <c r="A2701" t="str">
        <f t="shared" si="718"/>
        <v>048314</v>
      </c>
      <c r="B2701" t="str">
        <f t="shared" si="715"/>
        <v>070417</v>
      </c>
      <c r="C2701" t="s">
        <v>1885</v>
      </c>
      <c r="D2701" t="s">
        <v>3839</v>
      </c>
      <c r="E2701" t="s">
        <v>3840</v>
      </c>
      <c r="F2701" t="s">
        <v>3841</v>
      </c>
      <c r="G2701" t="s">
        <v>3842</v>
      </c>
      <c r="H2701" t="str">
        <f t="shared" si="709"/>
        <v>048314</v>
      </c>
      <c r="I2701" t="s">
        <v>833</v>
      </c>
      <c r="J2701" t="str">
        <f t="shared" si="719"/>
        <v>2015-07-01 00:00:00.0</v>
      </c>
      <c r="K2701" t="s">
        <v>834</v>
      </c>
      <c r="L2701" t="s">
        <v>0</v>
      </c>
      <c r="M2701" t="str">
        <f t="shared" si="714"/>
        <v>048314</v>
      </c>
      <c r="N2701">
        <v>1</v>
      </c>
      <c r="O2701">
        <v>1</v>
      </c>
      <c r="P2701" t="str">
        <f>"09"</f>
        <v>09</v>
      </c>
      <c r="Q2701" t="s">
        <v>835</v>
      </c>
      <c r="S2701" t="s">
        <v>836</v>
      </c>
      <c r="T2701" t="s">
        <v>836</v>
      </c>
      <c r="U2701" t="str">
        <f t="shared" si="711"/>
        <v>2500-12-31 00:00:00.0</v>
      </c>
      <c r="V2701" t="s">
        <v>837</v>
      </c>
      <c r="W2701" t="str">
        <f>"048314-004796-**-**"</f>
        <v>048314-004796-**-**</v>
      </c>
      <c r="X2701" t="s">
        <v>838</v>
      </c>
      <c r="Y2701">
        <v>1254.5</v>
      </c>
      <c r="Z2701">
        <v>1254.5</v>
      </c>
      <c r="AA2701" t="str">
        <f t="shared" si="712"/>
        <v>06/08/2016</v>
      </c>
    </row>
    <row r="2702" spans="1:27" x14ac:dyDescent="0.3">
      <c r="A2702" t="str">
        <f t="shared" si="718"/>
        <v>048314</v>
      </c>
      <c r="B2702" t="str">
        <f t="shared" si="715"/>
        <v>070417</v>
      </c>
      <c r="C2702" t="s">
        <v>1886</v>
      </c>
      <c r="D2702" t="s">
        <v>3839</v>
      </c>
      <c r="E2702" t="s">
        <v>3840</v>
      </c>
      <c r="F2702" t="s">
        <v>3841</v>
      </c>
      <c r="G2702" t="s">
        <v>3842</v>
      </c>
      <c r="H2702" t="str">
        <f t="shared" si="709"/>
        <v>048314</v>
      </c>
      <c r="I2702" t="s">
        <v>833</v>
      </c>
      <c r="J2702" t="str">
        <f t="shared" si="719"/>
        <v>2015-07-01 00:00:00.0</v>
      </c>
      <c r="K2702" t="s">
        <v>834</v>
      </c>
      <c r="L2702" t="s">
        <v>0</v>
      </c>
      <c r="M2702" t="str">
        <f t="shared" si="714"/>
        <v>048314</v>
      </c>
      <c r="N2702">
        <v>1</v>
      </c>
      <c r="O2702">
        <v>1</v>
      </c>
      <c r="P2702" t="str">
        <f>"09"</f>
        <v>09</v>
      </c>
      <c r="Q2702" t="s">
        <v>835</v>
      </c>
      <c r="S2702" t="s">
        <v>836</v>
      </c>
      <c r="T2702" t="s">
        <v>836</v>
      </c>
      <c r="U2702" t="str">
        <f t="shared" si="711"/>
        <v>2500-12-31 00:00:00.0</v>
      </c>
      <c r="V2702" t="s">
        <v>837</v>
      </c>
      <c r="W2702" t="str">
        <f>"048314-004796-**-**"</f>
        <v>048314-004796-**-**</v>
      </c>
      <c r="X2702" t="s">
        <v>838</v>
      </c>
      <c r="Y2702">
        <v>1254.5</v>
      </c>
      <c r="Z2702">
        <v>1254.5</v>
      </c>
      <c r="AA2702" t="str">
        <f t="shared" si="712"/>
        <v>06/08/2016</v>
      </c>
    </row>
    <row r="2703" spans="1:27" x14ac:dyDescent="0.3">
      <c r="A2703" t="str">
        <f t="shared" si="718"/>
        <v>048314</v>
      </c>
      <c r="B2703" t="str">
        <f t="shared" si="715"/>
        <v>070417</v>
      </c>
      <c r="C2703" t="s">
        <v>3068</v>
      </c>
      <c r="D2703" t="s">
        <v>3839</v>
      </c>
      <c r="E2703" t="s">
        <v>3840</v>
      </c>
      <c r="F2703" t="s">
        <v>3841</v>
      </c>
      <c r="G2703" t="s">
        <v>3842</v>
      </c>
      <c r="H2703" t="str">
        <f t="shared" si="709"/>
        <v>048314</v>
      </c>
      <c r="I2703" t="s">
        <v>833</v>
      </c>
      <c r="J2703" t="str">
        <f t="shared" si="719"/>
        <v>2015-07-01 00:00:00.0</v>
      </c>
      <c r="K2703" t="s">
        <v>834</v>
      </c>
      <c r="L2703" t="s">
        <v>0</v>
      </c>
      <c r="M2703" t="str">
        <f t="shared" si="714"/>
        <v>048314</v>
      </c>
      <c r="N2703">
        <v>1</v>
      </c>
      <c r="O2703">
        <v>1</v>
      </c>
      <c r="P2703" t="str">
        <f>"08"</f>
        <v>08</v>
      </c>
      <c r="Q2703" t="s">
        <v>835</v>
      </c>
      <c r="S2703" t="s">
        <v>836</v>
      </c>
      <c r="T2703" t="s">
        <v>836</v>
      </c>
      <c r="U2703" t="str">
        <f t="shared" si="711"/>
        <v>2500-12-31 00:00:00.0</v>
      </c>
      <c r="V2703" t="s">
        <v>837</v>
      </c>
      <c r="W2703" t="str">
        <f>"048314-070417-**-**"</f>
        <v>048314-070417-**-**</v>
      </c>
      <c r="X2703" t="s">
        <v>838</v>
      </c>
      <c r="Y2703">
        <v>1125</v>
      </c>
      <c r="Z2703">
        <v>1125</v>
      </c>
      <c r="AA2703" t="str">
        <f t="shared" si="712"/>
        <v>06/08/2016</v>
      </c>
    </row>
    <row r="2704" spans="1:27" x14ac:dyDescent="0.3">
      <c r="A2704" t="str">
        <f t="shared" si="718"/>
        <v>048314</v>
      </c>
      <c r="B2704" t="str">
        <f t="shared" si="715"/>
        <v>070417</v>
      </c>
      <c r="C2704" t="s">
        <v>2447</v>
      </c>
      <c r="D2704" t="s">
        <v>3839</v>
      </c>
      <c r="E2704" t="s">
        <v>3840</v>
      </c>
      <c r="F2704" t="s">
        <v>3841</v>
      </c>
      <c r="G2704" t="s">
        <v>3842</v>
      </c>
      <c r="H2704" t="str">
        <f t="shared" si="709"/>
        <v>048314</v>
      </c>
      <c r="I2704" t="s">
        <v>833</v>
      </c>
      <c r="J2704" t="str">
        <f t="shared" si="719"/>
        <v>2015-07-01 00:00:00.0</v>
      </c>
      <c r="K2704" t="s">
        <v>834</v>
      </c>
      <c r="L2704" t="s">
        <v>0</v>
      </c>
      <c r="M2704" t="str">
        <f t="shared" si="714"/>
        <v>048314</v>
      </c>
      <c r="N2704">
        <v>1</v>
      </c>
      <c r="O2704">
        <v>1</v>
      </c>
      <c r="P2704" t="str">
        <f>"08"</f>
        <v>08</v>
      </c>
      <c r="Q2704" t="s">
        <v>835</v>
      </c>
      <c r="S2704" t="s">
        <v>836</v>
      </c>
      <c r="T2704" t="s">
        <v>836</v>
      </c>
      <c r="U2704" t="str">
        <f t="shared" si="711"/>
        <v>2500-12-31 00:00:00.0</v>
      </c>
      <c r="V2704" t="s">
        <v>837</v>
      </c>
      <c r="W2704" t="str">
        <f>"048314-070417-**-**"</f>
        <v>048314-070417-**-**</v>
      </c>
      <c r="X2704" t="s">
        <v>838</v>
      </c>
      <c r="Y2704">
        <v>1125</v>
      </c>
      <c r="Z2704">
        <v>1125</v>
      </c>
      <c r="AA2704" t="str">
        <f t="shared" si="712"/>
        <v>06/08/2016</v>
      </c>
    </row>
    <row r="2705" spans="1:27" x14ac:dyDescent="0.3">
      <c r="A2705" t="str">
        <f t="shared" si="718"/>
        <v>048314</v>
      </c>
      <c r="B2705" t="str">
        <f t="shared" si="715"/>
        <v>070417</v>
      </c>
      <c r="C2705" t="s">
        <v>1953</v>
      </c>
      <c r="D2705" t="s">
        <v>3839</v>
      </c>
      <c r="E2705" t="s">
        <v>3840</v>
      </c>
      <c r="F2705" t="s">
        <v>3841</v>
      </c>
      <c r="G2705" t="s">
        <v>3842</v>
      </c>
      <c r="H2705" t="str">
        <f t="shared" si="709"/>
        <v>048314</v>
      </c>
      <c r="I2705" t="s">
        <v>833</v>
      </c>
      <c r="J2705" t="str">
        <f t="shared" si="719"/>
        <v>2015-07-01 00:00:00.0</v>
      </c>
      <c r="K2705" t="s">
        <v>834</v>
      </c>
      <c r="L2705" t="s">
        <v>0</v>
      </c>
      <c r="M2705" t="str">
        <f t="shared" si="714"/>
        <v>048314</v>
      </c>
      <c r="N2705">
        <v>1</v>
      </c>
      <c r="O2705">
        <v>1</v>
      </c>
      <c r="P2705" t="str">
        <f>"09"</f>
        <v>09</v>
      </c>
      <c r="Q2705" t="s">
        <v>835</v>
      </c>
      <c r="S2705" t="s">
        <v>836</v>
      </c>
      <c r="T2705" t="s">
        <v>836</v>
      </c>
      <c r="U2705" t="str">
        <f t="shared" si="711"/>
        <v>2500-12-31 00:00:00.0</v>
      </c>
      <c r="V2705" t="s">
        <v>837</v>
      </c>
      <c r="W2705" t="str">
        <f>"048314-004796-**-**"</f>
        <v>048314-004796-**-**</v>
      </c>
      <c r="X2705" t="s">
        <v>838</v>
      </c>
      <c r="Y2705">
        <v>1254.5</v>
      </c>
      <c r="Z2705">
        <v>1254.5</v>
      </c>
      <c r="AA2705" t="str">
        <f t="shared" si="712"/>
        <v>06/08/2016</v>
      </c>
    </row>
    <row r="2706" spans="1:27" x14ac:dyDescent="0.3">
      <c r="A2706" t="str">
        <f t="shared" si="718"/>
        <v>048314</v>
      </c>
      <c r="B2706" t="str">
        <f t="shared" si="715"/>
        <v>070417</v>
      </c>
      <c r="C2706" t="s">
        <v>3381</v>
      </c>
      <c r="D2706" t="s">
        <v>3839</v>
      </c>
      <c r="E2706" t="s">
        <v>3840</v>
      </c>
      <c r="F2706" t="s">
        <v>3841</v>
      </c>
      <c r="G2706" t="s">
        <v>3842</v>
      </c>
      <c r="H2706" t="str">
        <f t="shared" si="709"/>
        <v>048314</v>
      </c>
      <c r="I2706" t="s">
        <v>833</v>
      </c>
      <c r="J2706" t="str">
        <f t="shared" si="719"/>
        <v>2015-07-01 00:00:00.0</v>
      </c>
      <c r="K2706" t="s">
        <v>834</v>
      </c>
      <c r="L2706" t="s">
        <v>0</v>
      </c>
      <c r="M2706" t="str">
        <f t="shared" si="714"/>
        <v>048314</v>
      </c>
      <c r="N2706">
        <v>1</v>
      </c>
      <c r="O2706">
        <v>1</v>
      </c>
      <c r="P2706" t="str">
        <f>"09"</f>
        <v>09</v>
      </c>
      <c r="Q2706" t="s">
        <v>835</v>
      </c>
      <c r="S2706" t="s">
        <v>836</v>
      </c>
      <c r="T2706" t="s">
        <v>836</v>
      </c>
      <c r="U2706" t="str">
        <f t="shared" si="711"/>
        <v>2500-12-31 00:00:00.0</v>
      </c>
      <c r="V2706" t="s">
        <v>837</v>
      </c>
      <c r="W2706" t="str">
        <f>"048314-004796-**-**"</f>
        <v>048314-004796-**-**</v>
      </c>
      <c r="X2706" t="s">
        <v>838</v>
      </c>
      <c r="Y2706">
        <v>1254.5</v>
      </c>
      <c r="Z2706">
        <v>1254.5</v>
      </c>
      <c r="AA2706" t="str">
        <f t="shared" si="712"/>
        <v>06/08/2016</v>
      </c>
    </row>
    <row r="2707" spans="1:27" x14ac:dyDescent="0.3">
      <c r="A2707" t="str">
        <f t="shared" si="718"/>
        <v>048314</v>
      </c>
      <c r="B2707" t="str">
        <f t="shared" si="715"/>
        <v>070417</v>
      </c>
      <c r="C2707" t="s">
        <v>2255</v>
      </c>
      <c r="D2707" t="s">
        <v>3839</v>
      </c>
      <c r="E2707" t="s">
        <v>3840</v>
      </c>
      <c r="F2707" t="s">
        <v>3841</v>
      </c>
      <c r="G2707" t="s">
        <v>3842</v>
      </c>
      <c r="H2707" t="str">
        <f t="shared" si="709"/>
        <v>048314</v>
      </c>
      <c r="I2707" t="s">
        <v>833</v>
      </c>
      <c r="J2707" t="str">
        <f t="shared" si="719"/>
        <v>2015-07-01 00:00:00.0</v>
      </c>
      <c r="K2707" t="s">
        <v>834</v>
      </c>
      <c r="L2707" t="s">
        <v>0</v>
      </c>
      <c r="M2707" t="str">
        <f>"043497"</f>
        <v>043497</v>
      </c>
      <c r="N2707">
        <v>1</v>
      </c>
      <c r="O2707">
        <v>1</v>
      </c>
      <c r="P2707" t="str">
        <f>"08"</f>
        <v>08</v>
      </c>
      <c r="Q2707" t="s">
        <v>835</v>
      </c>
      <c r="S2707" t="s">
        <v>860</v>
      </c>
      <c r="T2707" t="s">
        <v>836</v>
      </c>
      <c r="U2707" t="str">
        <f t="shared" si="711"/>
        <v>2500-12-31 00:00:00.0</v>
      </c>
      <c r="V2707" t="s">
        <v>837</v>
      </c>
      <c r="W2707" t="str">
        <f>"048314-070417-**-**"</f>
        <v>048314-070417-**-**</v>
      </c>
      <c r="X2707" t="s">
        <v>838</v>
      </c>
      <c r="Y2707">
        <v>1125</v>
      </c>
      <c r="Z2707">
        <v>1125</v>
      </c>
      <c r="AA2707" t="str">
        <f t="shared" si="712"/>
        <v>06/08/2016</v>
      </c>
    </row>
    <row r="2708" spans="1:27" x14ac:dyDescent="0.3">
      <c r="A2708" t="str">
        <f t="shared" si="718"/>
        <v>048314</v>
      </c>
      <c r="B2708" t="str">
        <f t="shared" si="715"/>
        <v>070417</v>
      </c>
      <c r="C2708" t="s">
        <v>2764</v>
      </c>
      <c r="D2708" t="s">
        <v>3839</v>
      </c>
      <c r="E2708" t="s">
        <v>3840</v>
      </c>
      <c r="F2708" t="s">
        <v>3841</v>
      </c>
      <c r="G2708" t="s">
        <v>3842</v>
      </c>
      <c r="H2708" t="str">
        <f t="shared" si="709"/>
        <v>048314</v>
      </c>
      <c r="I2708" t="s">
        <v>833</v>
      </c>
      <c r="J2708" t="str">
        <f t="shared" si="719"/>
        <v>2015-07-01 00:00:00.0</v>
      </c>
      <c r="K2708" t="s">
        <v>834</v>
      </c>
      <c r="L2708" t="s">
        <v>0</v>
      </c>
      <c r="M2708" t="str">
        <f>"043497"</f>
        <v>043497</v>
      </c>
      <c r="N2708">
        <v>1</v>
      </c>
      <c r="O2708">
        <v>1</v>
      </c>
      <c r="P2708" t="str">
        <f>"06"</f>
        <v>06</v>
      </c>
      <c r="Q2708" t="s">
        <v>835</v>
      </c>
      <c r="S2708" t="s">
        <v>860</v>
      </c>
      <c r="T2708" t="s">
        <v>836</v>
      </c>
      <c r="U2708" t="str">
        <f t="shared" si="711"/>
        <v>2500-12-31 00:00:00.0</v>
      </c>
      <c r="V2708" t="s">
        <v>837</v>
      </c>
      <c r="W2708" t="str">
        <f>"048314-070417-**-**"</f>
        <v>048314-070417-**-**</v>
      </c>
      <c r="X2708" t="s">
        <v>838</v>
      </c>
      <c r="Y2708">
        <v>1125</v>
      </c>
      <c r="Z2708">
        <v>1125</v>
      </c>
      <c r="AA2708" t="str">
        <f t="shared" si="712"/>
        <v>06/08/2016</v>
      </c>
    </row>
    <row r="2709" spans="1:27" x14ac:dyDescent="0.3">
      <c r="A2709" t="str">
        <f t="shared" si="718"/>
        <v>048314</v>
      </c>
      <c r="B2709" t="str">
        <f t="shared" si="715"/>
        <v>070417</v>
      </c>
      <c r="C2709" t="s">
        <v>3380</v>
      </c>
      <c r="D2709" t="s">
        <v>3839</v>
      </c>
      <c r="E2709" t="s">
        <v>3840</v>
      </c>
      <c r="F2709" t="s">
        <v>3841</v>
      </c>
      <c r="G2709" t="s">
        <v>3842</v>
      </c>
      <c r="H2709" t="str">
        <f t="shared" si="709"/>
        <v>048314</v>
      </c>
      <c r="I2709" t="s">
        <v>833</v>
      </c>
      <c r="J2709" t="str">
        <f t="shared" si="719"/>
        <v>2015-07-01 00:00:00.0</v>
      </c>
      <c r="K2709" t="s">
        <v>834</v>
      </c>
      <c r="L2709" t="s">
        <v>0</v>
      </c>
      <c r="M2709" t="str">
        <f>"048314"</f>
        <v>048314</v>
      </c>
      <c r="N2709">
        <v>1</v>
      </c>
      <c r="O2709">
        <v>1</v>
      </c>
      <c r="P2709" t="str">
        <f>"08"</f>
        <v>08</v>
      </c>
      <c r="Q2709" t="s">
        <v>835</v>
      </c>
      <c r="S2709" t="s">
        <v>836</v>
      </c>
      <c r="T2709" t="s">
        <v>836</v>
      </c>
      <c r="U2709" t="str">
        <f t="shared" si="711"/>
        <v>2500-12-31 00:00:00.0</v>
      </c>
      <c r="V2709" t="s">
        <v>837</v>
      </c>
      <c r="W2709" t="str">
        <f>"048314-070417-**-**"</f>
        <v>048314-070417-**-**</v>
      </c>
      <c r="X2709" t="s">
        <v>838</v>
      </c>
      <c r="Y2709">
        <v>1125</v>
      </c>
      <c r="Z2709">
        <v>1125</v>
      </c>
      <c r="AA2709" t="str">
        <f t="shared" si="712"/>
        <v>06/08/2016</v>
      </c>
    </row>
    <row r="2710" spans="1:27" x14ac:dyDescent="0.3">
      <c r="A2710" t="str">
        <f t="shared" si="718"/>
        <v>048314</v>
      </c>
      <c r="B2710" t="str">
        <f t="shared" si="715"/>
        <v>070417</v>
      </c>
      <c r="C2710" t="s">
        <v>2765</v>
      </c>
      <c r="D2710" t="s">
        <v>3839</v>
      </c>
      <c r="E2710" t="s">
        <v>3840</v>
      </c>
      <c r="F2710" t="s">
        <v>3841</v>
      </c>
      <c r="G2710" t="s">
        <v>3842</v>
      </c>
      <c r="H2710" t="str">
        <f t="shared" ref="H2710:H2742" si="720">"048314"</f>
        <v>048314</v>
      </c>
      <c r="I2710" t="s">
        <v>833</v>
      </c>
      <c r="J2710" t="str">
        <f t="shared" si="719"/>
        <v>2015-07-01 00:00:00.0</v>
      </c>
      <c r="K2710" t="s">
        <v>834</v>
      </c>
      <c r="L2710" t="s">
        <v>0</v>
      </c>
      <c r="M2710" t="str">
        <f>"043497"</f>
        <v>043497</v>
      </c>
      <c r="N2710">
        <v>1</v>
      </c>
      <c r="O2710">
        <v>1</v>
      </c>
      <c r="P2710" t="str">
        <f>"06"</f>
        <v>06</v>
      </c>
      <c r="Q2710" t="s">
        <v>835</v>
      </c>
      <c r="S2710" t="s">
        <v>860</v>
      </c>
      <c r="T2710" t="s">
        <v>836</v>
      </c>
      <c r="U2710" t="str">
        <f t="shared" ref="U2710:U2721" si="721">"2500-12-31 00:00:00.0"</f>
        <v>2500-12-31 00:00:00.0</v>
      </c>
      <c r="V2710" t="s">
        <v>837</v>
      </c>
      <c r="W2710" t="str">
        <f>"048314-070417-**-**"</f>
        <v>048314-070417-**-**</v>
      </c>
      <c r="X2710" t="s">
        <v>838</v>
      </c>
      <c r="Y2710">
        <v>1125</v>
      </c>
      <c r="Z2710">
        <v>1125</v>
      </c>
      <c r="AA2710" t="str">
        <f t="shared" ref="AA2710:AA2720" si="722">"06/08/2016"</f>
        <v>06/08/2016</v>
      </c>
    </row>
    <row r="2711" spans="1:27" x14ac:dyDescent="0.3">
      <c r="A2711" t="str">
        <f t="shared" si="718"/>
        <v>048314</v>
      </c>
      <c r="B2711" t="str">
        <f t="shared" si="715"/>
        <v>070417</v>
      </c>
      <c r="C2711" t="s">
        <v>2448</v>
      </c>
      <c r="D2711" t="s">
        <v>3839</v>
      </c>
      <c r="E2711" t="s">
        <v>3840</v>
      </c>
      <c r="F2711" t="s">
        <v>3841</v>
      </c>
      <c r="G2711" t="s">
        <v>3842</v>
      </c>
      <c r="H2711" t="str">
        <f>"048397"</f>
        <v>048397</v>
      </c>
      <c r="I2711" t="s">
        <v>833</v>
      </c>
      <c r="J2711" t="str">
        <f t="shared" si="719"/>
        <v>2015-07-01 00:00:00.0</v>
      </c>
      <c r="K2711" t="s">
        <v>834</v>
      </c>
      <c r="L2711" t="s">
        <v>1</v>
      </c>
      <c r="M2711" t="str">
        <f t="shared" ref="M2711:M2774" si="723">"048314"</f>
        <v>048314</v>
      </c>
      <c r="N2711">
        <v>1</v>
      </c>
      <c r="O2711">
        <v>1</v>
      </c>
      <c r="P2711" t="str">
        <f>"07"</f>
        <v>07</v>
      </c>
      <c r="Q2711" t="s">
        <v>835</v>
      </c>
      <c r="S2711" t="s">
        <v>836</v>
      </c>
      <c r="T2711" t="s">
        <v>836</v>
      </c>
      <c r="U2711" t="str">
        <f t="shared" si="721"/>
        <v>2500-12-31 00:00:00.0</v>
      </c>
      <c r="V2711" t="s">
        <v>837</v>
      </c>
      <c r="W2711" t="str">
        <f>"048397-002444-**-**"</f>
        <v>048397-002444-**-**</v>
      </c>
      <c r="X2711" t="s">
        <v>838</v>
      </c>
      <c r="Y2711">
        <v>1113.0999999999999</v>
      </c>
      <c r="Z2711">
        <v>1113.0999999999999</v>
      </c>
      <c r="AA2711" t="str">
        <f t="shared" si="722"/>
        <v>06/08/2016</v>
      </c>
    </row>
    <row r="2712" spans="1:27" x14ac:dyDescent="0.3">
      <c r="A2712" t="str">
        <f t="shared" si="718"/>
        <v>048314</v>
      </c>
      <c r="B2712" t="str">
        <f t="shared" si="715"/>
        <v>070417</v>
      </c>
      <c r="C2712" t="s">
        <v>2134</v>
      </c>
      <c r="D2712" t="s">
        <v>3839</v>
      </c>
      <c r="E2712" t="s">
        <v>3840</v>
      </c>
      <c r="F2712" t="s">
        <v>3841</v>
      </c>
      <c r="G2712" t="s">
        <v>3842</v>
      </c>
      <c r="H2712" t="str">
        <f t="shared" ref="H2712:H2720" si="724">"048314"</f>
        <v>048314</v>
      </c>
      <c r="I2712" t="s">
        <v>833</v>
      </c>
      <c r="J2712" t="str">
        <f t="shared" si="719"/>
        <v>2015-07-01 00:00:00.0</v>
      </c>
      <c r="K2712" t="s">
        <v>834</v>
      </c>
      <c r="L2712" t="s">
        <v>0</v>
      </c>
      <c r="M2712" t="str">
        <f t="shared" si="723"/>
        <v>048314</v>
      </c>
      <c r="N2712">
        <v>1</v>
      </c>
      <c r="O2712">
        <v>1</v>
      </c>
      <c r="P2712" t="str">
        <f>"08"</f>
        <v>08</v>
      </c>
      <c r="Q2712" t="s">
        <v>835</v>
      </c>
      <c r="S2712" t="s">
        <v>836</v>
      </c>
      <c r="T2712" t="s">
        <v>836</v>
      </c>
      <c r="U2712" t="str">
        <f t="shared" si="721"/>
        <v>2500-12-31 00:00:00.0</v>
      </c>
      <c r="V2712" t="s">
        <v>837</v>
      </c>
      <c r="W2712" t="str">
        <f>"048314-070417-**-**"</f>
        <v>048314-070417-**-**</v>
      </c>
      <c r="X2712" t="s">
        <v>838</v>
      </c>
      <c r="Y2712">
        <v>1125</v>
      </c>
      <c r="Z2712">
        <v>1125</v>
      </c>
      <c r="AA2712" t="str">
        <f t="shared" si="722"/>
        <v>06/08/2016</v>
      </c>
    </row>
    <row r="2713" spans="1:27" x14ac:dyDescent="0.3">
      <c r="A2713" t="str">
        <f t="shared" si="718"/>
        <v>048314</v>
      </c>
      <c r="B2713" t="str">
        <f t="shared" si="715"/>
        <v>070417</v>
      </c>
      <c r="C2713" t="s">
        <v>2135</v>
      </c>
      <c r="D2713" t="s">
        <v>3839</v>
      </c>
      <c r="E2713" t="s">
        <v>3840</v>
      </c>
      <c r="F2713" t="s">
        <v>3841</v>
      </c>
      <c r="G2713" t="s">
        <v>3842</v>
      </c>
      <c r="H2713" t="str">
        <f t="shared" si="724"/>
        <v>048314</v>
      </c>
      <c r="I2713" t="s">
        <v>833</v>
      </c>
      <c r="J2713" t="str">
        <f t="shared" si="719"/>
        <v>2015-07-01 00:00:00.0</v>
      </c>
      <c r="K2713" t="s">
        <v>834</v>
      </c>
      <c r="L2713" t="s">
        <v>0</v>
      </c>
      <c r="M2713" t="str">
        <f t="shared" si="723"/>
        <v>048314</v>
      </c>
      <c r="N2713">
        <v>1</v>
      </c>
      <c r="O2713">
        <v>1</v>
      </c>
      <c r="P2713" t="str">
        <f>"08"</f>
        <v>08</v>
      </c>
      <c r="Q2713" t="s">
        <v>835</v>
      </c>
      <c r="S2713" t="s">
        <v>836</v>
      </c>
      <c r="T2713" t="s">
        <v>836</v>
      </c>
      <c r="U2713" t="str">
        <f t="shared" si="721"/>
        <v>2500-12-31 00:00:00.0</v>
      </c>
      <c r="V2713" t="s">
        <v>837</v>
      </c>
      <c r="W2713" t="str">
        <f>"048314-070417-**-**"</f>
        <v>048314-070417-**-**</v>
      </c>
      <c r="X2713" t="s">
        <v>838</v>
      </c>
      <c r="Y2713">
        <v>1125</v>
      </c>
      <c r="Z2713">
        <v>1125</v>
      </c>
      <c r="AA2713" t="str">
        <f t="shared" si="722"/>
        <v>06/08/2016</v>
      </c>
    </row>
    <row r="2714" spans="1:27" x14ac:dyDescent="0.3">
      <c r="A2714" t="str">
        <f t="shared" si="718"/>
        <v>048314</v>
      </c>
      <c r="B2714" t="str">
        <f t="shared" si="715"/>
        <v>070417</v>
      </c>
      <c r="C2714" t="s">
        <v>2273</v>
      </c>
      <c r="D2714" t="s">
        <v>3839</v>
      </c>
      <c r="E2714" t="s">
        <v>3840</v>
      </c>
      <c r="F2714" t="s">
        <v>3841</v>
      </c>
      <c r="G2714" t="s">
        <v>3842</v>
      </c>
      <c r="H2714" t="str">
        <f t="shared" si="724"/>
        <v>048314</v>
      </c>
      <c r="I2714" t="s">
        <v>833</v>
      </c>
      <c r="J2714" t="str">
        <f t="shared" si="719"/>
        <v>2015-07-01 00:00:00.0</v>
      </c>
      <c r="K2714" t="s">
        <v>834</v>
      </c>
      <c r="L2714" t="s">
        <v>0</v>
      </c>
      <c r="M2714" t="str">
        <f t="shared" si="723"/>
        <v>048314</v>
      </c>
      <c r="N2714">
        <v>1</v>
      </c>
      <c r="O2714">
        <v>1</v>
      </c>
      <c r="P2714" t="str">
        <f>"08"</f>
        <v>08</v>
      </c>
      <c r="Q2714" t="s">
        <v>835</v>
      </c>
      <c r="S2714" t="s">
        <v>836</v>
      </c>
      <c r="T2714" t="s">
        <v>836</v>
      </c>
      <c r="U2714" t="str">
        <f t="shared" si="721"/>
        <v>2500-12-31 00:00:00.0</v>
      </c>
      <c r="V2714" t="s">
        <v>837</v>
      </c>
      <c r="W2714" t="str">
        <f>"048314-070417-**-**"</f>
        <v>048314-070417-**-**</v>
      </c>
      <c r="X2714" t="s">
        <v>838</v>
      </c>
      <c r="Y2714">
        <v>1125</v>
      </c>
      <c r="Z2714">
        <v>1125</v>
      </c>
      <c r="AA2714" t="str">
        <f t="shared" si="722"/>
        <v>06/08/2016</v>
      </c>
    </row>
    <row r="2715" spans="1:27" x14ac:dyDescent="0.3">
      <c r="A2715" t="str">
        <f t="shared" si="718"/>
        <v>048314</v>
      </c>
      <c r="B2715" t="str">
        <f t="shared" si="715"/>
        <v>070417</v>
      </c>
      <c r="C2715" t="s">
        <v>1954</v>
      </c>
      <c r="D2715" t="s">
        <v>3839</v>
      </c>
      <c r="E2715" t="s">
        <v>3840</v>
      </c>
      <c r="F2715" t="s">
        <v>3841</v>
      </c>
      <c r="G2715" t="s">
        <v>3842</v>
      </c>
      <c r="H2715" t="str">
        <f t="shared" si="724"/>
        <v>048314</v>
      </c>
      <c r="I2715" t="s">
        <v>833</v>
      </c>
      <c r="J2715" t="str">
        <f t="shared" si="719"/>
        <v>2015-07-01 00:00:00.0</v>
      </c>
      <c r="K2715" t="s">
        <v>834</v>
      </c>
      <c r="L2715" t="s">
        <v>0</v>
      </c>
      <c r="M2715" t="str">
        <f t="shared" si="723"/>
        <v>048314</v>
      </c>
      <c r="N2715">
        <v>1</v>
      </c>
      <c r="O2715">
        <v>1</v>
      </c>
      <c r="P2715" t="str">
        <f>"09"</f>
        <v>09</v>
      </c>
      <c r="Q2715" t="s">
        <v>835</v>
      </c>
      <c r="S2715" t="s">
        <v>836</v>
      </c>
      <c r="T2715" t="s">
        <v>836</v>
      </c>
      <c r="U2715" t="str">
        <f t="shared" si="721"/>
        <v>2500-12-31 00:00:00.0</v>
      </c>
      <c r="V2715" t="s">
        <v>837</v>
      </c>
      <c r="W2715" t="str">
        <f>"048314-004796-**-**"</f>
        <v>048314-004796-**-**</v>
      </c>
      <c r="X2715" t="s">
        <v>838</v>
      </c>
      <c r="Y2715">
        <v>1254.5</v>
      </c>
      <c r="Z2715">
        <v>1254.5</v>
      </c>
      <c r="AA2715" t="str">
        <f t="shared" si="722"/>
        <v>06/08/2016</v>
      </c>
    </row>
    <row r="2716" spans="1:27" x14ac:dyDescent="0.3">
      <c r="A2716" t="str">
        <f t="shared" si="718"/>
        <v>048314</v>
      </c>
      <c r="B2716" t="str">
        <f t="shared" si="715"/>
        <v>070417</v>
      </c>
      <c r="C2716" t="s">
        <v>2449</v>
      </c>
      <c r="D2716" t="s">
        <v>3839</v>
      </c>
      <c r="E2716" t="s">
        <v>3840</v>
      </c>
      <c r="F2716" t="s">
        <v>3841</v>
      </c>
      <c r="G2716" t="s">
        <v>3842</v>
      </c>
      <c r="H2716" t="str">
        <f t="shared" si="724"/>
        <v>048314</v>
      </c>
      <c r="I2716" t="s">
        <v>833</v>
      </c>
      <c r="J2716" t="str">
        <f>"2015-08-01 00:00:00.0"</f>
        <v>2015-08-01 00:00:00.0</v>
      </c>
      <c r="K2716" t="s">
        <v>834</v>
      </c>
      <c r="L2716" t="s">
        <v>0</v>
      </c>
      <c r="M2716" t="str">
        <f t="shared" si="723"/>
        <v>048314</v>
      </c>
      <c r="N2716">
        <v>1</v>
      </c>
      <c r="O2716">
        <v>1</v>
      </c>
      <c r="P2716" t="str">
        <f>"08"</f>
        <v>08</v>
      </c>
      <c r="Q2716" t="s">
        <v>835</v>
      </c>
      <c r="S2716" t="s">
        <v>836</v>
      </c>
      <c r="T2716" t="s">
        <v>836</v>
      </c>
      <c r="U2716" t="str">
        <f t="shared" si="721"/>
        <v>2500-12-31 00:00:00.0</v>
      </c>
      <c r="V2716" t="s">
        <v>837</v>
      </c>
      <c r="W2716" t="str">
        <f>"048314-070417-**-**"</f>
        <v>048314-070417-**-**</v>
      </c>
      <c r="X2716" t="s">
        <v>838</v>
      </c>
      <c r="Y2716">
        <v>1125</v>
      </c>
      <c r="Z2716">
        <v>1125</v>
      </c>
      <c r="AA2716" t="str">
        <f t="shared" si="722"/>
        <v>06/08/2016</v>
      </c>
    </row>
    <row r="2717" spans="1:27" x14ac:dyDescent="0.3">
      <c r="A2717" t="str">
        <f t="shared" si="718"/>
        <v>048314</v>
      </c>
      <c r="B2717" t="str">
        <f t="shared" si="715"/>
        <v>070417</v>
      </c>
      <c r="C2717" t="s">
        <v>2369</v>
      </c>
      <c r="D2717" t="s">
        <v>3839</v>
      </c>
      <c r="E2717" t="s">
        <v>3840</v>
      </c>
      <c r="F2717" t="s">
        <v>3841</v>
      </c>
      <c r="G2717" t="s">
        <v>3842</v>
      </c>
      <c r="H2717" t="str">
        <f t="shared" si="724"/>
        <v>048314</v>
      </c>
      <c r="I2717" t="s">
        <v>833</v>
      </c>
      <c r="J2717" t="str">
        <f t="shared" ref="J2717:J2722" si="725">"2015-07-01 00:00:00.0"</f>
        <v>2015-07-01 00:00:00.0</v>
      </c>
      <c r="K2717" t="s">
        <v>834</v>
      </c>
      <c r="L2717" t="s">
        <v>0</v>
      </c>
      <c r="M2717" t="str">
        <f t="shared" si="723"/>
        <v>048314</v>
      </c>
      <c r="N2717">
        <v>1</v>
      </c>
      <c r="O2717">
        <v>1</v>
      </c>
      <c r="P2717" t="str">
        <f>"07"</f>
        <v>07</v>
      </c>
      <c r="Q2717" t="s">
        <v>835</v>
      </c>
      <c r="S2717" t="s">
        <v>836</v>
      </c>
      <c r="T2717" t="s">
        <v>836</v>
      </c>
      <c r="U2717" t="str">
        <f t="shared" si="721"/>
        <v>2500-12-31 00:00:00.0</v>
      </c>
      <c r="V2717" t="s">
        <v>837</v>
      </c>
      <c r="W2717" t="str">
        <f>"048314-070417-**-**"</f>
        <v>048314-070417-**-**</v>
      </c>
      <c r="X2717" t="s">
        <v>838</v>
      </c>
      <c r="Y2717">
        <v>1125</v>
      </c>
      <c r="Z2717">
        <v>1125</v>
      </c>
      <c r="AA2717" t="str">
        <f t="shared" si="722"/>
        <v>06/08/2016</v>
      </c>
    </row>
    <row r="2718" spans="1:27" x14ac:dyDescent="0.3">
      <c r="A2718" t="str">
        <f t="shared" si="718"/>
        <v>048314</v>
      </c>
      <c r="B2718" t="str">
        <f t="shared" si="715"/>
        <v>070417</v>
      </c>
      <c r="C2718" t="s">
        <v>2706</v>
      </c>
      <c r="D2718" t="s">
        <v>3839</v>
      </c>
      <c r="E2718" t="s">
        <v>3840</v>
      </c>
      <c r="F2718" t="s">
        <v>3841</v>
      </c>
      <c r="G2718" t="s">
        <v>3842</v>
      </c>
      <c r="H2718" t="str">
        <f t="shared" si="724"/>
        <v>048314</v>
      </c>
      <c r="I2718" t="s">
        <v>833</v>
      </c>
      <c r="J2718" t="str">
        <f t="shared" si="725"/>
        <v>2015-07-01 00:00:00.0</v>
      </c>
      <c r="K2718" t="s">
        <v>834</v>
      </c>
      <c r="L2718" t="s">
        <v>0</v>
      </c>
      <c r="M2718" t="str">
        <f t="shared" si="723"/>
        <v>048314</v>
      </c>
      <c r="N2718">
        <v>1</v>
      </c>
      <c r="O2718">
        <v>1</v>
      </c>
      <c r="P2718" t="str">
        <f>"06"</f>
        <v>06</v>
      </c>
      <c r="Q2718" t="s">
        <v>835</v>
      </c>
      <c r="S2718" t="s">
        <v>836</v>
      </c>
      <c r="T2718" t="s">
        <v>836</v>
      </c>
      <c r="U2718" t="str">
        <f t="shared" si="721"/>
        <v>2500-12-31 00:00:00.0</v>
      </c>
      <c r="V2718" t="s">
        <v>837</v>
      </c>
      <c r="W2718" t="str">
        <f>"048314-070417-**-**"</f>
        <v>048314-070417-**-**</v>
      </c>
      <c r="X2718" t="s">
        <v>838</v>
      </c>
      <c r="Y2718">
        <v>1125</v>
      </c>
      <c r="Z2718">
        <v>1125</v>
      </c>
      <c r="AA2718" t="str">
        <f t="shared" si="722"/>
        <v>06/08/2016</v>
      </c>
    </row>
    <row r="2719" spans="1:27" x14ac:dyDescent="0.3">
      <c r="A2719" t="str">
        <f t="shared" si="718"/>
        <v>048314</v>
      </c>
      <c r="B2719" t="str">
        <f t="shared" si="715"/>
        <v>070417</v>
      </c>
      <c r="C2719" t="s">
        <v>2136</v>
      </c>
      <c r="D2719" t="s">
        <v>3839</v>
      </c>
      <c r="E2719" t="s">
        <v>3840</v>
      </c>
      <c r="F2719" t="s">
        <v>3841</v>
      </c>
      <c r="G2719" t="s">
        <v>3842</v>
      </c>
      <c r="H2719" t="str">
        <f t="shared" si="724"/>
        <v>048314</v>
      </c>
      <c r="I2719" t="s">
        <v>833</v>
      </c>
      <c r="J2719" t="str">
        <f t="shared" si="725"/>
        <v>2015-07-01 00:00:00.0</v>
      </c>
      <c r="K2719" t="s">
        <v>834</v>
      </c>
      <c r="L2719" t="s">
        <v>0</v>
      </c>
      <c r="M2719" t="str">
        <f t="shared" si="723"/>
        <v>048314</v>
      </c>
      <c r="N2719">
        <v>1</v>
      </c>
      <c r="O2719">
        <v>1</v>
      </c>
      <c r="P2719" t="str">
        <f>"08"</f>
        <v>08</v>
      </c>
      <c r="Q2719" t="s">
        <v>835</v>
      </c>
      <c r="S2719" t="s">
        <v>836</v>
      </c>
      <c r="T2719" t="s">
        <v>836</v>
      </c>
      <c r="U2719" t="str">
        <f t="shared" si="721"/>
        <v>2500-12-31 00:00:00.0</v>
      </c>
      <c r="V2719" t="s">
        <v>837</v>
      </c>
      <c r="W2719" t="str">
        <f>"048314-070417-**-**"</f>
        <v>048314-070417-**-**</v>
      </c>
      <c r="X2719" t="s">
        <v>838</v>
      </c>
      <c r="Y2719">
        <v>1125</v>
      </c>
      <c r="Z2719">
        <v>1125</v>
      </c>
      <c r="AA2719" t="str">
        <f t="shared" si="722"/>
        <v>06/08/2016</v>
      </c>
    </row>
    <row r="2720" spans="1:27" x14ac:dyDescent="0.3">
      <c r="A2720" t="str">
        <f t="shared" si="718"/>
        <v>048314</v>
      </c>
      <c r="B2720" t="str">
        <f t="shared" si="715"/>
        <v>070417</v>
      </c>
      <c r="C2720" t="s">
        <v>3147</v>
      </c>
      <c r="D2720" t="s">
        <v>3839</v>
      </c>
      <c r="E2720" t="s">
        <v>3840</v>
      </c>
      <c r="F2720" t="s">
        <v>3841</v>
      </c>
      <c r="G2720" t="s">
        <v>3842</v>
      </c>
      <c r="H2720" t="str">
        <f t="shared" si="724"/>
        <v>048314</v>
      </c>
      <c r="I2720" t="s">
        <v>833</v>
      </c>
      <c r="J2720" t="str">
        <f t="shared" si="725"/>
        <v>2015-07-01 00:00:00.0</v>
      </c>
      <c r="K2720" t="s">
        <v>834</v>
      </c>
      <c r="L2720" t="s">
        <v>0</v>
      </c>
      <c r="M2720" t="str">
        <f t="shared" si="723"/>
        <v>048314</v>
      </c>
      <c r="N2720">
        <v>1</v>
      </c>
      <c r="O2720">
        <v>1</v>
      </c>
      <c r="P2720" t="str">
        <f>"06"</f>
        <v>06</v>
      </c>
      <c r="Q2720" t="s">
        <v>835</v>
      </c>
      <c r="S2720" t="s">
        <v>836</v>
      </c>
      <c r="T2720" t="s">
        <v>836</v>
      </c>
      <c r="U2720" t="str">
        <f t="shared" si="721"/>
        <v>2500-12-31 00:00:00.0</v>
      </c>
      <c r="V2720" t="s">
        <v>837</v>
      </c>
      <c r="W2720" t="str">
        <f>"048314-070417-**-**"</f>
        <v>048314-070417-**-**</v>
      </c>
      <c r="X2720" t="s">
        <v>838</v>
      </c>
      <c r="Y2720">
        <v>1125</v>
      </c>
      <c r="Z2720">
        <v>1125</v>
      </c>
      <c r="AA2720" t="str">
        <f t="shared" si="722"/>
        <v>06/08/2016</v>
      </c>
    </row>
    <row r="2721" spans="1:27" x14ac:dyDescent="0.3">
      <c r="A2721" t="str">
        <f t="shared" si="718"/>
        <v>048314</v>
      </c>
      <c r="B2721" t="str">
        <f t="shared" si="715"/>
        <v>070417</v>
      </c>
      <c r="C2721" t="s">
        <v>1842</v>
      </c>
      <c r="D2721" t="s">
        <v>3839</v>
      </c>
      <c r="E2721" t="s">
        <v>3840</v>
      </c>
      <c r="F2721" t="s">
        <v>3841</v>
      </c>
      <c r="G2721" t="s">
        <v>3842</v>
      </c>
      <c r="H2721" t="str">
        <f>"050187"</f>
        <v>050187</v>
      </c>
      <c r="I2721" t="s">
        <v>833</v>
      </c>
      <c r="J2721" t="str">
        <f t="shared" si="725"/>
        <v>2015-07-01 00:00:00.0</v>
      </c>
      <c r="K2721" t="s">
        <v>834</v>
      </c>
      <c r="L2721" t="s">
        <v>1</v>
      </c>
      <c r="M2721" t="str">
        <f t="shared" si="723"/>
        <v>048314</v>
      </c>
      <c r="N2721">
        <v>1</v>
      </c>
      <c r="O2721">
        <v>1</v>
      </c>
      <c r="P2721" t="str">
        <f>"09"</f>
        <v>09</v>
      </c>
      <c r="Q2721" t="s">
        <v>835</v>
      </c>
      <c r="S2721" t="s">
        <v>836</v>
      </c>
      <c r="T2721" t="s">
        <v>836</v>
      </c>
      <c r="U2721" t="str">
        <f t="shared" si="721"/>
        <v>2500-12-31 00:00:00.0</v>
      </c>
      <c r="V2721" t="s">
        <v>837</v>
      </c>
      <c r="W2721" t="str">
        <f>"050187-019661-09-**"</f>
        <v>050187-019661-09-**</v>
      </c>
      <c r="X2721" t="s">
        <v>838</v>
      </c>
      <c r="Y2721">
        <v>1154.18</v>
      </c>
      <c r="Z2721">
        <v>1154.18</v>
      </c>
      <c r="AA2721" t="str">
        <f>"06/13/2016"</f>
        <v>06/13/2016</v>
      </c>
    </row>
    <row r="2722" spans="1:27" x14ac:dyDescent="0.3">
      <c r="A2722" t="str">
        <f t="shared" si="718"/>
        <v>048314</v>
      </c>
      <c r="B2722" t="str">
        <f t="shared" si="715"/>
        <v>070417</v>
      </c>
      <c r="C2722" t="s">
        <v>2755</v>
      </c>
      <c r="D2722" t="s">
        <v>3839</v>
      </c>
      <c r="E2722" t="s">
        <v>3840</v>
      </c>
      <c r="F2722" t="s">
        <v>3841</v>
      </c>
      <c r="G2722" t="s">
        <v>3842</v>
      </c>
      <c r="H2722" t="str">
        <f t="shared" ref="H2722:H2755" si="726">"048314"</f>
        <v>048314</v>
      </c>
      <c r="I2722" t="s">
        <v>833</v>
      </c>
      <c r="J2722" t="str">
        <f t="shared" si="725"/>
        <v>2015-07-01 00:00:00.0</v>
      </c>
      <c r="K2722" t="s">
        <v>834</v>
      </c>
      <c r="L2722" t="s">
        <v>0</v>
      </c>
      <c r="M2722" t="str">
        <f t="shared" si="723"/>
        <v>048314</v>
      </c>
      <c r="N2722">
        <v>0.26666699999999999</v>
      </c>
      <c r="O2722">
        <v>0.26666699999999999</v>
      </c>
      <c r="P2722" t="str">
        <f>"06"</f>
        <v>06</v>
      </c>
      <c r="Q2722" t="s">
        <v>835</v>
      </c>
      <c r="S2722" t="s">
        <v>836</v>
      </c>
      <c r="T2722" t="s">
        <v>836</v>
      </c>
      <c r="U2722" t="str">
        <f>"2015-11-05 00:00:00.0"</f>
        <v>2015-11-05 00:00:00.0</v>
      </c>
      <c r="V2722" t="s">
        <v>837</v>
      </c>
      <c r="W2722" t="str">
        <f t="shared" ref="W2722:W2727" si="727">"048314-070417-**-**"</f>
        <v>048314-070417-**-**</v>
      </c>
      <c r="X2722" t="s">
        <v>838</v>
      </c>
      <c r="Y2722">
        <v>300</v>
      </c>
      <c r="Z2722">
        <v>1125</v>
      </c>
      <c r="AA2722" t="str">
        <f t="shared" ref="AA2722:AA2755" si="728">"06/08/2016"</f>
        <v>06/08/2016</v>
      </c>
    </row>
    <row r="2723" spans="1:27" x14ac:dyDescent="0.3">
      <c r="A2723" t="str">
        <f t="shared" si="718"/>
        <v>048314</v>
      </c>
      <c r="B2723" t="str">
        <f t="shared" si="715"/>
        <v>070417</v>
      </c>
      <c r="C2723" t="s">
        <v>2755</v>
      </c>
      <c r="D2723" t="s">
        <v>3839</v>
      </c>
      <c r="E2723" t="s">
        <v>3840</v>
      </c>
      <c r="F2723" t="s">
        <v>3841</v>
      </c>
      <c r="G2723" t="s">
        <v>3842</v>
      </c>
      <c r="H2723" t="str">
        <f t="shared" si="726"/>
        <v>048314</v>
      </c>
      <c r="I2723" t="s">
        <v>833</v>
      </c>
      <c r="J2723" t="str">
        <f>"2015-11-06 00:00:00.0"</f>
        <v>2015-11-06 00:00:00.0</v>
      </c>
      <c r="K2723" t="s">
        <v>834</v>
      </c>
      <c r="L2723" t="s">
        <v>0</v>
      </c>
      <c r="M2723" t="str">
        <f t="shared" si="723"/>
        <v>048314</v>
      </c>
      <c r="N2723">
        <v>0.73333300000000001</v>
      </c>
      <c r="O2723">
        <v>0.73333300000000001</v>
      </c>
      <c r="P2723" t="str">
        <f>"06"</f>
        <v>06</v>
      </c>
      <c r="Q2723" t="s">
        <v>835</v>
      </c>
      <c r="S2723" t="s">
        <v>860</v>
      </c>
      <c r="T2723" t="s">
        <v>836</v>
      </c>
      <c r="U2723" t="str">
        <f>"2500-12-31 00:00:00.0"</f>
        <v>2500-12-31 00:00:00.0</v>
      </c>
      <c r="V2723" t="s">
        <v>837</v>
      </c>
      <c r="W2723" t="str">
        <f t="shared" si="727"/>
        <v>048314-070417-**-**</v>
      </c>
      <c r="X2723" t="s">
        <v>838</v>
      </c>
      <c r="Y2723">
        <v>825</v>
      </c>
      <c r="Z2723">
        <v>1125</v>
      </c>
      <c r="AA2723" t="str">
        <f t="shared" si="728"/>
        <v>06/08/2016</v>
      </c>
    </row>
    <row r="2724" spans="1:27" x14ac:dyDescent="0.3">
      <c r="A2724" t="str">
        <f t="shared" si="718"/>
        <v>048314</v>
      </c>
      <c r="B2724" t="str">
        <f t="shared" ref="B2724:B2787" si="729">"070417"</f>
        <v>070417</v>
      </c>
      <c r="C2724" t="s">
        <v>2491</v>
      </c>
      <c r="D2724" t="s">
        <v>3839</v>
      </c>
      <c r="E2724" t="s">
        <v>3840</v>
      </c>
      <c r="F2724" t="s">
        <v>3841</v>
      </c>
      <c r="G2724" t="s">
        <v>3842</v>
      </c>
      <c r="H2724" t="str">
        <f t="shared" si="726"/>
        <v>048314</v>
      </c>
      <c r="I2724" t="s">
        <v>833</v>
      </c>
      <c r="J2724" t="str">
        <f>"2015-07-01 00:00:00.0"</f>
        <v>2015-07-01 00:00:00.0</v>
      </c>
      <c r="K2724" t="s">
        <v>834</v>
      </c>
      <c r="L2724" t="s">
        <v>0</v>
      </c>
      <c r="M2724" t="str">
        <f t="shared" si="723"/>
        <v>048314</v>
      </c>
      <c r="N2724">
        <v>0.26666699999999999</v>
      </c>
      <c r="O2724">
        <v>0.26666699999999999</v>
      </c>
      <c r="P2724" t="str">
        <f>"07"</f>
        <v>07</v>
      </c>
      <c r="Q2724" t="s">
        <v>835</v>
      </c>
      <c r="S2724" t="s">
        <v>836</v>
      </c>
      <c r="T2724" t="s">
        <v>836</v>
      </c>
      <c r="U2724" t="str">
        <f>"2015-11-05 00:00:00.0"</f>
        <v>2015-11-05 00:00:00.0</v>
      </c>
      <c r="V2724" t="s">
        <v>837</v>
      </c>
      <c r="W2724" t="str">
        <f t="shared" si="727"/>
        <v>048314-070417-**-**</v>
      </c>
      <c r="X2724" t="s">
        <v>838</v>
      </c>
      <c r="Y2724">
        <v>300</v>
      </c>
      <c r="Z2724">
        <v>1125</v>
      </c>
      <c r="AA2724" t="str">
        <f t="shared" si="728"/>
        <v>06/08/2016</v>
      </c>
    </row>
    <row r="2725" spans="1:27" x14ac:dyDescent="0.3">
      <c r="A2725" t="str">
        <f t="shared" si="718"/>
        <v>048314</v>
      </c>
      <c r="B2725" t="str">
        <f t="shared" si="729"/>
        <v>070417</v>
      </c>
      <c r="C2725" t="s">
        <v>2491</v>
      </c>
      <c r="D2725" t="s">
        <v>3839</v>
      </c>
      <c r="E2725" t="s">
        <v>3840</v>
      </c>
      <c r="F2725" t="s">
        <v>3841</v>
      </c>
      <c r="G2725" t="s">
        <v>3842</v>
      </c>
      <c r="H2725" t="str">
        <f t="shared" si="726"/>
        <v>048314</v>
      </c>
      <c r="I2725" t="s">
        <v>833</v>
      </c>
      <c r="J2725" t="str">
        <f>"2015-11-06 00:00:00.0"</f>
        <v>2015-11-06 00:00:00.0</v>
      </c>
      <c r="K2725" t="s">
        <v>834</v>
      </c>
      <c r="L2725" t="s">
        <v>0</v>
      </c>
      <c r="M2725" t="str">
        <f t="shared" si="723"/>
        <v>048314</v>
      </c>
      <c r="N2725">
        <v>0.73333300000000001</v>
      </c>
      <c r="O2725">
        <v>0.73333300000000001</v>
      </c>
      <c r="P2725" t="str">
        <f>"07"</f>
        <v>07</v>
      </c>
      <c r="Q2725" t="s">
        <v>835</v>
      </c>
      <c r="S2725" t="s">
        <v>860</v>
      </c>
      <c r="T2725" t="s">
        <v>836</v>
      </c>
      <c r="U2725" t="str">
        <f t="shared" ref="U2725:U2732" si="730">"2500-12-31 00:00:00.0"</f>
        <v>2500-12-31 00:00:00.0</v>
      </c>
      <c r="V2725" t="s">
        <v>837</v>
      </c>
      <c r="W2725" t="str">
        <f t="shared" si="727"/>
        <v>048314-070417-**-**</v>
      </c>
      <c r="X2725" t="s">
        <v>838</v>
      </c>
      <c r="Y2725">
        <v>825</v>
      </c>
      <c r="Z2725">
        <v>1125</v>
      </c>
      <c r="AA2725" t="str">
        <f t="shared" si="728"/>
        <v>06/08/2016</v>
      </c>
    </row>
    <row r="2726" spans="1:27" x14ac:dyDescent="0.3">
      <c r="A2726" t="str">
        <f t="shared" si="718"/>
        <v>048314</v>
      </c>
      <c r="B2726" t="str">
        <f t="shared" si="729"/>
        <v>070417</v>
      </c>
      <c r="C2726" t="s">
        <v>2274</v>
      </c>
      <c r="D2726" t="s">
        <v>3839</v>
      </c>
      <c r="E2726" t="s">
        <v>3840</v>
      </c>
      <c r="F2726" t="s">
        <v>3841</v>
      </c>
      <c r="G2726" t="s">
        <v>3842</v>
      </c>
      <c r="H2726" t="str">
        <f t="shared" si="726"/>
        <v>048314</v>
      </c>
      <c r="I2726" t="s">
        <v>833</v>
      </c>
      <c r="J2726" t="str">
        <f t="shared" ref="J2726:J2731" si="731">"2015-07-01 00:00:00.0"</f>
        <v>2015-07-01 00:00:00.0</v>
      </c>
      <c r="K2726" t="s">
        <v>834</v>
      </c>
      <c r="L2726" t="s">
        <v>0</v>
      </c>
      <c r="M2726" t="str">
        <f t="shared" si="723"/>
        <v>048314</v>
      </c>
      <c r="N2726">
        <v>1</v>
      </c>
      <c r="O2726">
        <v>1</v>
      </c>
      <c r="P2726" t="str">
        <f>"08"</f>
        <v>08</v>
      </c>
      <c r="Q2726" t="s">
        <v>835</v>
      </c>
      <c r="S2726" t="s">
        <v>836</v>
      </c>
      <c r="T2726" t="s">
        <v>836</v>
      </c>
      <c r="U2726" t="str">
        <f t="shared" si="730"/>
        <v>2500-12-31 00:00:00.0</v>
      </c>
      <c r="V2726" t="s">
        <v>837</v>
      </c>
      <c r="W2726" t="str">
        <f t="shared" si="727"/>
        <v>048314-070417-**-**</v>
      </c>
      <c r="X2726" t="s">
        <v>838</v>
      </c>
      <c r="Y2726">
        <v>1125</v>
      </c>
      <c r="Z2726">
        <v>1125</v>
      </c>
      <c r="AA2726" t="str">
        <f t="shared" si="728"/>
        <v>06/08/2016</v>
      </c>
    </row>
    <row r="2727" spans="1:27" x14ac:dyDescent="0.3">
      <c r="A2727" t="str">
        <f t="shared" si="718"/>
        <v>048314</v>
      </c>
      <c r="B2727" t="str">
        <f t="shared" si="729"/>
        <v>070417</v>
      </c>
      <c r="C2727" t="s">
        <v>2328</v>
      </c>
      <c r="D2727" t="s">
        <v>3839</v>
      </c>
      <c r="E2727" t="s">
        <v>3840</v>
      </c>
      <c r="F2727" t="s">
        <v>3841</v>
      </c>
      <c r="G2727" t="s">
        <v>3842</v>
      </c>
      <c r="H2727" t="str">
        <f t="shared" si="726"/>
        <v>048314</v>
      </c>
      <c r="I2727" t="s">
        <v>833</v>
      </c>
      <c r="J2727" t="str">
        <f t="shared" si="731"/>
        <v>2015-07-01 00:00:00.0</v>
      </c>
      <c r="K2727" t="s">
        <v>834</v>
      </c>
      <c r="L2727" t="s">
        <v>0</v>
      </c>
      <c r="M2727" t="str">
        <f t="shared" si="723"/>
        <v>048314</v>
      </c>
      <c r="N2727">
        <v>1</v>
      </c>
      <c r="O2727">
        <v>1</v>
      </c>
      <c r="P2727" t="str">
        <f>"07"</f>
        <v>07</v>
      </c>
      <c r="Q2727" t="s">
        <v>835</v>
      </c>
      <c r="S2727" t="s">
        <v>836</v>
      </c>
      <c r="T2727" t="s">
        <v>836</v>
      </c>
      <c r="U2727" t="str">
        <f t="shared" si="730"/>
        <v>2500-12-31 00:00:00.0</v>
      </c>
      <c r="V2727" t="s">
        <v>837</v>
      </c>
      <c r="W2727" t="str">
        <f t="shared" si="727"/>
        <v>048314-070417-**-**</v>
      </c>
      <c r="X2727" t="s">
        <v>838</v>
      </c>
      <c r="Y2727">
        <v>1125</v>
      </c>
      <c r="Z2727">
        <v>1125</v>
      </c>
      <c r="AA2727" t="str">
        <f t="shared" si="728"/>
        <v>06/08/2016</v>
      </c>
    </row>
    <row r="2728" spans="1:27" x14ac:dyDescent="0.3">
      <c r="A2728" t="str">
        <f t="shared" si="718"/>
        <v>048314</v>
      </c>
      <c r="B2728" t="str">
        <f t="shared" si="729"/>
        <v>070417</v>
      </c>
      <c r="C2728" t="s">
        <v>1887</v>
      </c>
      <c r="D2728" t="s">
        <v>3839</v>
      </c>
      <c r="E2728" t="s">
        <v>3840</v>
      </c>
      <c r="F2728" t="s">
        <v>3841</v>
      </c>
      <c r="G2728" t="s">
        <v>3842</v>
      </c>
      <c r="H2728" t="str">
        <f t="shared" si="726"/>
        <v>048314</v>
      </c>
      <c r="I2728" t="s">
        <v>833</v>
      </c>
      <c r="J2728" t="str">
        <f t="shared" si="731"/>
        <v>2015-07-01 00:00:00.0</v>
      </c>
      <c r="K2728" t="s">
        <v>834</v>
      </c>
      <c r="L2728" t="s">
        <v>0</v>
      </c>
      <c r="M2728" t="str">
        <f t="shared" si="723"/>
        <v>048314</v>
      </c>
      <c r="N2728">
        <v>1</v>
      </c>
      <c r="O2728">
        <v>1</v>
      </c>
      <c r="P2728" t="str">
        <f>"09"</f>
        <v>09</v>
      </c>
      <c r="Q2728" t="s">
        <v>835</v>
      </c>
      <c r="S2728" t="s">
        <v>836</v>
      </c>
      <c r="T2728" t="s">
        <v>836</v>
      </c>
      <c r="U2728" t="str">
        <f t="shared" si="730"/>
        <v>2500-12-31 00:00:00.0</v>
      </c>
      <c r="V2728" t="s">
        <v>837</v>
      </c>
      <c r="W2728" t="str">
        <f>"048314-004796-**-**"</f>
        <v>048314-004796-**-**</v>
      </c>
      <c r="X2728" t="s">
        <v>838</v>
      </c>
      <c r="Y2728">
        <v>1254.5</v>
      </c>
      <c r="Z2728">
        <v>1254.5</v>
      </c>
      <c r="AA2728" t="str">
        <f t="shared" si="728"/>
        <v>06/08/2016</v>
      </c>
    </row>
    <row r="2729" spans="1:27" x14ac:dyDescent="0.3">
      <c r="A2729" t="str">
        <f t="shared" si="718"/>
        <v>048314</v>
      </c>
      <c r="B2729" t="str">
        <f t="shared" si="729"/>
        <v>070417</v>
      </c>
      <c r="C2729" t="s">
        <v>1955</v>
      </c>
      <c r="D2729" t="s">
        <v>3839</v>
      </c>
      <c r="E2729" t="s">
        <v>3840</v>
      </c>
      <c r="F2729" t="s">
        <v>3841</v>
      </c>
      <c r="G2729" t="s">
        <v>3842</v>
      </c>
      <c r="H2729" t="str">
        <f t="shared" si="726"/>
        <v>048314</v>
      </c>
      <c r="I2729" t="s">
        <v>833</v>
      </c>
      <c r="J2729" t="str">
        <f t="shared" si="731"/>
        <v>2015-07-01 00:00:00.0</v>
      </c>
      <c r="K2729" t="s">
        <v>834</v>
      </c>
      <c r="L2729" t="s">
        <v>0</v>
      </c>
      <c r="M2729" t="str">
        <f t="shared" si="723"/>
        <v>048314</v>
      </c>
      <c r="N2729">
        <v>1</v>
      </c>
      <c r="O2729">
        <v>1</v>
      </c>
      <c r="P2729" t="str">
        <f>"09"</f>
        <v>09</v>
      </c>
      <c r="Q2729" t="s">
        <v>835</v>
      </c>
      <c r="S2729" t="s">
        <v>860</v>
      </c>
      <c r="T2729" t="s">
        <v>836</v>
      </c>
      <c r="U2729" t="str">
        <f t="shared" si="730"/>
        <v>2500-12-31 00:00:00.0</v>
      </c>
      <c r="V2729" t="s">
        <v>837</v>
      </c>
      <c r="W2729" t="str">
        <f>"048314-004796-**-**"</f>
        <v>048314-004796-**-**</v>
      </c>
      <c r="X2729" t="s">
        <v>838</v>
      </c>
      <c r="Y2729">
        <v>1254.5</v>
      </c>
      <c r="Z2729">
        <v>1254.5</v>
      </c>
      <c r="AA2729" t="str">
        <f t="shared" si="728"/>
        <v>06/08/2016</v>
      </c>
    </row>
    <row r="2730" spans="1:27" x14ac:dyDescent="0.3">
      <c r="A2730" t="str">
        <f t="shared" si="718"/>
        <v>048314</v>
      </c>
      <c r="B2730" t="str">
        <f t="shared" si="729"/>
        <v>070417</v>
      </c>
      <c r="C2730" t="s">
        <v>2707</v>
      </c>
      <c r="D2730" t="s">
        <v>3839</v>
      </c>
      <c r="E2730" t="s">
        <v>3840</v>
      </c>
      <c r="F2730" t="s">
        <v>3841</v>
      </c>
      <c r="G2730" t="s">
        <v>3842</v>
      </c>
      <c r="H2730" t="str">
        <f t="shared" si="726"/>
        <v>048314</v>
      </c>
      <c r="I2730" t="s">
        <v>833</v>
      </c>
      <c r="J2730" t="str">
        <f t="shared" si="731"/>
        <v>2015-07-01 00:00:00.0</v>
      </c>
      <c r="K2730" t="s">
        <v>834</v>
      </c>
      <c r="L2730" t="s">
        <v>0</v>
      </c>
      <c r="M2730" t="str">
        <f t="shared" si="723"/>
        <v>048314</v>
      </c>
      <c r="N2730">
        <v>1</v>
      </c>
      <c r="O2730">
        <v>1</v>
      </c>
      <c r="P2730" t="str">
        <f>"06"</f>
        <v>06</v>
      </c>
      <c r="Q2730" t="str">
        <f>"10"</f>
        <v>10</v>
      </c>
      <c r="R2730" t="str">
        <f>"2"</f>
        <v>2</v>
      </c>
      <c r="S2730" t="s">
        <v>860</v>
      </c>
      <c r="T2730" t="s">
        <v>836</v>
      </c>
      <c r="U2730" t="str">
        <f t="shared" si="730"/>
        <v>2500-12-31 00:00:00.0</v>
      </c>
      <c r="V2730" t="s">
        <v>837</v>
      </c>
      <c r="W2730" t="str">
        <f>"048314-070417-**-**"</f>
        <v>048314-070417-**-**</v>
      </c>
      <c r="X2730" t="s">
        <v>838</v>
      </c>
      <c r="Y2730">
        <v>1125</v>
      </c>
      <c r="Z2730">
        <v>1125</v>
      </c>
      <c r="AA2730" t="str">
        <f t="shared" si="728"/>
        <v>06/08/2016</v>
      </c>
    </row>
    <row r="2731" spans="1:27" x14ac:dyDescent="0.3">
      <c r="A2731" t="str">
        <f t="shared" si="718"/>
        <v>048314</v>
      </c>
      <c r="B2731" t="str">
        <f t="shared" si="729"/>
        <v>070417</v>
      </c>
      <c r="C2731" t="s">
        <v>2137</v>
      </c>
      <c r="D2731" t="s">
        <v>3839</v>
      </c>
      <c r="E2731" t="s">
        <v>3840</v>
      </c>
      <c r="F2731" t="s">
        <v>3841</v>
      </c>
      <c r="G2731" t="s">
        <v>3842</v>
      </c>
      <c r="H2731" t="str">
        <f t="shared" si="726"/>
        <v>048314</v>
      </c>
      <c r="I2731" t="s">
        <v>833</v>
      </c>
      <c r="J2731" t="str">
        <f t="shared" si="731"/>
        <v>2015-07-01 00:00:00.0</v>
      </c>
      <c r="K2731" t="s">
        <v>834</v>
      </c>
      <c r="L2731" t="s">
        <v>0</v>
      </c>
      <c r="M2731" t="str">
        <f t="shared" si="723"/>
        <v>048314</v>
      </c>
      <c r="N2731">
        <v>1</v>
      </c>
      <c r="O2731">
        <v>1</v>
      </c>
      <c r="P2731" t="str">
        <f>"08"</f>
        <v>08</v>
      </c>
      <c r="Q2731" t="s">
        <v>835</v>
      </c>
      <c r="S2731" t="s">
        <v>836</v>
      </c>
      <c r="T2731" t="s">
        <v>836</v>
      </c>
      <c r="U2731" t="str">
        <f t="shared" si="730"/>
        <v>2500-12-31 00:00:00.0</v>
      </c>
      <c r="V2731" t="s">
        <v>837</v>
      </c>
      <c r="W2731" t="str">
        <f>"048314-070417-**-**"</f>
        <v>048314-070417-**-**</v>
      </c>
      <c r="X2731" t="s">
        <v>838</v>
      </c>
      <c r="Y2731">
        <v>1125</v>
      </c>
      <c r="Z2731">
        <v>1125</v>
      </c>
      <c r="AA2731" t="str">
        <f t="shared" si="728"/>
        <v>06/08/2016</v>
      </c>
    </row>
    <row r="2732" spans="1:27" x14ac:dyDescent="0.3">
      <c r="A2732" t="str">
        <f t="shared" si="718"/>
        <v>048314</v>
      </c>
      <c r="B2732" t="str">
        <f t="shared" si="729"/>
        <v>070417</v>
      </c>
      <c r="C2732" t="s">
        <v>2492</v>
      </c>
      <c r="D2732" t="s">
        <v>3839</v>
      </c>
      <c r="E2732" t="s">
        <v>3840</v>
      </c>
      <c r="F2732" t="s">
        <v>3841</v>
      </c>
      <c r="G2732" t="s">
        <v>3842</v>
      </c>
      <c r="H2732" t="str">
        <f t="shared" si="726"/>
        <v>048314</v>
      </c>
      <c r="I2732" t="s">
        <v>833</v>
      </c>
      <c r="J2732" t="str">
        <f>"2015-11-06 00:00:00.0"</f>
        <v>2015-11-06 00:00:00.0</v>
      </c>
      <c r="K2732" t="s">
        <v>834</v>
      </c>
      <c r="L2732" t="s">
        <v>0</v>
      </c>
      <c r="M2732" t="str">
        <f t="shared" si="723"/>
        <v>048314</v>
      </c>
      <c r="N2732">
        <v>0.73333300000000001</v>
      </c>
      <c r="O2732">
        <v>0.73333300000000001</v>
      </c>
      <c r="P2732" t="str">
        <f>"07"</f>
        <v>07</v>
      </c>
      <c r="Q2732" t="s">
        <v>835</v>
      </c>
      <c r="S2732" t="s">
        <v>860</v>
      </c>
      <c r="T2732" t="s">
        <v>836</v>
      </c>
      <c r="U2732" t="str">
        <f t="shared" si="730"/>
        <v>2500-12-31 00:00:00.0</v>
      </c>
      <c r="V2732" t="s">
        <v>837</v>
      </c>
      <c r="W2732" t="str">
        <f>"048314-070417-**-**"</f>
        <v>048314-070417-**-**</v>
      </c>
      <c r="X2732" t="s">
        <v>838</v>
      </c>
      <c r="Y2732">
        <v>825</v>
      </c>
      <c r="Z2732">
        <v>1125</v>
      </c>
      <c r="AA2732" t="str">
        <f t="shared" si="728"/>
        <v>06/08/2016</v>
      </c>
    </row>
    <row r="2733" spans="1:27" x14ac:dyDescent="0.3">
      <c r="A2733" t="str">
        <f t="shared" si="718"/>
        <v>048314</v>
      </c>
      <c r="B2733" t="str">
        <f t="shared" si="729"/>
        <v>070417</v>
      </c>
      <c r="C2733" t="s">
        <v>2492</v>
      </c>
      <c r="D2733" t="s">
        <v>3839</v>
      </c>
      <c r="E2733" t="s">
        <v>3840</v>
      </c>
      <c r="F2733" t="s">
        <v>3841</v>
      </c>
      <c r="G2733" t="s">
        <v>3842</v>
      </c>
      <c r="H2733" t="str">
        <f t="shared" si="726"/>
        <v>048314</v>
      </c>
      <c r="I2733" t="s">
        <v>833</v>
      </c>
      <c r="J2733" t="str">
        <f t="shared" ref="J2733:J2752" si="732">"2015-07-01 00:00:00.0"</f>
        <v>2015-07-01 00:00:00.0</v>
      </c>
      <c r="K2733" t="s">
        <v>834</v>
      </c>
      <c r="L2733" t="s">
        <v>0</v>
      </c>
      <c r="M2733" t="str">
        <f t="shared" si="723"/>
        <v>048314</v>
      </c>
      <c r="N2733">
        <v>0.26666699999999999</v>
      </c>
      <c r="O2733">
        <v>0.26666699999999999</v>
      </c>
      <c r="P2733" t="str">
        <f>"07"</f>
        <v>07</v>
      </c>
      <c r="Q2733" t="s">
        <v>835</v>
      </c>
      <c r="S2733" t="s">
        <v>836</v>
      </c>
      <c r="T2733" t="s">
        <v>836</v>
      </c>
      <c r="U2733" t="str">
        <f>"2015-11-05 00:00:00.0"</f>
        <v>2015-11-05 00:00:00.0</v>
      </c>
      <c r="V2733" t="s">
        <v>837</v>
      </c>
      <c r="W2733" t="str">
        <f>"048314-070417-**-**"</f>
        <v>048314-070417-**-**</v>
      </c>
      <c r="X2733" t="s">
        <v>838</v>
      </c>
      <c r="Y2733">
        <v>300</v>
      </c>
      <c r="Z2733">
        <v>1125</v>
      </c>
      <c r="AA2733" t="str">
        <f t="shared" si="728"/>
        <v>06/08/2016</v>
      </c>
    </row>
    <row r="2734" spans="1:27" x14ac:dyDescent="0.3">
      <c r="A2734" t="str">
        <f t="shared" si="718"/>
        <v>048314</v>
      </c>
      <c r="B2734" t="str">
        <f t="shared" si="729"/>
        <v>070417</v>
      </c>
      <c r="C2734" t="s">
        <v>1956</v>
      </c>
      <c r="D2734" t="s">
        <v>3839</v>
      </c>
      <c r="E2734" t="s">
        <v>3840</v>
      </c>
      <c r="F2734" t="s">
        <v>3841</v>
      </c>
      <c r="G2734" t="s">
        <v>3842</v>
      </c>
      <c r="H2734" t="str">
        <f t="shared" si="726"/>
        <v>048314</v>
      </c>
      <c r="I2734" t="s">
        <v>833</v>
      </c>
      <c r="J2734" t="str">
        <f t="shared" si="732"/>
        <v>2015-07-01 00:00:00.0</v>
      </c>
      <c r="K2734" t="s">
        <v>834</v>
      </c>
      <c r="L2734" t="s">
        <v>0</v>
      </c>
      <c r="M2734" t="str">
        <f t="shared" si="723"/>
        <v>048314</v>
      </c>
      <c r="N2734">
        <v>1</v>
      </c>
      <c r="O2734">
        <v>1</v>
      </c>
      <c r="P2734" t="str">
        <f>"09"</f>
        <v>09</v>
      </c>
      <c r="Q2734" t="s">
        <v>835</v>
      </c>
      <c r="S2734" t="s">
        <v>836</v>
      </c>
      <c r="T2734" t="s">
        <v>836</v>
      </c>
      <c r="U2734" t="str">
        <f t="shared" ref="U2734:U2751" si="733">"2500-12-31 00:00:00.0"</f>
        <v>2500-12-31 00:00:00.0</v>
      </c>
      <c r="V2734" t="s">
        <v>837</v>
      </c>
      <c r="W2734" t="str">
        <f>"048314-004796-**-**"</f>
        <v>048314-004796-**-**</v>
      </c>
      <c r="X2734" t="s">
        <v>838</v>
      </c>
      <c r="Y2734">
        <v>1254.5</v>
      </c>
      <c r="Z2734">
        <v>1254.5</v>
      </c>
      <c r="AA2734" t="str">
        <f t="shared" si="728"/>
        <v>06/08/2016</v>
      </c>
    </row>
    <row r="2735" spans="1:27" x14ac:dyDescent="0.3">
      <c r="A2735" t="str">
        <f t="shared" si="718"/>
        <v>048314</v>
      </c>
      <c r="B2735" t="str">
        <f t="shared" si="729"/>
        <v>070417</v>
      </c>
      <c r="C2735" t="s">
        <v>2766</v>
      </c>
      <c r="D2735" t="s">
        <v>3839</v>
      </c>
      <c r="E2735" t="s">
        <v>3840</v>
      </c>
      <c r="F2735" t="s">
        <v>3841</v>
      </c>
      <c r="G2735" t="s">
        <v>3842</v>
      </c>
      <c r="H2735" t="str">
        <f t="shared" si="726"/>
        <v>048314</v>
      </c>
      <c r="I2735" t="s">
        <v>833</v>
      </c>
      <c r="J2735" t="str">
        <f t="shared" si="732"/>
        <v>2015-07-01 00:00:00.0</v>
      </c>
      <c r="K2735" t="s">
        <v>834</v>
      </c>
      <c r="L2735" t="s">
        <v>0</v>
      </c>
      <c r="M2735" t="str">
        <f t="shared" si="723"/>
        <v>048314</v>
      </c>
      <c r="N2735">
        <v>1</v>
      </c>
      <c r="O2735">
        <v>1</v>
      </c>
      <c r="P2735" t="str">
        <f>"06"</f>
        <v>06</v>
      </c>
      <c r="Q2735" t="str">
        <f>"08"</f>
        <v>08</v>
      </c>
      <c r="R2735" t="str">
        <f>"3"</f>
        <v>3</v>
      </c>
      <c r="S2735" t="s">
        <v>860</v>
      </c>
      <c r="T2735" t="s">
        <v>836</v>
      </c>
      <c r="U2735" t="str">
        <f t="shared" si="733"/>
        <v>2500-12-31 00:00:00.0</v>
      </c>
      <c r="V2735" t="s">
        <v>837</v>
      </c>
      <c r="W2735" t="str">
        <f>"048314-070417-**-**"</f>
        <v>048314-070417-**-**</v>
      </c>
      <c r="X2735" t="s">
        <v>838</v>
      </c>
      <c r="Y2735">
        <v>1125</v>
      </c>
      <c r="Z2735">
        <v>1125</v>
      </c>
      <c r="AA2735" t="str">
        <f t="shared" si="728"/>
        <v>06/08/2016</v>
      </c>
    </row>
    <row r="2736" spans="1:27" x14ac:dyDescent="0.3">
      <c r="A2736" t="str">
        <f t="shared" si="718"/>
        <v>048314</v>
      </c>
      <c r="B2736" t="str">
        <f t="shared" si="729"/>
        <v>070417</v>
      </c>
      <c r="C2736" t="s">
        <v>2370</v>
      </c>
      <c r="D2736" t="s">
        <v>3839</v>
      </c>
      <c r="E2736" t="s">
        <v>3840</v>
      </c>
      <c r="F2736" t="s">
        <v>3841</v>
      </c>
      <c r="G2736" t="s">
        <v>3842</v>
      </c>
      <c r="H2736" t="str">
        <f t="shared" si="726"/>
        <v>048314</v>
      </c>
      <c r="I2736" t="s">
        <v>833</v>
      </c>
      <c r="J2736" t="str">
        <f t="shared" si="732"/>
        <v>2015-07-01 00:00:00.0</v>
      </c>
      <c r="K2736" t="s">
        <v>834</v>
      </c>
      <c r="L2736" t="s">
        <v>0</v>
      </c>
      <c r="M2736" t="str">
        <f t="shared" si="723"/>
        <v>048314</v>
      </c>
      <c r="N2736">
        <v>1</v>
      </c>
      <c r="O2736">
        <v>1</v>
      </c>
      <c r="P2736" t="str">
        <f>"07"</f>
        <v>07</v>
      </c>
      <c r="Q2736" t="s">
        <v>835</v>
      </c>
      <c r="S2736" t="s">
        <v>836</v>
      </c>
      <c r="T2736" t="s">
        <v>836</v>
      </c>
      <c r="U2736" t="str">
        <f t="shared" si="733"/>
        <v>2500-12-31 00:00:00.0</v>
      </c>
      <c r="V2736" t="s">
        <v>837</v>
      </c>
      <c r="W2736" t="str">
        <f>"048314-070417-**-**"</f>
        <v>048314-070417-**-**</v>
      </c>
      <c r="X2736" t="s">
        <v>838</v>
      </c>
      <c r="Y2736">
        <v>1125</v>
      </c>
      <c r="Z2736">
        <v>1125</v>
      </c>
      <c r="AA2736" t="str">
        <f t="shared" si="728"/>
        <v>06/08/2016</v>
      </c>
    </row>
    <row r="2737" spans="1:27" x14ac:dyDescent="0.3">
      <c r="A2737" t="str">
        <f t="shared" si="718"/>
        <v>048314</v>
      </c>
      <c r="B2737" t="str">
        <f t="shared" si="729"/>
        <v>070417</v>
      </c>
      <c r="C2737" t="s">
        <v>2708</v>
      </c>
      <c r="D2737" t="s">
        <v>3839</v>
      </c>
      <c r="E2737" t="s">
        <v>3840</v>
      </c>
      <c r="F2737" t="s">
        <v>3841</v>
      </c>
      <c r="G2737" t="s">
        <v>3842</v>
      </c>
      <c r="H2737" t="str">
        <f t="shared" si="726"/>
        <v>048314</v>
      </c>
      <c r="I2737" t="s">
        <v>833</v>
      </c>
      <c r="J2737" t="str">
        <f t="shared" si="732"/>
        <v>2015-07-01 00:00:00.0</v>
      </c>
      <c r="K2737" t="s">
        <v>834</v>
      </c>
      <c r="L2737" t="s">
        <v>0</v>
      </c>
      <c r="M2737" t="str">
        <f t="shared" si="723"/>
        <v>048314</v>
      </c>
      <c r="N2737">
        <v>1</v>
      </c>
      <c r="O2737">
        <v>1</v>
      </c>
      <c r="P2737" t="str">
        <f>"07"</f>
        <v>07</v>
      </c>
      <c r="Q2737" t="s">
        <v>835</v>
      </c>
      <c r="S2737" t="s">
        <v>836</v>
      </c>
      <c r="T2737" t="s">
        <v>836</v>
      </c>
      <c r="U2737" t="str">
        <f t="shared" si="733"/>
        <v>2500-12-31 00:00:00.0</v>
      </c>
      <c r="V2737" t="s">
        <v>837</v>
      </c>
      <c r="W2737" t="str">
        <f>"048314-070417-**-**"</f>
        <v>048314-070417-**-**</v>
      </c>
      <c r="X2737" t="s">
        <v>838</v>
      </c>
      <c r="Y2737">
        <v>1125</v>
      </c>
      <c r="Z2737">
        <v>1125</v>
      </c>
      <c r="AA2737" t="str">
        <f t="shared" si="728"/>
        <v>06/08/2016</v>
      </c>
    </row>
    <row r="2738" spans="1:27" x14ac:dyDescent="0.3">
      <c r="A2738" t="str">
        <f t="shared" si="718"/>
        <v>048314</v>
      </c>
      <c r="B2738" t="str">
        <f t="shared" si="729"/>
        <v>070417</v>
      </c>
      <c r="C2738" t="s">
        <v>2138</v>
      </c>
      <c r="D2738" t="s">
        <v>3839</v>
      </c>
      <c r="E2738" t="s">
        <v>3840</v>
      </c>
      <c r="F2738" t="s">
        <v>3841</v>
      </c>
      <c r="G2738" t="s">
        <v>3842</v>
      </c>
      <c r="H2738" t="str">
        <f t="shared" si="726"/>
        <v>048314</v>
      </c>
      <c r="I2738" t="s">
        <v>833</v>
      </c>
      <c r="J2738" t="str">
        <f t="shared" si="732"/>
        <v>2015-07-01 00:00:00.0</v>
      </c>
      <c r="K2738" t="s">
        <v>834</v>
      </c>
      <c r="L2738" t="s">
        <v>0</v>
      </c>
      <c r="M2738" t="str">
        <f t="shared" si="723"/>
        <v>048314</v>
      </c>
      <c r="N2738">
        <v>1</v>
      </c>
      <c r="O2738">
        <v>1</v>
      </c>
      <c r="P2738" t="str">
        <f>"08"</f>
        <v>08</v>
      </c>
      <c r="Q2738" t="s">
        <v>835</v>
      </c>
      <c r="S2738" t="s">
        <v>836</v>
      </c>
      <c r="T2738" t="s">
        <v>836</v>
      </c>
      <c r="U2738" t="str">
        <f t="shared" si="733"/>
        <v>2500-12-31 00:00:00.0</v>
      </c>
      <c r="V2738" t="s">
        <v>837</v>
      </c>
      <c r="W2738" t="str">
        <f>"048314-070417-**-**"</f>
        <v>048314-070417-**-**</v>
      </c>
      <c r="X2738" t="s">
        <v>838</v>
      </c>
      <c r="Y2738">
        <v>1125</v>
      </c>
      <c r="Z2738">
        <v>1125</v>
      </c>
      <c r="AA2738" t="str">
        <f t="shared" si="728"/>
        <v>06/08/2016</v>
      </c>
    </row>
    <row r="2739" spans="1:27" x14ac:dyDescent="0.3">
      <c r="A2739" t="str">
        <f t="shared" si="718"/>
        <v>048314</v>
      </c>
      <c r="B2739" t="str">
        <f t="shared" si="729"/>
        <v>070417</v>
      </c>
      <c r="C2739" t="s">
        <v>1239</v>
      </c>
      <c r="D2739" t="s">
        <v>3839</v>
      </c>
      <c r="E2739" t="s">
        <v>3840</v>
      </c>
      <c r="F2739" t="s">
        <v>3841</v>
      </c>
      <c r="G2739" t="s">
        <v>3842</v>
      </c>
      <c r="H2739" t="str">
        <f t="shared" si="726"/>
        <v>048314</v>
      </c>
      <c r="I2739" t="s">
        <v>833</v>
      </c>
      <c r="J2739" t="str">
        <f t="shared" si="732"/>
        <v>2015-07-01 00:00:00.0</v>
      </c>
      <c r="K2739" t="s">
        <v>834</v>
      </c>
      <c r="L2739" t="s">
        <v>0</v>
      </c>
      <c r="M2739" t="str">
        <f t="shared" si="723"/>
        <v>048314</v>
      </c>
      <c r="N2739">
        <v>1</v>
      </c>
      <c r="O2739">
        <v>1</v>
      </c>
      <c r="P2739" t="str">
        <f>"09"</f>
        <v>09</v>
      </c>
      <c r="Q2739" t="s">
        <v>835</v>
      </c>
      <c r="S2739" t="s">
        <v>836</v>
      </c>
      <c r="T2739" t="s">
        <v>836</v>
      </c>
      <c r="U2739" t="str">
        <f t="shared" si="733"/>
        <v>2500-12-31 00:00:00.0</v>
      </c>
      <c r="V2739" t="s">
        <v>837</v>
      </c>
      <c r="W2739" t="str">
        <f>"048314-004796-**-**"</f>
        <v>048314-004796-**-**</v>
      </c>
      <c r="X2739" t="s">
        <v>838</v>
      </c>
      <c r="Y2739">
        <v>1254.5</v>
      </c>
      <c r="Z2739">
        <v>1254.5</v>
      </c>
      <c r="AA2739" t="str">
        <f t="shared" si="728"/>
        <v>06/08/2016</v>
      </c>
    </row>
    <row r="2740" spans="1:27" x14ac:dyDescent="0.3">
      <c r="A2740" t="str">
        <f t="shared" si="718"/>
        <v>048314</v>
      </c>
      <c r="B2740" t="str">
        <f t="shared" si="729"/>
        <v>070417</v>
      </c>
      <c r="C2740" t="s">
        <v>2709</v>
      </c>
      <c r="D2740" t="s">
        <v>3839</v>
      </c>
      <c r="E2740" t="s">
        <v>3840</v>
      </c>
      <c r="F2740" t="s">
        <v>3841</v>
      </c>
      <c r="G2740" t="s">
        <v>3842</v>
      </c>
      <c r="H2740" t="str">
        <f t="shared" si="726"/>
        <v>048314</v>
      </c>
      <c r="I2740" t="s">
        <v>833</v>
      </c>
      <c r="J2740" t="str">
        <f t="shared" si="732"/>
        <v>2015-07-01 00:00:00.0</v>
      </c>
      <c r="K2740" t="s">
        <v>834</v>
      </c>
      <c r="L2740" t="s">
        <v>0</v>
      </c>
      <c r="M2740" t="str">
        <f t="shared" si="723"/>
        <v>048314</v>
      </c>
      <c r="N2740">
        <v>1</v>
      </c>
      <c r="O2740">
        <v>1</v>
      </c>
      <c r="P2740" t="str">
        <f>"07"</f>
        <v>07</v>
      </c>
      <c r="Q2740" t="s">
        <v>835</v>
      </c>
      <c r="S2740" t="s">
        <v>836</v>
      </c>
      <c r="T2740" t="s">
        <v>836</v>
      </c>
      <c r="U2740" t="str">
        <f t="shared" si="733"/>
        <v>2500-12-31 00:00:00.0</v>
      </c>
      <c r="V2740" t="s">
        <v>837</v>
      </c>
      <c r="W2740" t="str">
        <f t="shared" ref="W2740:W2748" si="734">"048314-070417-**-**"</f>
        <v>048314-070417-**-**</v>
      </c>
      <c r="X2740" t="s">
        <v>838</v>
      </c>
      <c r="Y2740">
        <v>1125</v>
      </c>
      <c r="Z2740">
        <v>1125</v>
      </c>
      <c r="AA2740" t="str">
        <f t="shared" si="728"/>
        <v>06/08/2016</v>
      </c>
    </row>
    <row r="2741" spans="1:27" x14ac:dyDescent="0.3">
      <c r="A2741" t="str">
        <f t="shared" si="718"/>
        <v>048314</v>
      </c>
      <c r="B2741" t="str">
        <f t="shared" si="729"/>
        <v>070417</v>
      </c>
      <c r="C2741" t="s">
        <v>2710</v>
      </c>
      <c r="D2741" t="s">
        <v>3839</v>
      </c>
      <c r="E2741" t="s">
        <v>3840</v>
      </c>
      <c r="F2741" t="s">
        <v>3841</v>
      </c>
      <c r="G2741" t="s">
        <v>3842</v>
      </c>
      <c r="H2741" t="str">
        <f t="shared" si="726"/>
        <v>048314</v>
      </c>
      <c r="I2741" t="s">
        <v>833</v>
      </c>
      <c r="J2741" t="str">
        <f t="shared" si="732"/>
        <v>2015-07-01 00:00:00.0</v>
      </c>
      <c r="K2741" t="s">
        <v>834</v>
      </c>
      <c r="L2741" t="s">
        <v>0</v>
      </c>
      <c r="M2741" t="str">
        <f t="shared" si="723"/>
        <v>048314</v>
      </c>
      <c r="N2741">
        <v>1</v>
      </c>
      <c r="O2741">
        <v>1</v>
      </c>
      <c r="P2741" t="str">
        <f>"06"</f>
        <v>06</v>
      </c>
      <c r="Q2741" t="s">
        <v>835</v>
      </c>
      <c r="S2741" t="s">
        <v>836</v>
      </c>
      <c r="T2741" t="s">
        <v>836</v>
      </c>
      <c r="U2741" t="str">
        <f t="shared" si="733"/>
        <v>2500-12-31 00:00:00.0</v>
      </c>
      <c r="V2741" t="s">
        <v>837</v>
      </c>
      <c r="W2741" t="str">
        <f t="shared" si="734"/>
        <v>048314-070417-**-**</v>
      </c>
      <c r="X2741" t="s">
        <v>838</v>
      </c>
      <c r="Y2741">
        <v>1125</v>
      </c>
      <c r="Z2741">
        <v>1125</v>
      </c>
      <c r="AA2741" t="str">
        <f t="shared" si="728"/>
        <v>06/08/2016</v>
      </c>
    </row>
    <row r="2742" spans="1:27" x14ac:dyDescent="0.3">
      <c r="A2742" t="str">
        <f t="shared" si="718"/>
        <v>048314</v>
      </c>
      <c r="B2742" t="str">
        <f t="shared" si="729"/>
        <v>070417</v>
      </c>
      <c r="C2742" t="s">
        <v>2139</v>
      </c>
      <c r="D2742" t="s">
        <v>3839</v>
      </c>
      <c r="E2742" t="s">
        <v>3840</v>
      </c>
      <c r="F2742" t="s">
        <v>3841</v>
      </c>
      <c r="G2742" t="s">
        <v>3842</v>
      </c>
      <c r="H2742" t="str">
        <f t="shared" si="726"/>
        <v>048314</v>
      </c>
      <c r="I2742" t="s">
        <v>833</v>
      </c>
      <c r="J2742" t="str">
        <f t="shared" si="732"/>
        <v>2015-07-01 00:00:00.0</v>
      </c>
      <c r="K2742" t="s">
        <v>834</v>
      </c>
      <c r="L2742" t="s">
        <v>0</v>
      </c>
      <c r="M2742" t="str">
        <f t="shared" si="723"/>
        <v>048314</v>
      </c>
      <c r="N2742">
        <v>1</v>
      </c>
      <c r="O2742">
        <v>1</v>
      </c>
      <c r="P2742" t="str">
        <f>"08"</f>
        <v>08</v>
      </c>
      <c r="Q2742" t="s">
        <v>835</v>
      </c>
      <c r="S2742" t="s">
        <v>860</v>
      </c>
      <c r="T2742" t="s">
        <v>836</v>
      </c>
      <c r="U2742" t="str">
        <f t="shared" si="733"/>
        <v>2500-12-31 00:00:00.0</v>
      </c>
      <c r="V2742" t="s">
        <v>837</v>
      </c>
      <c r="W2742" t="str">
        <f t="shared" si="734"/>
        <v>048314-070417-**-**</v>
      </c>
      <c r="X2742" t="s">
        <v>838</v>
      </c>
      <c r="Y2742">
        <v>1125</v>
      </c>
      <c r="Z2742">
        <v>1125</v>
      </c>
      <c r="AA2742" t="str">
        <f t="shared" si="728"/>
        <v>06/08/2016</v>
      </c>
    </row>
    <row r="2743" spans="1:27" x14ac:dyDescent="0.3">
      <c r="A2743" t="str">
        <f t="shared" si="718"/>
        <v>048314</v>
      </c>
      <c r="B2743" t="str">
        <f t="shared" si="729"/>
        <v>070417</v>
      </c>
      <c r="C2743" t="s">
        <v>2901</v>
      </c>
      <c r="D2743" t="s">
        <v>3839</v>
      </c>
      <c r="E2743" t="s">
        <v>3840</v>
      </c>
      <c r="F2743" t="s">
        <v>3841</v>
      </c>
      <c r="G2743" t="s">
        <v>3842</v>
      </c>
      <c r="H2743" t="str">
        <f t="shared" si="726"/>
        <v>048314</v>
      </c>
      <c r="I2743" t="s">
        <v>833</v>
      </c>
      <c r="J2743" t="str">
        <f t="shared" si="732"/>
        <v>2015-07-01 00:00:00.0</v>
      </c>
      <c r="K2743" t="s">
        <v>834</v>
      </c>
      <c r="L2743" t="s">
        <v>0</v>
      </c>
      <c r="M2743" t="str">
        <f t="shared" si="723"/>
        <v>048314</v>
      </c>
      <c r="N2743">
        <v>1</v>
      </c>
      <c r="O2743">
        <v>1</v>
      </c>
      <c r="P2743" t="str">
        <f>"06"</f>
        <v>06</v>
      </c>
      <c r="Q2743" t="s">
        <v>835</v>
      </c>
      <c r="S2743" t="s">
        <v>836</v>
      </c>
      <c r="T2743" t="s">
        <v>836</v>
      </c>
      <c r="U2743" t="str">
        <f t="shared" si="733"/>
        <v>2500-12-31 00:00:00.0</v>
      </c>
      <c r="V2743" t="s">
        <v>837</v>
      </c>
      <c r="W2743" t="str">
        <f t="shared" si="734"/>
        <v>048314-070417-**-**</v>
      </c>
      <c r="X2743" t="s">
        <v>838</v>
      </c>
      <c r="Y2743">
        <v>1125</v>
      </c>
      <c r="Z2743">
        <v>1125</v>
      </c>
      <c r="AA2743" t="str">
        <f t="shared" si="728"/>
        <v>06/08/2016</v>
      </c>
    </row>
    <row r="2744" spans="1:27" x14ac:dyDescent="0.3">
      <c r="A2744" t="str">
        <f t="shared" si="718"/>
        <v>048314</v>
      </c>
      <c r="B2744" t="str">
        <f t="shared" si="729"/>
        <v>070417</v>
      </c>
      <c r="C2744" t="s">
        <v>2247</v>
      </c>
      <c r="D2744" t="s">
        <v>3839</v>
      </c>
      <c r="E2744" t="s">
        <v>3840</v>
      </c>
      <c r="F2744" t="s">
        <v>3841</v>
      </c>
      <c r="G2744" t="s">
        <v>3842</v>
      </c>
      <c r="H2744" t="str">
        <f t="shared" si="726"/>
        <v>048314</v>
      </c>
      <c r="I2744" t="s">
        <v>833</v>
      </c>
      <c r="J2744" t="str">
        <f t="shared" si="732"/>
        <v>2015-07-01 00:00:00.0</v>
      </c>
      <c r="K2744" t="s">
        <v>834</v>
      </c>
      <c r="L2744" t="s">
        <v>0</v>
      </c>
      <c r="M2744" t="str">
        <f t="shared" si="723"/>
        <v>048314</v>
      </c>
      <c r="N2744">
        <v>1</v>
      </c>
      <c r="O2744">
        <v>1</v>
      </c>
      <c r="P2744" t="str">
        <f>"06"</f>
        <v>06</v>
      </c>
      <c r="Q2744" t="s">
        <v>835</v>
      </c>
      <c r="S2744" t="s">
        <v>860</v>
      </c>
      <c r="T2744" t="s">
        <v>836</v>
      </c>
      <c r="U2744" t="str">
        <f t="shared" si="733"/>
        <v>2500-12-31 00:00:00.0</v>
      </c>
      <c r="V2744" t="s">
        <v>837</v>
      </c>
      <c r="W2744" t="str">
        <f t="shared" si="734"/>
        <v>048314-070417-**-**</v>
      </c>
      <c r="X2744" t="s">
        <v>838</v>
      </c>
      <c r="Y2744">
        <v>1125</v>
      </c>
      <c r="Z2744">
        <v>1125</v>
      </c>
      <c r="AA2744" t="str">
        <f t="shared" si="728"/>
        <v>06/08/2016</v>
      </c>
    </row>
    <row r="2745" spans="1:27" x14ac:dyDescent="0.3">
      <c r="A2745" t="str">
        <f t="shared" si="718"/>
        <v>048314</v>
      </c>
      <c r="B2745" t="str">
        <f t="shared" si="729"/>
        <v>070417</v>
      </c>
      <c r="C2745" t="s">
        <v>2450</v>
      </c>
      <c r="D2745" t="s">
        <v>3839</v>
      </c>
      <c r="E2745" t="s">
        <v>3840</v>
      </c>
      <c r="F2745" t="s">
        <v>3841</v>
      </c>
      <c r="G2745" t="s">
        <v>3842</v>
      </c>
      <c r="H2745" t="str">
        <f t="shared" si="726"/>
        <v>048314</v>
      </c>
      <c r="I2745" t="s">
        <v>833</v>
      </c>
      <c r="J2745" t="str">
        <f t="shared" si="732"/>
        <v>2015-07-01 00:00:00.0</v>
      </c>
      <c r="K2745" t="s">
        <v>834</v>
      </c>
      <c r="L2745" t="s">
        <v>0</v>
      </c>
      <c r="M2745" t="str">
        <f t="shared" si="723"/>
        <v>048314</v>
      </c>
      <c r="N2745">
        <v>1</v>
      </c>
      <c r="O2745">
        <v>1</v>
      </c>
      <c r="P2745" t="str">
        <f>"07"</f>
        <v>07</v>
      </c>
      <c r="Q2745" t="s">
        <v>835</v>
      </c>
      <c r="S2745" t="s">
        <v>836</v>
      </c>
      <c r="T2745" t="s">
        <v>836</v>
      </c>
      <c r="U2745" t="str">
        <f t="shared" si="733"/>
        <v>2500-12-31 00:00:00.0</v>
      </c>
      <c r="V2745" t="s">
        <v>837</v>
      </c>
      <c r="W2745" t="str">
        <f t="shared" si="734"/>
        <v>048314-070417-**-**</v>
      </c>
      <c r="X2745" t="s">
        <v>838</v>
      </c>
      <c r="Y2745">
        <v>1125</v>
      </c>
      <c r="Z2745">
        <v>1125</v>
      </c>
      <c r="AA2745" t="str">
        <f t="shared" si="728"/>
        <v>06/08/2016</v>
      </c>
    </row>
    <row r="2746" spans="1:27" x14ac:dyDescent="0.3">
      <c r="A2746" t="str">
        <f t="shared" si="718"/>
        <v>048314</v>
      </c>
      <c r="B2746" t="str">
        <f t="shared" si="729"/>
        <v>070417</v>
      </c>
      <c r="C2746" t="s">
        <v>2783</v>
      </c>
      <c r="D2746" t="s">
        <v>3839</v>
      </c>
      <c r="E2746" t="s">
        <v>3840</v>
      </c>
      <c r="F2746" t="s">
        <v>3841</v>
      </c>
      <c r="G2746" t="s">
        <v>3842</v>
      </c>
      <c r="H2746" t="str">
        <f t="shared" si="726"/>
        <v>048314</v>
      </c>
      <c r="I2746" t="s">
        <v>833</v>
      </c>
      <c r="J2746" t="str">
        <f t="shared" si="732"/>
        <v>2015-07-01 00:00:00.0</v>
      </c>
      <c r="K2746" t="s">
        <v>834</v>
      </c>
      <c r="L2746" t="s">
        <v>0</v>
      </c>
      <c r="M2746" t="str">
        <f t="shared" si="723"/>
        <v>048314</v>
      </c>
      <c r="N2746">
        <v>1</v>
      </c>
      <c r="O2746">
        <v>1</v>
      </c>
      <c r="P2746" t="str">
        <f>"07"</f>
        <v>07</v>
      </c>
      <c r="Q2746" t="s">
        <v>835</v>
      </c>
      <c r="S2746" t="s">
        <v>836</v>
      </c>
      <c r="T2746" t="s">
        <v>836</v>
      </c>
      <c r="U2746" t="str">
        <f t="shared" si="733"/>
        <v>2500-12-31 00:00:00.0</v>
      </c>
      <c r="V2746" t="s">
        <v>837</v>
      </c>
      <c r="W2746" t="str">
        <f t="shared" si="734"/>
        <v>048314-070417-**-**</v>
      </c>
      <c r="X2746" t="s">
        <v>838</v>
      </c>
      <c r="Y2746">
        <v>1125</v>
      </c>
      <c r="Z2746">
        <v>1125</v>
      </c>
      <c r="AA2746" t="str">
        <f t="shared" si="728"/>
        <v>06/08/2016</v>
      </c>
    </row>
    <row r="2747" spans="1:27" x14ac:dyDescent="0.3">
      <c r="A2747" t="str">
        <f t="shared" si="718"/>
        <v>048314</v>
      </c>
      <c r="B2747" t="str">
        <f t="shared" si="729"/>
        <v>070417</v>
      </c>
      <c r="C2747" t="s">
        <v>2903</v>
      </c>
      <c r="D2747" t="s">
        <v>3839</v>
      </c>
      <c r="E2747" t="s">
        <v>3840</v>
      </c>
      <c r="F2747" t="s">
        <v>3841</v>
      </c>
      <c r="G2747" t="s">
        <v>3842</v>
      </c>
      <c r="H2747" t="str">
        <f t="shared" si="726"/>
        <v>048314</v>
      </c>
      <c r="I2747" t="s">
        <v>833</v>
      </c>
      <c r="J2747" t="str">
        <f t="shared" si="732"/>
        <v>2015-07-01 00:00:00.0</v>
      </c>
      <c r="K2747" t="s">
        <v>834</v>
      </c>
      <c r="L2747" t="s">
        <v>0</v>
      </c>
      <c r="M2747" t="str">
        <f t="shared" si="723"/>
        <v>048314</v>
      </c>
      <c r="N2747">
        <v>1</v>
      </c>
      <c r="O2747">
        <v>1</v>
      </c>
      <c r="P2747" t="str">
        <f>"06"</f>
        <v>06</v>
      </c>
      <c r="Q2747" t="s">
        <v>835</v>
      </c>
      <c r="S2747" t="s">
        <v>836</v>
      </c>
      <c r="T2747" t="s">
        <v>836</v>
      </c>
      <c r="U2747" t="str">
        <f t="shared" si="733"/>
        <v>2500-12-31 00:00:00.0</v>
      </c>
      <c r="V2747" t="s">
        <v>837</v>
      </c>
      <c r="W2747" t="str">
        <f t="shared" si="734"/>
        <v>048314-070417-**-**</v>
      </c>
      <c r="X2747" t="s">
        <v>838</v>
      </c>
      <c r="Y2747">
        <v>1125</v>
      </c>
      <c r="Z2747">
        <v>1125</v>
      </c>
      <c r="AA2747" t="str">
        <f t="shared" si="728"/>
        <v>06/08/2016</v>
      </c>
    </row>
    <row r="2748" spans="1:27" x14ac:dyDescent="0.3">
      <c r="A2748" t="str">
        <f t="shared" si="718"/>
        <v>048314</v>
      </c>
      <c r="B2748" t="str">
        <f t="shared" si="729"/>
        <v>070417</v>
      </c>
      <c r="C2748" t="s">
        <v>2451</v>
      </c>
      <c r="D2748" t="s">
        <v>3839</v>
      </c>
      <c r="E2748" t="s">
        <v>3840</v>
      </c>
      <c r="F2748" t="s">
        <v>3841</v>
      </c>
      <c r="G2748" t="s">
        <v>3842</v>
      </c>
      <c r="H2748" t="str">
        <f t="shared" si="726"/>
        <v>048314</v>
      </c>
      <c r="I2748" t="s">
        <v>833</v>
      </c>
      <c r="J2748" t="str">
        <f t="shared" si="732"/>
        <v>2015-07-01 00:00:00.0</v>
      </c>
      <c r="K2748" t="s">
        <v>834</v>
      </c>
      <c r="L2748" t="s">
        <v>0</v>
      </c>
      <c r="M2748" t="str">
        <f t="shared" si="723"/>
        <v>048314</v>
      </c>
      <c r="N2748">
        <v>1</v>
      </c>
      <c r="O2748">
        <v>1</v>
      </c>
      <c r="P2748" t="str">
        <f>"06"</f>
        <v>06</v>
      </c>
      <c r="Q2748" t="str">
        <f>"10"</f>
        <v>10</v>
      </c>
      <c r="R2748" t="str">
        <f>"2"</f>
        <v>2</v>
      </c>
      <c r="S2748" t="s">
        <v>836</v>
      </c>
      <c r="T2748" t="s">
        <v>836</v>
      </c>
      <c r="U2748" t="str">
        <f t="shared" si="733"/>
        <v>2500-12-31 00:00:00.0</v>
      </c>
      <c r="V2748" t="s">
        <v>837</v>
      </c>
      <c r="W2748" t="str">
        <f t="shared" si="734"/>
        <v>048314-070417-**-**</v>
      </c>
      <c r="X2748" t="s">
        <v>838</v>
      </c>
      <c r="Y2748">
        <v>1125</v>
      </c>
      <c r="Z2748">
        <v>1125</v>
      </c>
      <c r="AA2748" t="str">
        <f t="shared" si="728"/>
        <v>06/08/2016</v>
      </c>
    </row>
    <row r="2749" spans="1:27" x14ac:dyDescent="0.3">
      <c r="A2749" t="str">
        <f t="shared" si="718"/>
        <v>048314</v>
      </c>
      <c r="B2749" t="str">
        <f t="shared" si="729"/>
        <v>070417</v>
      </c>
      <c r="C2749" t="s">
        <v>1957</v>
      </c>
      <c r="D2749" t="s">
        <v>3839</v>
      </c>
      <c r="E2749" t="s">
        <v>3840</v>
      </c>
      <c r="F2749" t="s">
        <v>3841</v>
      </c>
      <c r="G2749" t="s">
        <v>3842</v>
      </c>
      <c r="H2749" t="str">
        <f t="shared" si="726"/>
        <v>048314</v>
      </c>
      <c r="I2749" t="s">
        <v>833</v>
      </c>
      <c r="J2749" t="str">
        <f t="shared" si="732"/>
        <v>2015-07-01 00:00:00.0</v>
      </c>
      <c r="K2749" t="s">
        <v>834</v>
      </c>
      <c r="L2749" t="s">
        <v>0</v>
      </c>
      <c r="M2749" t="str">
        <f t="shared" si="723"/>
        <v>048314</v>
      </c>
      <c r="N2749">
        <v>1</v>
      </c>
      <c r="O2749">
        <v>1</v>
      </c>
      <c r="P2749" t="str">
        <f>"09"</f>
        <v>09</v>
      </c>
      <c r="Q2749" t="str">
        <f>"10"</f>
        <v>10</v>
      </c>
      <c r="R2749" t="str">
        <f>"2"</f>
        <v>2</v>
      </c>
      <c r="S2749" t="s">
        <v>836</v>
      </c>
      <c r="T2749" t="s">
        <v>836</v>
      </c>
      <c r="U2749" t="str">
        <f t="shared" si="733"/>
        <v>2500-12-31 00:00:00.0</v>
      </c>
      <c r="V2749" t="s">
        <v>837</v>
      </c>
      <c r="W2749" t="str">
        <f>"048314-004796-**-**"</f>
        <v>048314-004796-**-**</v>
      </c>
      <c r="X2749" t="s">
        <v>838</v>
      </c>
      <c r="Y2749">
        <v>1254.5</v>
      </c>
      <c r="Z2749">
        <v>1254.5</v>
      </c>
      <c r="AA2749" t="str">
        <f t="shared" si="728"/>
        <v>06/08/2016</v>
      </c>
    </row>
    <row r="2750" spans="1:27" x14ac:dyDescent="0.3">
      <c r="A2750" t="str">
        <f t="shared" si="718"/>
        <v>048314</v>
      </c>
      <c r="B2750" t="str">
        <f t="shared" si="729"/>
        <v>070417</v>
      </c>
      <c r="C2750" t="s">
        <v>962</v>
      </c>
      <c r="D2750" t="s">
        <v>3839</v>
      </c>
      <c r="E2750" t="s">
        <v>3840</v>
      </c>
      <c r="F2750" t="s">
        <v>3841</v>
      </c>
      <c r="G2750" t="s">
        <v>3842</v>
      </c>
      <c r="H2750" t="str">
        <f t="shared" si="726"/>
        <v>048314</v>
      </c>
      <c r="I2750" t="s">
        <v>833</v>
      </c>
      <c r="J2750" t="str">
        <f t="shared" si="732"/>
        <v>2015-07-01 00:00:00.0</v>
      </c>
      <c r="K2750" t="s">
        <v>834</v>
      </c>
      <c r="L2750" t="s">
        <v>0</v>
      </c>
      <c r="M2750" t="str">
        <f t="shared" si="723"/>
        <v>048314</v>
      </c>
      <c r="N2750">
        <v>1</v>
      </c>
      <c r="O2750">
        <v>1</v>
      </c>
      <c r="P2750" t="str">
        <f>"08"</f>
        <v>08</v>
      </c>
      <c r="Q2750" t="s">
        <v>835</v>
      </c>
      <c r="S2750" t="s">
        <v>836</v>
      </c>
      <c r="T2750" t="s">
        <v>836</v>
      </c>
      <c r="U2750" t="str">
        <f t="shared" si="733"/>
        <v>2500-12-31 00:00:00.0</v>
      </c>
      <c r="V2750" t="s">
        <v>837</v>
      </c>
      <c r="W2750" t="str">
        <f>"048314-070417-**-**"</f>
        <v>048314-070417-**-**</v>
      </c>
      <c r="X2750" t="s">
        <v>838</v>
      </c>
      <c r="Y2750">
        <v>1125</v>
      </c>
      <c r="Z2750">
        <v>1125</v>
      </c>
      <c r="AA2750" t="str">
        <f t="shared" si="728"/>
        <v>06/08/2016</v>
      </c>
    </row>
    <row r="2751" spans="1:27" x14ac:dyDescent="0.3">
      <c r="A2751" t="str">
        <f t="shared" si="718"/>
        <v>048314</v>
      </c>
      <c r="B2751" t="str">
        <f t="shared" si="729"/>
        <v>070417</v>
      </c>
      <c r="C2751" t="s">
        <v>1958</v>
      </c>
      <c r="D2751" t="s">
        <v>3839</v>
      </c>
      <c r="E2751" t="s">
        <v>3840</v>
      </c>
      <c r="F2751" t="s">
        <v>3841</v>
      </c>
      <c r="G2751" t="s">
        <v>3842</v>
      </c>
      <c r="H2751" t="str">
        <f t="shared" si="726"/>
        <v>048314</v>
      </c>
      <c r="I2751" t="s">
        <v>833</v>
      </c>
      <c r="J2751" t="str">
        <f t="shared" si="732"/>
        <v>2015-07-01 00:00:00.0</v>
      </c>
      <c r="K2751" t="s">
        <v>834</v>
      </c>
      <c r="L2751" t="s">
        <v>0</v>
      </c>
      <c r="M2751" t="str">
        <f t="shared" si="723"/>
        <v>048314</v>
      </c>
      <c r="N2751">
        <v>1</v>
      </c>
      <c r="O2751">
        <v>1</v>
      </c>
      <c r="P2751" t="str">
        <f>"09"</f>
        <v>09</v>
      </c>
      <c r="Q2751" t="str">
        <f>"10"</f>
        <v>10</v>
      </c>
      <c r="R2751" t="str">
        <f>"2"</f>
        <v>2</v>
      </c>
      <c r="S2751" t="s">
        <v>836</v>
      </c>
      <c r="T2751" t="s">
        <v>836</v>
      </c>
      <c r="U2751" t="str">
        <f t="shared" si="733"/>
        <v>2500-12-31 00:00:00.0</v>
      </c>
      <c r="V2751" t="s">
        <v>837</v>
      </c>
      <c r="W2751" t="str">
        <f>"048314-004796-**-**"</f>
        <v>048314-004796-**-**</v>
      </c>
      <c r="X2751" t="s">
        <v>838</v>
      </c>
      <c r="Y2751">
        <v>1254.5</v>
      </c>
      <c r="Z2751">
        <v>1254.5</v>
      </c>
      <c r="AA2751" t="str">
        <f t="shared" si="728"/>
        <v>06/08/2016</v>
      </c>
    </row>
    <row r="2752" spans="1:27" x14ac:dyDescent="0.3">
      <c r="A2752" t="str">
        <f t="shared" si="718"/>
        <v>048314</v>
      </c>
      <c r="B2752" t="str">
        <f t="shared" si="729"/>
        <v>070417</v>
      </c>
      <c r="C2752" t="s">
        <v>1997</v>
      </c>
      <c r="D2752" t="s">
        <v>3839</v>
      </c>
      <c r="E2752" t="s">
        <v>3840</v>
      </c>
      <c r="F2752" t="s">
        <v>3841</v>
      </c>
      <c r="G2752" t="s">
        <v>3842</v>
      </c>
      <c r="H2752" t="str">
        <f t="shared" si="726"/>
        <v>048314</v>
      </c>
      <c r="I2752" t="s">
        <v>833</v>
      </c>
      <c r="J2752" t="str">
        <f t="shared" si="732"/>
        <v>2015-07-01 00:00:00.0</v>
      </c>
      <c r="K2752" t="s">
        <v>834</v>
      </c>
      <c r="L2752" t="s">
        <v>0</v>
      </c>
      <c r="M2752" t="str">
        <f t="shared" si="723"/>
        <v>048314</v>
      </c>
      <c r="N2752">
        <v>0.68393800000000005</v>
      </c>
      <c r="O2752">
        <v>0.68393800000000005</v>
      </c>
      <c r="P2752" t="str">
        <f>"09"</f>
        <v>09</v>
      </c>
      <c r="Q2752" t="str">
        <f>"10"</f>
        <v>10</v>
      </c>
      <c r="R2752" t="str">
        <f>"2"</f>
        <v>2</v>
      </c>
      <c r="S2752" t="s">
        <v>860</v>
      </c>
      <c r="T2752" t="s">
        <v>836</v>
      </c>
      <c r="U2752" t="str">
        <f>"2016-03-13 00:00:00.0"</f>
        <v>2016-03-13 00:00:00.0</v>
      </c>
      <c r="V2752" t="s">
        <v>837</v>
      </c>
      <c r="W2752" t="str">
        <f>"048314-004796-**-**"</f>
        <v>048314-004796-**-**</v>
      </c>
      <c r="X2752" t="s">
        <v>838</v>
      </c>
      <c r="Y2752">
        <v>858</v>
      </c>
      <c r="Z2752">
        <v>1254.5</v>
      </c>
      <c r="AA2752" t="str">
        <f t="shared" si="728"/>
        <v>06/08/2016</v>
      </c>
    </row>
    <row r="2753" spans="1:27" x14ac:dyDescent="0.3">
      <c r="A2753" t="str">
        <f t="shared" si="718"/>
        <v>048314</v>
      </c>
      <c r="B2753" t="str">
        <f t="shared" si="729"/>
        <v>070417</v>
      </c>
      <c r="C2753" t="s">
        <v>1997</v>
      </c>
      <c r="D2753" t="s">
        <v>3839</v>
      </c>
      <c r="E2753" t="s">
        <v>3840</v>
      </c>
      <c r="F2753" t="s">
        <v>3841</v>
      </c>
      <c r="G2753" t="s">
        <v>3842</v>
      </c>
      <c r="H2753" t="str">
        <f t="shared" si="726"/>
        <v>048314</v>
      </c>
      <c r="I2753" t="s">
        <v>833</v>
      </c>
      <c r="J2753" t="str">
        <f>"2016-03-14 00:00:00.0"</f>
        <v>2016-03-14 00:00:00.0</v>
      </c>
      <c r="K2753" t="s">
        <v>834</v>
      </c>
      <c r="L2753" t="s">
        <v>0</v>
      </c>
      <c r="M2753" t="str">
        <f t="shared" si="723"/>
        <v>048314</v>
      </c>
      <c r="N2753">
        <v>0.31606200000000001</v>
      </c>
      <c r="O2753">
        <v>0.31606200000000001</v>
      </c>
      <c r="P2753" t="str">
        <f>"09"</f>
        <v>09</v>
      </c>
      <c r="Q2753" t="s">
        <v>835</v>
      </c>
      <c r="S2753" t="s">
        <v>860</v>
      </c>
      <c r="T2753" t="s">
        <v>836</v>
      </c>
      <c r="U2753" t="str">
        <f>"2500-12-31 00:00:00.0"</f>
        <v>2500-12-31 00:00:00.0</v>
      </c>
      <c r="V2753" t="s">
        <v>837</v>
      </c>
      <c r="W2753" t="str">
        <f>"048314-004796-**-**"</f>
        <v>048314-004796-**-**</v>
      </c>
      <c r="X2753" t="s">
        <v>838</v>
      </c>
      <c r="Y2753">
        <v>396.5</v>
      </c>
      <c r="Z2753">
        <v>1254.5</v>
      </c>
      <c r="AA2753" t="str">
        <f t="shared" si="728"/>
        <v>06/08/2016</v>
      </c>
    </row>
    <row r="2754" spans="1:27" x14ac:dyDescent="0.3">
      <c r="A2754" t="str">
        <f t="shared" ref="A2754:A2817" si="735">"048314"</f>
        <v>048314</v>
      </c>
      <c r="B2754" t="str">
        <f t="shared" si="729"/>
        <v>070417</v>
      </c>
      <c r="C2754" t="s">
        <v>2299</v>
      </c>
      <c r="D2754" t="s">
        <v>3839</v>
      </c>
      <c r="E2754" t="s">
        <v>3840</v>
      </c>
      <c r="F2754" t="s">
        <v>3841</v>
      </c>
      <c r="G2754" t="s">
        <v>3842</v>
      </c>
      <c r="H2754" t="str">
        <f t="shared" si="726"/>
        <v>048314</v>
      </c>
      <c r="I2754" t="s">
        <v>833</v>
      </c>
      <c r="J2754" t="str">
        <f t="shared" ref="J2754:J2776" si="736">"2015-07-01 00:00:00.0"</f>
        <v>2015-07-01 00:00:00.0</v>
      </c>
      <c r="K2754" t="s">
        <v>834</v>
      </c>
      <c r="L2754" t="s">
        <v>0</v>
      </c>
      <c r="M2754" t="str">
        <f t="shared" si="723"/>
        <v>048314</v>
      </c>
      <c r="N2754">
        <v>1</v>
      </c>
      <c r="O2754">
        <v>1</v>
      </c>
      <c r="P2754" t="str">
        <f>"08"</f>
        <v>08</v>
      </c>
      <c r="Q2754" t="s">
        <v>835</v>
      </c>
      <c r="S2754" t="s">
        <v>836</v>
      </c>
      <c r="T2754" t="s">
        <v>836</v>
      </c>
      <c r="U2754" t="str">
        <f>"2500-12-31 00:00:00.0"</f>
        <v>2500-12-31 00:00:00.0</v>
      </c>
      <c r="V2754" t="s">
        <v>837</v>
      </c>
      <c r="W2754" t="str">
        <f>"048314-070417-**-**"</f>
        <v>048314-070417-**-**</v>
      </c>
      <c r="X2754" t="s">
        <v>838</v>
      </c>
      <c r="Y2754">
        <v>1125</v>
      </c>
      <c r="Z2754">
        <v>1125</v>
      </c>
      <c r="AA2754" t="str">
        <f t="shared" si="728"/>
        <v>06/08/2016</v>
      </c>
    </row>
    <row r="2755" spans="1:27" x14ac:dyDescent="0.3">
      <c r="A2755" t="str">
        <f t="shared" si="735"/>
        <v>048314</v>
      </c>
      <c r="B2755" t="str">
        <f t="shared" si="729"/>
        <v>070417</v>
      </c>
      <c r="C2755" t="s">
        <v>1837</v>
      </c>
      <c r="D2755" t="s">
        <v>3839</v>
      </c>
      <c r="E2755" t="s">
        <v>3840</v>
      </c>
      <c r="F2755" t="s">
        <v>3841</v>
      </c>
      <c r="G2755" t="s">
        <v>3842</v>
      </c>
      <c r="H2755" t="str">
        <f t="shared" si="726"/>
        <v>048314</v>
      </c>
      <c r="I2755" t="s">
        <v>833</v>
      </c>
      <c r="J2755" t="str">
        <f t="shared" si="736"/>
        <v>2015-07-01 00:00:00.0</v>
      </c>
      <c r="K2755" t="s">
        <v>834</v>
      </c>
      <c r="L2755" t="s">
        <v>0</v>
      </c>
      <c r="M2755" t="str">
        <f t="shared" si="723"/>
        <v>048314</v>
      </c>
      <c r="N2755">
        <v>1</v>
      </c>
      <c r="O2755">
        <v>1</v>
      </c>
      <c r="P2755" t="str">
        <f>"09"</f>
        <v>09</v>
      </c>
      <c r="Q2755" t="s">
        <v>835</v>
      </c>
      <c r="S2755" t="s">
        <v>836</v>
      </c>
      <c r="T2755" t="s">
        <v>836</v>
      </c>
      <c r="U2755" t="str">
        <f>"2500-12-31 00:00:00.0"</f>
        <v>2500-12-31 00:00:00.0</v>
      </c>
      <c r="V2755" t="s">
        <v>837</v>
      </c>
      <c r="W2755" t="str">
        <f>"048314-004796-**-**"</f>
        <v>048314-004796-**-**</v>
      </c>
      <c r="X2755" t="s">
        <v>838</v>
      </c>
      <c r="Y2755">
        <v>1254.5</v>
      </c>
      <c r="Z2755">
        <v>1254.5</v>
      </c>
      <c r="AA2755" t="str">
        <f t="shared" si="728"/>
        <v>06/08/2016</v>
      </c>
    </row>
    <row r="2756" spans="1:27" x14ac:dyDescent="0.3">
      <c r="A2756" t="str">
        <f t="shared" si="735"/>
        <v>048314</v>
      </c>
      <c r="B2756" t="str">
        <f t="shared" si="729"/>
        <v>070417</v>
      </c>
      <c r="C2756" t="s">
        <v>1438</v>
      </c>
      <c r="D2756" t="s">
        <v>3839</v>
      </c>
      <c r="E2756" t="s">
        <v>3840</v>
      </c>
      <c r="F2756" t="s">
        <v>3841</v>
      </c>
      <c r="G2756" t="s">
        <v>3842</v>
      </c>
      <c r="H2756" t="str">
        <f>"048363"</f>
        <v>048363</v>
      </c>
      <c r="I2756" t="s">
        <v>833</v>
      </c>
      <c r="J2756" t="str">
        <f t="shared" si="736"/>
        <v>2015-07-01 00:00:00.0</v>
      </c>
      <c r="K2756" t="s">
        <v>834</v>
      </c>
      <c r="L2756" t="s">
        <v>1</v>
      </c>
      <c r="M2756" t="str">
        <f t="shared" si="723"/>
        <v>048314</v>
      </c>
      <c r="N2756">
        <v>0.22493299999999999</v>
      </c>
      <c r="O2756">
        <v>0.22493299999999999</v>
      </c>
      <c r="P2756" t="str">
        <f>"09"</f>
        <v>09</v>
      </c>
      <c r="Q2756" t="s">
        <v>835</v>
      </c>
      <c r="S2756" t="s">
        <v>836</v>
      </c>
      <c r="T2756" t="s">
        <v>836</v>
      </c>
      <c r="U2756" t="str">
        <f>"2015-10-25 00:00:00.0"</f>
        <v>2015-10-25 00:00:00.0</v>
      </c>
      <c r="V2756" t="s">
        <v>837</v>
      </c>
      <c r="W2756" t="str">
        <f>"048363-026229-**-**"</f>
        <v>048363-026229-**-**</v>
      </c>
      <c r="X2756" t="s">
        <v>838</v>
      </c>
      <c r="Y2756">
        <v>253.5</v>
      </c>
      <c r="Z2756">
        <v>1127</v>
      </c>
      <c r="AA2756" t="str">
        <f>"06/15/2016"</f>
        <v>06/15/2016</v>
      </c>
    </row>
    <row r="2757" spans="1:27" x14ac:dyDescent="0.3">
      <c r="A2757" t="str">
        <f t="shared" si="735"/>
        <v>048314</v>
      </c>
      <c r="B2757" t="str">
        <f t="shared" si="729"/>
        <v>070417</v>
      </c>
      <c r="C2757" t="s">
        <v>2049</v>
      </c>
      <c r="D2757" t="s">
        <v>3839</v>
      </c>
      <c r="E2757" t="s">
        <v>3840</v>
      </c>
      <c r="F2757" t="s">
        <v>3841</v>
      </c>
      <c r="G2757" t="s">
        <v>3842</v>
      </c>
      <c r="H2757" t="str">
        <f>"048298"</f>
        <v>048298</v>
      </c>
      <c r="I2757" t="s">
        <v>833</v>
      </c>
      <c r="J2757" t="str">
        <f t="shared" si="736"/>
        <v>2015-07-01 00:00:00.0</v>
      </c>
      <c r="K2757" t="s">
        <v>834</v>
      </c>
      <c r="L2757" t="s">
        <v>1</v>
      </c>
      <c r="M2757" t="str">
        <f t="shared" si="723"/>
        <v>048314</v>
      </c>
      <c r="N2757">
        <v>1</v>
      </c>
      <c r="O2757">
        <v>1</v>
      </c>
      <c r="P2757" t="str">
        <f>"09"</f>
        <v>09</v>
      </c>
      <c r="Q2757" t="s">
        <v>835</v>
      </c>
      <c r="S2757" t="s">
        <v>836</v>
      </c>
      <c r="T2757" t="s">
        <v>836</v>
      </c>
      <c r="U2757" t="str">
        <f t="shared" ref="U2757:U2814" si="737">"2500-12-31 00:00:00.0"</f>
        <v>2500-12-31 00:00:00.0</v>
      </c>
      <c r="V2757" t="s">
        <v>837</v>
      </c>
      <c r="W2757" t="str">
        <f>"048298-011791-**-**"</f>
        <v>048298-011791-**-**</v>
      </c>
      <c r="X2757" t="s">
        <v>838</v>
      </c>
      <c r="Y2757">
        <v>1163.5</v>
      </c>
      <c r="Z2757">
        <v>1163.5</v>
      </c>
      <c r="AA2757" t="str">
        <f>"06/15/2016"</f>
        <v>06/15/2016</v>
      </c>
    </row>
    <row r="2758" spans="1:27" x14ac:dyDescent="0.3">
      <c r="A2758" t="str">
        <f t="shared" si="735"/>
        <v>048314</v>
      </c>
      <c r="B2758" t="str">
        <f t="shared" si="729"/>
        <v>070417</v>
      </c>
      <c r="C2758" t="s">
        <v>2573</v>
      </c>
      <c r="D2758" t="s">
        <v>3839</v>
      </c>
      <c r="E2758" t="s">
        <v>3840</v>
      </c>
      <c r="F2758" t="s">
        <v>3841</v>
      </c>
      <c r="G2758" t="s">
        <v>3842</v>
      </c>
      <c r="H2758" t="str">
        <f>"048298"</f>
        <v>048298</v>
      </c>
      <c r="I2758" t="s">
        <v>833</v>
      </c>
      <c r="J2758" t="str">
        <f t="shared" si="736"/>
        <v>2015-07-01 00:00:00.0</v>
      </c>
      <c r="K2758" t="s">
        <v>834</v>
      </c>
      <c r="L2758" t="s">
        <v>1</v>
      </c>
      <c r="M2758" t="str">
        <f t="shared" si="723"/>
        <v>048314</v>
      </c>
      <c r="N2758">
        <v>1</v>
      </c>
      <c r="O2758">
        <v>1</v>
      </c>
      <c r="P2758" t="str">
        <f>"06"</f>
        <v>06</v>
      </c>
      <c r="Q2758" t="s">
        <v>835</v>
      </c>
      <c r="S2758" t="s">
        <v>836</v>
      </c>
      <c r="T2758" t="s">
        <v>836</v>
      </c>
      <c r="U2758" t="str">
        <f t="shared" si="737"/>
        <v>2500-12-31 00:00:00.0</v>
      </c>
      <c r="V2758" t="s">
        <v>837</v>
      </c>
      <c r="W2758" t="str">
        <f>"048298-001339-**-**"</f>
        <v>048298-001339-**-**</v>
      </c>
      <c r="X2758" t="s">
        <v>838</v>
      </c>
      <c r="Y2758">
        <v>1163.5</v>
      </c>
      <c r="Z2758">
        <v>1163.5</v>
      </c>
      <c r="AA2758" t="str">
        <f>"06/15/2016"</f>
        <v>06/15/2016</v>
      </c>
    </row>
    <row r="2759" spans="1:27" x14ac:dyDescent="0.3">
      <c r="A2759" t="str">
        <f t="shared" si="735"/>
        <v>048314</v>
      </c>
      <c r="B2759" t="str">
        <f t="shared" si="729"/>
        <v>070417</v>
      </c>
      <c r="C2759" t="s">
        <v>2711</v>
      </c>
      <c r="D2759" t="s">
        <v>3839</v>
      </c>
      <c r="E2759" t="s">
        <v>3840</v>
      </c>
      <c r="F2759" t="s">
        <v>3841</v>
      </c>
      <c r="G2759" t="s">
        <v>3842</v>
      </c>
      <c r="H2759" t="str">
        <f t="shared" ref="H2759:H2803" si="738">"048314"</f>
        <v>048314</v>
      </c>
      <c r="I2759" t="s">
        <v>833</v>
      </c>
      <c r="J2759" t="str">
        <f t="shared" si="736"/>
        <v>2015-07-01 00:00:00.0</v>
      </c>
      <c r="K2759" t="s">
        <v>834</v>
      </c>
      <c r="L2759" t="s">
        <v>0</v>
      </c>
      <c r="M2759" t="str">
        <f t="shared" si="723"/>
        <v>048314</v>
      </c>
      <c r="N2759">
        <v>1</v>
      </c>
      <c r="O2759">
        <v>1</v>
      </c>
      <c r="P2759" t="str">
        <f>"07"</f>
        <v>07</v>
      </c>
      <c r="Q2759" t="s">
        <v>835</v>
      </c>
      <c r="S2759" t="s">
        <v>836</v>
      </c>
      <c r="T2759" t="s">
        <v>836</v>
      </c>
      <c r="U2759" t="str">
        <f t="shared" si="737"/>
        <v>2500-12-31 00:00:00.0</v>
      </c>
      <c r="V2759" t="s">
        <v>837</v>
      </c>
      <c r="W2759" t="str">
        <f t="shared" ref="W2759:W2767" si="739">"048314-070417-**-**"</f>
        <v>048314-070417-**-**</v>
      </c>
      <c r="X2759" t="s">
        <v>838</v>
      </c>
      <c r="Y2759">
        <v>1125</v>
      </c>
      <c r="Z2759">
        <v>1125</v>
      </c>
      <c r="AA2759" t="str">
        <f t="shared" ref="AA2759:AA2803" si="740">"06/08/2016"</f>
        <v>06/08/2016</v>
      </c>
    </row>
    <row r="2760" spans="1:27" x14ac:dyDescent="0.3">
      <c r="A2760" t="str">
        <f t="shared" si="735"/>
        <v>048314</v>
      </c>
      <c r="B2760" t="str">
        <f t="shared" si="729"/>
        <v>070417</v>
      </c>
      <c r="C2760" t="s">
        <v>2452</v>
      </c>
      <c r="D2760" t="s">
        <v>3839</v>
      </c>
      <c r="E2760" t="s">
        <v>3840</v>
      </c>
      <c r="F2760" t="s">
        <v>3841</v>
      </c>
      <c r="G2760" t="s">
        <v>3842</v>
      </c>
      <c r="H2760" t="str">
        <f t="shared" si="738"/>
        <v>048314</v>
      </c>
      <c r="I2760" t="s">
        <v>833</v>
      </c>
      <c r="J2760" t="str">
        <f t="shared" si="736"/>
        <v>2015-07-01 00:00:00.0</v>
      </c>
      <c r="K2760" t="s">
        <v>834</v>
      </c>
      <c r="L2760" t="s">
        <v>0</v>
      </c>
      <c r="M2760" t="str">
        <f t="shared" si="723"/>
        <v>048314</v>
      </c>
      <c r="N2760">
        <v>1</v>
      </c>
      <c r="O2760">
        <v>1</v>
      </c>
      <c r="P2760" t="str">
        <f>"08"</f>
        <v>08</v>
      </c>
      <c r="Q2760" t="s">
        <v>835</v>
      </c>
      <c r="S2760" t="s">
        <v>836</v>
      </c>
      <c r="T2760" t="s">
        <v>836</v>
      </c>
      <c r="U2760" t="str">
        <f t="shared" si="737"/>
        <v>2500-12-31 00:00:00.0</v>
      </c>
      <c r="V2760" t="s">
        <v>837</v>
      </c>
      <c r="W2760" t="str">
        <f t="shared" si="739"/>
        <v>048314-070417-**-**</v>
      </c>
      <c r="X2760" t="s">
        <v>838</v>
      </c>
      <c r="Y2760">
        <v>1125</v>
      </c>
      <c r="Z2760">
        <v>1125</v>
      </c>
      <c r="AA2760" t="str">
        <f t="shared" si="740"/>
        <v>06/08/2016</v>
      </c>
    </row>
    <row r="2761" spans="1:27" x14ac:dyDescent="0.3">
      <c r="A2761" t="str">
        <f t="shared" si="735"/>
        <v>048314</v>
      </c>
      <c r="B2761" t="str">
        <f t="shared" si="729"/>
        <v>070417</v>
      </c>
      <c r="C2761" t="s">
        <v>2712</v>
      </c>
      <c r="D2761" t="s">
        <v>3839</v>
      </c>
      <c r="E2761" t="s">
        <v>3840</v>
      </c>
      <c r="F2761" t="s">
        <v>3841</v>
      </c>
      <c r="G2761" t="s">
        <v>3842</v>
      </c>
      <c r="H2761" t="str">
        <f t="shared" si="738"/>
        <v>048314</v>
      </c>
      <c r="I2761" t="s">
        <v>833</v>
      </c>
      <c r="J2761" t="str">
        <f t="shared" si="736"/>
        <v>2015-07-01 00:00:00.0</v>
      </c>
      <c r="K2761" t="s">
        <v>834</v>
      </c>
      <c r="L2761" t="s">
        <v>0</v>
      </c>
      <c r="M2761" t="str">
        <f t="shared" si="723"/>
        <v>048314</v>
      </c>
      <c r="N2761">
        <v>1</v>
      </c>
      <c r="O2761">
        <v>1</v>
      </c>
      <c r="P2761" t="str">
        <f>"07"</f>
        <v>07</v>
      </c>
      <c r="Q2761" t="str">
        <f>"10"</f>
        <v>10</v>
      </c>
      <c r="R2761" t="str">
        <f>"2"</f>
        <v>2</v>
      </c>
      <c r="S2761" t="s">
        <v>836</v>
      </c>
      <c r="T2761" t="s">
        <v>836</v>
      </c>
      <c r="U2761" t="str">
        <f t="shared" si="737"/>
        <v>2500-12-31 00:00:00.0</v>
      </c>
      <c r="V2761" t="s">
        <v>837</v>
      </c>
      <c r="W2761" t="str">
        <f t="shared" si="739"/>
        <v>048314-070417-**-**</v>
      </c>
      <c r="X2761" t="s">
        <v>838</v>
      </c>
      <c r="Y2761">
        <v>1125</v>
      </c>
      <c r="Z2761">
        <v>1125</v>
      </c>
      <c r="AA2761" t="str">
        <f t="shared" si="740"/>
        <v>06/08/2016</v>
      </c>
    </row>
    <row r="2762" spans="1:27" x14ac:dyDescent="0.3">
      <c r="A2762" t="str">
        <f t="shared" si="735"/>
        <v>048314</v>
      </c>
      <c r="B2762" t="str">
        <f t="shared" si="729"/>
        <v>070417</v>
      </c>
      <c r="C2762" t="s">
        <v>2275</v>
      </c>
      <c r="D2762" t="s">
        <v>3839</v>
      </c>
      <c r="E2762" t="s">
        <v>3840</v>
      </c>
      <c r="F2762" t="s">
        <v>3841</v>
      </c>
      <c r="G2762" t="s">
        <v>3842</v>
      </c>
      <c r="H2762" t="str">
        <f t="shared" si="738"/>
        <v>048314</v>
      </c>
      <c r="I2762" t="s">
        <v>833</v>
      </c>
      <c r="J2762" t="str">
        <f t="shared" si="736"/>
        <v>2015-07-01 00:00:00.0</v>
      </c>
      <c r="K2762" t="s">
        <v>834</v>
      </c>
      <c r="L2762" t="s">
        <v>0</v>
      </c>
      <c r="M2762" t="str">
        <f t="shared" si="723"/>
        <v>048314</v>
      </c>
      <c r="N2762">
        <v>1</v>
      </c>
      <c r="O2762">
        <v>1</v>
      </c>
      <c r="P2762" t="str">
        <f>"08"</f>
        <v>08</v>
      </c>
      <c r="Q2762" t="s">
        <v>835</v>
      </c>
      <c r="S2762" t="s">
        <v>836</v>
      </c>
      <c r="T2762" t="s">
        <v>836</v>
      </c>
      <c r="U2762" t="str">
        <f t="shared" si="737"/>
        <v>2500-12-31 00:00:00.0</v>
      </c>
      <c r="V2762" t="s">
        <v>837</v>
      </c>
      <c r="W2762" t="str">
        <f t="shared" si="739"/>
        <v>048314-070417-**-**</v>
      </c>
      <c r="X2762" t="s">
        <v>838</v>
      </c>
      <c r="Y2762">
        <v>1125</v>
      </c>
      <c r="Z2762">
        <v>1125</v>
      </c>
      <c r="AA2762" t="str">
        <f t="shared" si="740"/>
        <v>06/08/2016</v>
      </c>
    </row>
    <row r="2763" spans="1:27" x14ac:dyDescent="0.3">
      <c r="A2763" t="str">
        <f t="shared" si="735"/>
        <v>048314</v>
      </c>
      <c r="B2763" t="str">
        <f t="shared" si="729"/>
        <v>070417</v>
      </c>
      <c r="C2763" t="s">
        <v>2140</v>
      </c>
      <c r="D2763" t="s">
        <v>3839</v>
      </c>
      <c r="E2763" t="s">
        <v>3840</v>
      </c>
      <c r="F2763" t="s">
        <v>3841</v>
      </c>
      <c r="G2763" t="s">
        <v>3842</v>
      </c>
      <c r="H2763" t="str">
        <f t="shared" si="738"/>
        <v>048314</v>
      </c>
      <c r="I2763" t="s">
        <v>833</v>
      </c>
      <c r="J2763" t="str">
        <f t="shared" si="736"/>
        <v>2015-07-01 00:00:00.0</v>
      </c>
      <c r="K2763" t="s">
        <v>834</v>
      </c>
      <c r="L2763" t="s">
        <v>0</v>
      </c>
      <c r="M2763" t="str">
        <f t="shared" si="723"/>
        <v>048314</v>
      </c>
      <c r="N2763">
        <v>1</v>
      </c>
      <c r="O2763">
        <v>1</v>
      </c>
      <c r="P2763" t="str">
        <f>"08"</f>
        <v>08</v>
      </c>
      <c r="Q2763" t="s">
        <v>835</v>
      </c>
      <c r="S2763" t="s">
        <v>836</v>
      </c>
      <c r="T2763" t="s">
        <v>836</v>
      </c>
      <c r="U2763" t="str">
        <f t="shared" si="737"/>
        <v>2500-12-31 00:00:00.0</v>
      </c>
      <c r="V2763" t="s">
        <v>837</v>
      </c>
      <c r="W2763" t="str">
        <f t="shared" si="739"/>
        <v>048314-070417-**-**</v>
      </c>
      <c r="X2763" t="s">
        <v>838</v>
      </c>
      <c r="Y2763">
        <v>1125</v>
      </c>
      <c r="Z2763">
        <v>1125</v>
      </c>
      <c r="AA2763" t="str">
        <f t="shared" si="740"/>
        <v>06/08/2016</v>
      </c>
    </row>
    <row r="2764" spans="1:27" x14ac:dyDescent="0.3">
      <c r="A2764" t="str">
        <f t="shared" si="735"/>
        <v>048314</v>
      </c>
      <c r="B2764" t="str">
        <f t="shared" si="729"/>
        <v>070417</v>
      </c>
      <c r="C2764" t="s">
        <v>2713</v>
      </c>
      <c r="D2764" t="s">
        <v>3839</v>
      </c>
      <c r="E2764" t="s">
        <v>3840</v>
      </c>
      <c r="F2764" t="s">
        <v>3841</v>
      </c>
      <c r="G2764" t="s">
        <v>3842</v>
      </c>
      <c r="H2764" t="str">
        <f t="shared" si="738"/>
        <v>048314</v>
      </c>
      <c r="I2764" t="s">
        <v>833</v>
      </c>
      <c r="J2764" t="str">
        <f t="shared" si="736"/>
        <v>2015-07-01 00:00:00.0</v>
      </c>
      <c r="K2764" t="s">
        <v>834</v>
      </c>
      <c r="L2764" t="s">
        <v>0</v>
      </c>
      <c r="M2764" t="str">
        <f t="shared" si="723"/>
        <v>048314</v>
      </c>
      <c r="N2764">
        <v>1</v>
      </c>
      <c r="O2764">
        <v>1</v>
      </c>
      <c r="P2764" t="str">
        <f>"06"</f>
        <v>06</v>
      </c>
      <c r="Q2764" t="s">
        <v>835</v>
      </c>
      <c r="S2764" t="s">
        <v>836</v>
      </c>
      <c r="T2764" t="s">
        <v>836</v>
      </c>
      <c r="U2764" t="str">
        <f t="shared" si="737"/>
        <v>2500-12-31 00:00:00.0</v>
      </c>
      <c r="V2764" t="s">
        <v>837</v>
      </c>
      <c r="W2764" t="str">
        <f t="shared" si="739"/>
        <v>048314-070417-**-**</v>
      </c>
      <c r="X2764" t="s">
        <v>838</v>
      </c>
      <c r="Y2764">
        <v>1125</v>
      </c>
      <c r="Z2764">
        <v>1125</v>
      </c>
      <c r="AA2764" t="str">
        <f t="shared" si="740"/>
        <v>06/08/2016</v>
      </c>
    </row>
    <row r="2765" spans="1:27" x14ac:dyDescent="0.3">
      <c r="A2765" t="str">
        <f t="shared" si="735"/>
        <v>048314</v>
      </c>
      <c r="B2765" t="str">
        <f t="shared" si="729"/>
        <v>070417</v>
      </c>
      <c r="C2765" t="s">
        <v>1888</v>
      </c>
      <c r="D2765" t="s">
        <v>3839</v>
      </c>
      <c r="E2765" t="s">
        <v>3840</v>
      </c>
      <c r="F2765" t="s">
        <v>3841</v>
      </c>
      <c r="G2765" t="s">
        <v>3842</v>
      </c>
      <c r="H2765" t="str">
        <f t="shared" si="738"/>
        <v>048314</v>
      </c>
      <c r="I2765" t="s">
        <v>833</v>
      </c>
      <c r="J2765" t="str">
        <f t="shared" si="736"/>
        <v>2015-07-01 00:00:00.0</v>
      </c>
      <c r="K2765" t="s">
        <v>834</v>
      </c>
      <c r="L2765" t="s">
        <v>0</v>
      </c>
      <c r="M2765" t="str">
        <f t="shared" si="723"/>
        <v>048314</v>
      </c>
      <c r="N2765">
        <v>1</v>
      </c>
      <c r="O2765">
        <v>1</v>
      </c>
      <c r="P2765" t="str">
        <f>"08"</f>
        <v>08</v>
      </c>
      <c r="Q2765" t="s">
        <v>835</v>
      </c>
      <c r="S2765" t="s">
        <v>836</v>
      </c>
      <c r="T2765" t="s">
        <v>836</v>
      </c>
      <c r="U2765" t="str">
        <f t="shared" si="737"/>
        <v>2500-12-31 00:00:00.0</v>
      </c>
      <c r="V2765" t="s">
        <v>837</v>
      </c>
      <c r="W2765" t="str">
        <f t="shared" si="739"/>
        <v>048314-070417-**-**</v>
      </c>
      <c r="X2765" t="s">
        <v>838</v>
      </c>
      <c r="Y2765">
        <v>1125</v>
      </c>
      <c r="Z2765">
        <v>1125</v>
      </c>
      <c r="AA2765" t="str">
        <f t="shared" si="740"/>
        <v>06/08/2016</v>
      </c>
    </row>
    <row r="2766" spans="1:27" x14ac:dyDescent="0.3">
      <c r="A2766" t="str">
        <f t="shared" si="735"/>
        <v>048314</v>
      </c>
      <c r="B2766" t="str">
        <f t="shared" si="729"/>
        <v>070417</v>
      </c>
      <c r="C2766" t="s">
        <v>2904</v>
      </c>
      <c r="D2766" t="s">
        <v>3839</v>
      </c>
      <c r="E2766" t="s">
        <v>3840</v>
      </c>
      <c r="F2766" t="s">
        <v>3841</v>
      </c>
      <c r="G2766" t="s">
        <v>3842</v>
      </c>
      <c r="H2766" t="str">
        <f t="shared" si="738"/>
        <v>048314</v>
      </c>
      <c r="I2766" t="s">
        <v>833</v>
      </c>
      <c r="J2766" t="str">
        <f t="shared" si="736"/>
        <v>2015-07-01 00:00:00.0</v>
      </c>
      <c r="K2766" t="s">
        <v>834</v>
      </c>
      <c r="L2766" t="s">
        <v>0</v>
      </c>
      <c r="M2766" t="str">
        <f t="shared" si="723"/>
        <v>048314</v>
      </c>
      <c r="N2766">
        <v>1</v>
      </c>
      <c r="O2766">
        <v>1</v>
      </c>
      <c r="P2766" t="str">
        <f>"06"</f>
        <v>06</v>
      </c>
      <c r="Q2766" t="s">
        <v>835</v>
      </c>
      <c r="S2766" t="s">
        <v>836</v>
      </c>
      <c r="T2766" t="s">
        <v>836</v>
      </c>
      <c r="U2766" t="str">
        <f t="shared" si="737"/>
        <v>2500-12-31 00:00:00.0</v>
      </c>
      <c r="V2766" t="s">
        <v>837</v>
      </c>
      <c r="W2766" t="str">
        <f t="shared" si="739"/>
        <v>048314-070417-**-**</v>
      </c>
      <c r="X2766" t="s">
        <v>838</v>
      </c>
      <c r="Y2766">
        <v>1125</v>
      </c>
      <c r="Z2766">
        <v>1125</v>
      </c>
      <c r="AA2766" t="str">
        <f t="shared" si="740"/>
        <v>06/08/2016</v>
      </c>
    </row>
    <row r="2767" spans="1:27" x14ac:dyDescent="0.3">
      <c r="A2767" t="str">
        <f t="shared" si="735"/>
        <v>048314</v>
      </c>
      <c r="B2767" t="str">
        <f t="shared" si="729"/>
        <v>070417</v>
      </c>
      <c r="C2767" t="s">
        <v>2309</v>
      </c>
      <c r="D2767" t="s">
        <v>3839</v>
      </c>
      <c r="E2767" t="s">
        <v>3840</v>
      </c>
      <c r="F2767" t="s">
        <v>3841</v>
      </c>
      <c r="G2767" t="s">
        <v>3842</v>
      </c>
      <c r="H2767" t="str">
        <f t="shared" si="738"/>
        <v>048314</v>
      </c>
      <c r="I2767" t="s">
        <v>833</v>
      </c>
      <c r="J2767" t="str">
        <f t="shared" si="736"/>
        <v>2015-07-01 00:00:00.0</v>
      </c>
      <c r="K2767" t="s">
        <v>834</v>
      </c>
      <c r="L2767" t="s">
        <v>0</v>
      </c>
      <c r="M2767" t="str">
        <f t="shared" si="723"/>
        <v>048314</v>
      </c>
      <c r="N2767">
        <v>1</v>
      </c>
      <c r="O2767">
        <v>1</v>
      </c>
      <c r="P2767" t="str">
        <f>"08"</f>
        <v>08</v>
      </c>
      <c r="Q2767" t="s">
        <v>835</v>
      </c>
      <c r="S2767" t="s">
        <v>836</v>
      </c>
      <c r="T2767" t="s">
        <v>836</v>
      </c>
      <c r="U2767" t="str">
        <f t="shared" si="737"/>
        <v>2500-12-31 00:00:00.0</v>
      </c>
      <c r="V2767" t="s">
        <v>837</v>
      </c>
      <c r="W2767" t="str">
        <f t="shared" si="739"/>
        <v>048314-070417-**-**</v>
      </c>
      <c r="X2767" t="s">
        <v>838</v>
      </c>
      <c r="Y2767">
        <v>1125</v>
      </c>
      <c r="Z2767">
        <v>1125</v>
      </c>
      <c r="AA2767" t="str">
        <f t="shared" si="740"/>
        <v>06/08/2016</v>
      </c>
    </row>
    <row r="2768" spans="1:27" x14ac:dyDescent="0.3">
      <c r="A2768" t="str">
        <f t="shared" si="735"/>
        <v>048314</v>
      </c>
      <c r="B2768" t="str">
        <f t="shared" si="729"/>
        <v>070417</v>
      </c>
      <c r="C2768" t="s">
        <v>1890</v>
      </c>
      <c r="D2768" t="s">
        <v>3839</v>
      </c>
      <c r="E2768" t="s">
        <v>3840</v>
      </c>
      <c r="F2768" t="s">
        <v>3841</v>
      </c>
      <c r="G2768" t="s">
        <v>3842</v>
      </c>
      <c r="H2768" t="str">
        <f t="shared" si="738"/>
        <v>048314</v>
      </c>
      <c r="I2768" t="s">
        <v>833</v>
      </c>
      <c r="J2768" t="str">
        <f t="shared" si="736"/>
        <v>2015-07-01 00:00:00.0</v>
      </c>
      <c r="K2768" t="s">
        <v>834</v>
      </c>
      <c r="L2768" t="s">
        <v>0</v>
      </c>
      <c r="M2768" t="str">
        <f t="shared" si="723"/>
        <v>048314</v>
      </c>
      <c r="N2768">
        <v>1</v>
      </c>
      <c r="O2768">
        <v>1</v>
      </c>
      <c r="P2768" t="str">
        <f>"09"</f>
        <v>09</v>
      </c>
      <c r="Q2768" t="s">
        <v>835</v>
      </c>
      <c r="S2768" t="s">
        <v>836</v>
      </c>
      <c r="T2768" t="s">
        <v>836</v>
      </c>
      <c r="U2768" t="str">
        <f t="shared" si="737"/>
        <v>2500-12-31 00:00:00.0</v>
      </c>
      <c r="V2768" t="s">
        <v>837</v>
      </c>
      <c r="W2768" t="str">
        <f>"048314-004796-**-**"</f>
        <v>048314-004796-**-**</v>
      </c>
      <c r="X2768" t="s">
        <v>838</v>
      </c>
      <c r="Y2768">
        <v>1254.5</v>
      </c>
      <c r="Z2768">
        <v>1254.5</v>
      </c>
      <c r="AA2768" t="str">
        <f t="shared" si="740"/>
        <v>06/08/2016</v>
      </c>
    </row>
    <row r="2769" spans="1:27" x14ac:dyDescent="0.3">
      <c r="A2769" t="str">
        <f t="shared" si="735"/>
        <v>048314</v>
      </c>
      <c r="B2769" t="str">
        <f t="shared" si="729"/>
        <v>070417</v>
      </c>
      <c r="C2769" t="s">
        <v>2371</v>
      </c>
      <c r="D2769" t="s">
        <v>3839</v>
      </c>
      <c r="E2769" t="s">
        <v>3840</v>
      </c>
      <c r="F2769" t="s">
        <v>3841</v>
      </c>
      <c r="G2769" t="s">
        <v>3842</v>
      </c>
      <c r="H2769" t="str">
        <f t="shared" si="738"/>
        <v>048314</v>
      </c>
      <c r="I2769" t="s">
        <v>833</v>
      </c>
      <c r="J2769" t="str">
        <f t="shared" si="736"/>
        <v>2015-07-01 00:00:00.0</v>
      </c>
      <c r="K2769" t="s">
        <v>834</v>
      </c>
      <c r="L2769" t="s">
        <v>0</v>
      </c>
      <c r="M2769" t="str">
        <f t="shared" si="723"/>
        <v>048314</v>
      </c>
      <c r="N2769">
        <v>1</v>
      </c>
      <c r="O2769">
        <v>1</v>
      </c>
      <c r="P2769" t="str">
        <f>"07"</f>
        <v>07</v>
      </c>
      <c r="Q2769" t="s">
        <v>835</v>
      </c>
      <c r="S2769" t="s">
        <v>836</v>
      </c>
      <c r="T2769" t="s">
        <v>836</v>
      </c>
      <c r="U2769" t="str">
        <f t="shared" si="737"/>
        <v>2500-12-31 00:00:00.0</v>
      </c>
      <c r="V2769" t="s">
        <v>837</v>
      </c>
      <c r="W2769" t="str">
        <f>"048314-070417-**-**"</f>
        <v>048314-070417-**-**</v>
      </c>
      <c r="X2769" t="s">
        <v>838</v>
      </c>
      <c r="Y2769">
        <v>1125</v>
      </c>
      <c r="Z2769">
        <v>1125</v>
      </c>
      <c r="AA2769" t="str">
        <f t="shared" si="740"/>
        <v>06/08/2016</v>
      </c>
    </row>
    <row r="2770" spans="1:27" x14ac:dyDescent="0.3">
      <c r="A2770" t="str">
        <f t="shared" si="735"/>
        <v>048314</v>
      </c>
      <c r="B2770" t="str">
        <f t="shared" si="729"/>
        <v>070417</v>
      </c>
      <c r="C2770" t="s">
        <v>2714</v>
      </c>
      <c r="D2770" t="s">
        <v>3839</v>
      </c>
      <c r="E2770" t="s">
        <v>3840</v>
      </c>
      <c r="F2770" t="s">
        <v>3841</v>
      </c>
      <c r="G2770" t="s">
        <v>3842</v>
      </c>
      <c r="H2770" t="str">
        <f t="shared" si="738"/>
        <v>048314</v>
      </c>
      <c r="I2770" t="s">
        <v>833</v>
      </c>
      <c r="J2770" t="str">
        <f t="shared" si="736"/>
        <v>2015-07-01 00:00:00.0</v>
      </c>
      <c r="K2770" t="s">
        <v>834</v>
      </c>
      <c r="L2770" t="s">
        <v>0</v>
      </c>
      <c r="M2770" t="str">
        <f t="shared" si="723"/>
        <v>048314</v>
      </c>
      <c r="N2770">
        <v>1</v>
      </c>
      <c r="O2770">
        <v>1</v>
      </c>
      <c r="P2770" t="str">
        <f>"06"</f>
        <v>06</v>
      </c>
      <c r="Q2770" t="s">
        <v>835</v>
      </c>
      <c r="S2770" t="s">
        <v>836</v>
      </c>
      <c r="T2770" t="s">
        <v>836</v>
      </c>
      <c r="U2770" t="str">
        <f t="shared" si="737"/>
        <v>2500-12-31 00:00:00.0</v>
      </c>
      <c r="V2770" t="s">
        <v>837</v>
      </c>
      <c r="W2770" t="str">
        <f>"048314-070417-**-**"</f>
        <v>048314-070417-**-**</v>
      </c>
      <c r="X2770" t="s">
        <v>838</v>
      </c>
      <c r="Y2770">
        <v>1125</v>
      </c>
      <c r="Z2770">
        <v>1125</v>
      </c>
      <c r="AA2770" t="str">
        <f t="shared" si="740"/>
        <v>06/08/2016</v>
      </c>
    </row>
    <row r="2771" spans="1:27" x14ac:dyDescent="0.3">
      <c r="A2771" t="str">
        <f t="shared" si="735"/>
        <v>048314</v>
      </c>
      <c r="B2771" t="str">
        <f t="shared" si="729"/>
        <v>070417</v>
      </c>
      <c r="C2771" t="s">
        <v>3136</v>
      </c>
      <c r="D2771" t="s">
        <v>3839</v>
      </c>
      <c r="E2771" t="s">
        <v>3840</v>
      </c>
      <c r="F2771" t="s">
        <v>3841</v>
      </c>
      <c r="G2771" t="s">
        <v>3842</v>
      </c>
      <c r="H2771" t="str">
        <f t="shared" si="738"/>
        <v>048314</v>
      </c>
      <c r="I2771" t="s">
        <v>833</v>
      </c>
      <c r="J2771" t="str">
        <f t="shared" si="736"/>
        <v>2015-07-01 00:00:00.0</v>
      </c>
      <c r="K2771" t="s">
        <v>834</v>
      </c>
      <c r="L2771" t="s">
        <v>0</v>
      </c>
      <c r="M2771" t="str">
        <f t="shared" si="723"/>
        <v>048314</v>
      </c>
      <c r="N2771">
        <v>1</v>
      </c>
      <c r="O2771">
        <v>1</v>
      </c>
      <c r="P2771" t="str">
        <f>"07"</f>
        <v>07</v>
      </c>
      <c r="Q2771" t="s">
        <v>835</v>
      </c>
      <c r="S2771" t="s">
        <v>836</v>
      </c>
      <c r="T2771" t="s">
        <v>836</v>
      </c>
      <c r="U2771" t="str">
        <f t="shared" si="737"/>
        <v>2500-12-31 00:00:00.0</v>
      </c>
      <c r="V2771" t="s">
        <v>837</v>
      </c>
      <c r="W2771" t="str">
        <f>"048314-070417-**-**"</f>
        <v>048314-070417-**-**</v>
      </c>
      <c r="X2771" t="s">
        <v>838</v>
      </c>
      <c r="Y2771">
        <v>1125</v>
      </c>
      <c r="Z2771">
        <v>1125</v>
      </c>
      <c r="AA2771" t="str">
        <f t="shared" si="740"/>
        <v>06/08/2016</v>
      </c>
    </row>
    <row r="2772" spans="1:27" x14ac:dyDescent="0.3">
      <c r="A2772" t="str">
        <f t="shared" si="735"/>
        <v>048314</v>
      </c>
      <c r="B2772" t="str">
        <f t="shared" si="729"/>
        <v>070417</v>
      </c>
      <c r="C2772" t="s">
        <v>2715</v>
      </c>
      <c r="D2772" t="s">
        <v>3839</v>
      </c>
      <c r="E2772" t="s">
        <v>3840</v>
      </c>
      <c r="F2772" t="s">
        <v>3841</v>
      </c>
      <c r="G2772" t="s">
        <v>3842</v>
      </c>
      <c r="H2772" t="str">
        <f t="shared" si="738"/>
        <v>048314</v>
      </c>
      <c r="I2772" t="s">
        <v>833</v>
      </c>
      <c r="J2772" t="str">
        <f t="shared" si="736"/>
        <v>2015-07-01 00:00:00.0</v>
      </c>
      <c r="K2772" t="s">
        <v>834</v>
      </c>
      <c r="L2772" t="s">
        <v>0</v>
      </c>
      <c r="M2772" t="str">
        <f t="shared" si="723"/>
        <v>048314</v>
      </c>
      <c r="N2772">
        <v>1</v>
      </c>
      <c r="O2772">
        <v>1</v>
      </c>
      <c r="P2772" t="str">
        <f>"06"</f>
        <v>06</v>
      </c>
      <c r="Q2772" t="str">
        <f>"15"</f>
        <v>15</v>
      </c>
      <c r="R2772" t="str">
        <f>"2"</f>
        <v>2</v>
      </c>
      <c r="S2772" t="s">
        <v>836</v>
      </c>
      <c r="T2772" t="s">
        <v>836</v>
      </c>
      <c r="U2772" t="str">
        <f t="shared" si="737"/>
        <v>2500-12-31 00:00:00.0</v>
      </c>
      <c r="V2772" t="s">
        <v>837</v>
      </c>
      <c r="W2772" t="str">
        <f>"048314-070417-**-**"</f>
        <v>048314-070417-**-**</v>
      </c>
      <c r="X2772" t="s">
        <v>838</v>
      </c>
      <c r="Y2772">
        <v>1125</v>
      </c>
      <c r="Z2772">
        <v>1125</v>
      </c>
      <c r="AA2772" t="str">
        <f t="shared" si="740"/>
        <v>06/08/2016</v>
      </c>
    </row>
    <row r="2773" spans="1:27" x14ac:dyDescent="0.3">
      <c r="A2773" t="str">
        <f t="shared" si="735"/>
        <v>048314</v>
      </c>
      <c r="B2773" t="str">
        <f t="shared" si="729"/>
        <v>070417</v>
      </c>
      <c r="C2773" t="s">
        <v>1891</v>
      </c>
      <c r="D2773" t="s">
        <v>3839</v>
      </c>
      <c r="E2773" t="s">
        <v>3840</v>
      </c>
      <c r="F2773" t="s">
        <v>3841</v>
      </c>
      <c r="G2773" t="s">
        <v>3842</v>
      </c>
      <c r="H2773" t="str">
        <f t="shared" si="738"/>
        <v>048314</v>
      </c>
      <c r="I2773" t="s">
        <v>833</v>
      </c>
      <c r="J2773" t="str">
        <f t="shared" si="736"/>
        <v>2015-07-01 00:00:00.0</v>
      </c>
      <c r="K2773" t="s">
        <v>834</v>
      </c>
      <c r="L2773" t="s">
        <v>0</v>
      </c>
      <c r="M2773" t="str">
        <f t="shared" si="723"/>
        <v>048314</v>
      </c>
      <c r="N2773">
        <v>1</v>
      </c>
      <c r="O2773">
        <v>1</v>
      </c>
      <c r="P2773" t="str">
        <f>"09"</f>
        <v>09</v>
      </c>
      <c r="Q2773" t="s">
        <v>835</v>
      </c>
      <c r="S2773" t="s">
        <v>836</v>
      </c>
      <c r="T2773" t="s">
        <v>836</v>
      </c>
      <c r="U2773" t="str">
        <f t="shared" si="737"/>
        <v>2500-12-31 00:00:00.0</v>
      </c>
      <c r="V2773" t="s">
        <v>837</v>
      </c>
      <c r="W2773" t="str">
        <f>"048314-004796-**-**"</f>
        <v>048314-004796-**-**</v>
      </c>
      <c r="X2773" t="s">
        <v>838</v>
      </c>
      <c r="Y2773">
        <v>1254.5</v>
      </c>
      <c r="Z2773">
        <v>1254.5</v>
      </c>
      <c r="AA2773" t="str">
        <f t="shared" si="740"/>
        <v>06/08/2016</v>
      </c>
    </row>
    <row r="2774" spans="1:27" x14ac:dyDescent="0.3">
      <c r="A2774" t="str">
        <f t="shared" si="735"/>
        <v>048314</v>
      </c>
      <c r="B2774" t="str">
        <f t="shared" si="729"/>
        <v>070417</v>
      </c>
      <c r="C2774" t="s">
        <v>1471</v>
      </c>
      <c r="D2774" t="s">
        <v>3839</v>
      </c>
      <c r="E2774" t="s">
        <v>3840</v>
      </c>
      <c r="F2774" t="s">
        <v>3841</v>
      </c>
      <c r="G2774" t="s">
        <v>3842</v>
      </c>
      <c r="H2774" t="str">
        <f t="shared" si="738"/>
        <v>048314</v>
      </c>
      <c r="I2774" t="s">
        <v>833</v>
      </c>
      <c r="J2774" t="str">
        <f t="shared" si="736"/>
        <v>2015-07-01 00:00:00.0</v>
      </c>
      <c r="K2774" t="s">
        <v>834</v>
      </c>
      <c r="L2774" t="s">
        <v>0</v>
      </c>
      <c r="M2774" t="str">
        <f t="shared" si="723"/>
        <v>048314</v>
      </c>
      <c r="N2774">
        <v>1</v>
      </c>
      <c r="O2774">
        <v>1</v>
      </c>
      <c r="P2774" t="str">
        <f>"09"</f>
        <v>09</v>
      </c>
      <c r="Q2774" t="s">
        <v>835</v>
      </c>
      <c r="S2774" t="s">
        <v>860</v>
      </c>
      <c r="T2774" t="s">
        <v>836</v>
      </c>
      <c r="U2774" t="str">
        <f t="shared" si="737"/>
        <v>2500-12-31 00:00:00.0</v>
      </c>
      <c r="V2774" t="s">
        <v>837</v>
      </c>
      <c r="W2774" t="str">
        <f>"048314-004796-**-**"</f>
        <v>048314-004796-**-**</v>
      </c>
      <c r="X2774" t="s">
        <v>838</v>
      </c>
      <c r="Y2774">
        <v>1254.5</v>
      </c>
      <c r="Z2774">
        <v>1254.5</v>
      </c>
      <c r="AA2774" t="str">
        <f t="shared" si="740"/>
        <v>06/08/2016</v>
      </c>
    </row>
    <row r="2775" spans="1:27" x14ac:dyDescent="0.3">
      <c r="A2775" t="str">
        <f t="shared" si="735"/>
        <v>048314</v>
      </c>
      <c r="B2775" t="str">
        <f t="shared" si="729"/>
        <v>070417</v>
      </c>
      <c r="C2775" t="s">
        <v>1278</v>
      </c>
      <c r="D2775" t="s">
        <v>3839</v>
      </c>
      <c r="E2775" t="s">
        <v>3840</v>
      </c>
      <c r="F2775" t="s">
        <v>3841</v>
      </c>
      <c r="G2775" t="s">
        <v>3842</v>
      </c>
      <c r="H2775" t="str">
        <f t="shared" si="738"/>
        <v>048314</v>
      </c>
      <c r="I2775" t="s">
        <v>833</v>
      </c>
      <c r="J2775" t="str">
        <f t="shared" si="736"/>
        <v>2015-07-01 00:00:00.0</v>
      </c>
      <c r="K2775" t="s">
        <v>834</v>
      </c>
      <c r="L2775" t="s">
        <v>0</v>
      </c>
      <c r="M2775" t="str">
        <f t="shared" ref="M2775:M2838" si="741">"048314"</f>
        <v>048314</v>
      </c>
      <c r="N2775">
        <v>1</v>
      </c>
      <c r="O2775">
        <v>1</v>
      </c>
      <c r="P2775" t="str">
        <f>"09"</f>
        <v>09</v>
      </c>
      <c r="Q2775" t="str">
        <f>"12"</f>
        <v>12</v>
      </c>
      <c r="R2775" t="str">
        <f>"6"</f>
        <v>6</v>
      </c>
      <c r="S2775" t="s">
        <v>836</v>
      </c>
      <c r="T2775" t="s">
        <v>836</v>
      </c>
      <c r="U2775" t="str">
        <f t="shared" si="737"/>
        <v>2500-12-31 00:00:00.0</v>
      </c>
      <c r="V2775" t="s">
        <v>837</v>
      </c>
      <c r="W2775" t="str">
        <f>"048314-004796-**-**"</f>
        <v>048314-004796-**-**</v>
      </c>
      <c r="X2775" t="s">
        <v>838</v>
      </c>
      <c r="Y2775">
        <v>1254.5</v>
      </c>
      <c r="Z2775">
        <v>1254.5</v>
      </c>
      <c r="AA2775" t="str">
        <f t="shared" si="740"/>
        <v>06/08/2016</v>
      </c>
    </row>
    <row r="2776" spans="1:27" x14ac:dyDescent="0.3">
      <c r="A2776" t="str">
        <f t="shared" si="735"/>
        <v>048314</v>
      </c>
      <c r="B2776" t="str">
        <f t="shared" si="729"/>
        <v>070417</v>
      </c>
      <c r="C2776" t="s">
        <v>1892</v>
      </c>
      <c r="D2776" t="s">
        <v>3839</v>
      </c>
      <c r="E2776" t="s">
        <v>3840</v>
      </c>
      <c r="F2776" t="s">
        <v>3841</v>
      </c>
      <c r="G2776" t="s">
        <v>3842</v>
      </c>
      <c r="H2776" t="str">
        <f t="shared" si="738"/>
        <v>048314</v>
      </c>
      <c r="I2776" t="s">
        <v>833</v>
      </c>
      <c r="J2776" t="str">
        <f t="shared" si="736"/>
        <v>2015-07-01 00:00:00.0</v>
      </c>
      <c r="K2776" t="s">
        <v>834</v>
      </c>
      <c r="L2776" t="s">
        <v>0</v>
      </c>
      <c r="M2776" t="str">
        <f t="shared" si="741"/>
        <v>048314</v>
      </c>
      <c r="N2776">
        <v>1</v>
      </c>
      <c r="O2776">
        <v>1</v>
      </c>
      <c r="P2776" t="str">
        <f>"09"</f>
        <v>09</v>
      </c>
      <c r="Q2776" t="s">
        <v>835</v>
      </c>
      <c r="S2776" t="s">
        <v>836</v>
      </c>
      <c r="T2776" t="s">
        <v>836</v>
      </c>
      <c r="U2776" t="str">
        <f t="shared" si="737"/>
        <v>2500-12-31 00:00:00.0</v>
      </c>
      <c r="V2776" t="s">
        <v>837</v>
      </c>
      <c r="W2776" t="str">
        <f>"048314-004796-**-**"</f>
        <v>048314-004796-**-**</v>
      </c>
      <c r="X2776" t="s">
        <v>838</v>
      </c>
      <c r="Y2776">
        <v>1254.5</v>
      </c>
      <c r="Z2776">
        <v>1254.5</v>
      </c>
      <c r="AA2776" t="str">
        <f t="shared" si="740"/>
        <v>06/08/2016</v>
      </c>
    </row>
    <row r="2777" spans="1:27" x14ac:dyDescent="0.3">
      <c r="A2777" t="str">
        <f t="shared" si="735"/>
        <v>048314</v>
      </c>
      <c r="B2777" t="str">
        <f t="shared" si="729"/>
        <v>070417</v>
      </c>
      <c r="C2777" t="s">
        <v>928</v>
      </c>
      <c r="D2777" t="s">
        <v>3839</v>
      </c>
      <c r="E2777" t="s">
        <v>3840</v>
      </c>
      <c r="F2777" t="s">
        <v>3841</v>
      </c>
      <c r="G2777" t="s">
        <v>3842</v>
      </c>
      <c r="H2777" t="str">
        <f t="shared" si="738"/>
        <v>048314</v>
      </c>
      <c r="I2777" t="s">
        <v>833</v>
      </c>
      <c r="J2777" t="str">
        <f>"2016-04-11 00:00:00.0"</f>
        <v>2016-04-11 00:00:00.0</v>
      </c>
      <c r="K2777" t="s">
        <v>834</v>
      </c>
      <c r="L2777" t="s">
        <v>0</v>
      </c>
      <c r="M2777" t="str">
        <f t="shared" si="741"/>
        <v>048314</v>
      </c>
      <c r="N2777">
        <v>0.23888899999999999</v>
      </c>
      <c r="O2777">
        <v>0.23888899999999999</v>
      </c>
      <c r="P2777" t="str">
        <f>"06"</f>
        <v>06</v>
      </c>
      <c r="Q2777" t="str">
        <f>"13"</f>
        <v>13</v>
      </c>
      <c r="R2777" t="str">
        <f>"6"</f>
        <v>6</v>
      </c>
      <c r="S2777" t="s">
        <v>836</v>
      </c>
      <c r="T2777" t="s">
        <v>836</v>
      </c>
      <c r="U2777" t="str">
        <f t="shared" si="737"/>
        <v>2500-12-31 00:00:00.0</v>
      </c>
      <c r="V2777" t="s">
        <v>837</v>
      </c>
      <c r="W2777" t="str">
        <f>"048314-070417-**-**"</f>
        <v>048314-070417-**-**</v>
      </c>
      <c r="X2777" t="s">
        <v>838</v>
      </c>
      <c r="Y2777">
        <v>268.75</v>
      </c>
      <c r="Z2777">
        <v>1125</v>
      </c>
      <c r="AA2777" t="str">
        <f t="shared" si="740"/>
        <v>06/08/2016</v>
      </c>
    </row>
    <row r="2778" spans="1:27" x14ac:dyDescent="0.3">
      <c r="A2778" t="str">
        <f t="shared" si="735"/>
        <v>048314</v>
      </c>
      <c r="B2778" t="str">
        <f t="shared" si="729"/>
        <v>070417</v>
      </c>
      <c r="C2778" t="s">
        <v>2557</v>
      </c>
      <c r="D2778" t="s">
        <v>3839</v>
      </c>
      <c r="E2778" t="s">
        <v>3840</v>
      </c>
      <c r="F2778" t="s">
        <v>3841</v>
      </c>
      <c r="G2778" t="s">
        <v>3842</v>
      </c>
      <c r="H2778" t="str">
        <f t="shared" si="738"/>
        <v>048314</v>
      </c>
      <c r="I2778" t="s">
        <v>833</v>
      </c>
      <c r="J2778" t="str">
        <f>"2016-04-14 00:00:00.0"</f>
        <v>2016-04-14 00:00:00.0</v>
      </c>
      <c r="K2778" t="s">
        <v>834</v>
      </c>
      <c r="L2778" t="s">
        <v>0</v>
      </c>
      <c r="M2778" t="str">
        <f t="shared" si="741"/>
        <v>048314</v>
      </c>
      <c r="N2778">
        <v>0.222222</v>
      </c>
      <c r="O2778">
        <v>0.22033900000000001</v>
      </c>
      <c r="P2778" t="str">
        <f>"08"</f>
        <v>08</v>
      </c>
      <c r="Q2778" t="s">
        <v>835</v>
      </c>
      <c r="S2778" t="s">
        <v>836</v>
      </c>
      <c r="T2778" t="s">
        <v>836</v>
      </c>
      <c r="U2778" t="str">
        <f t="shared" si="737"/>
        <v>2500-12-31 00:00:00.0</v>
      </c>
      <c r="V2778" t="s">
        <v>837</v>
      </c>
      <c r="W2778" t="str">
        <f>"048314-070417-**-**"</f>
        <v>048314-070417-**-**</v>
      </c>
      <c r="X2778" t="s">
        <v>838</v>
      </c>
      <c r="Y2778">
        <v>250</v>
      </c>
      <c r="Z2778">
        <v>1125</v>
      </c>
      <c r="AA2778" t="str">
        <f t="shared" si="740"/>
        <v>06/08/2016</v>
      </c>
    </row>
    <row r="2779" spans="1:27" x14ac:dyDescent="0.3">
      <c r="A2779" t="str">
        <f t="shared" si="735"/>
        <v>048314</v>
      </c>
      <c r="B2779" t="str">
        <f t="shared" si="729"/>
        <v>070417</v>
      </c>
      <c r="C2779" t="s">
        <v>2716</v>
      </c>
      <c r="D2779" t="s">
        <v>3839</v>
      </c>
      <c r="E2779" t="s">
        <v>3840</v>
      </c>
      <c r="F2779" t="s">
        <v>3841</v>
      </c>
      <c r="G2779" t="s">
        <v>3842</v>
      </c>
      <c r="H2779" t="str">
        <f t="shared" si="738"/>
        <v>048314</v>
      </c>
      <c r="I2779" t="s">
        <v>833</v>
      </c>
      <c r="J2779" t="str">
        <f>"2015-07-01 00:00:00.0"</f>
        <v>2015-07-01 00:00:00.0</v>
      </c>
      <c r="K2779" t="s">
        <v>834</v>
      </c>
      <c r="L2779" t="s">
        <v>0</v>
      </c>
      <c r="M2779" t="str">
        <f t="shared" si="741"/>
        <v>048314</v>
      </c>
      <c r="N2779">
        <v>1</v>
      </c>
      <c r="O2779">
        <v>1</v>
      </c>
      <c r="P2779" t="str">
        <f>"06"</f>
        <v>06</v>
      </c>
      <c r="Q2779" t="s">
        <v>835</v>
      </c>
      <c r="S2779" t="s">
        <v>836</v>
      </c>
      <c r="T2779" t="s">
        <v>836</v>
      </c>
      <c r="U2779" t="str">
        <f t="shared" si="737"/>
        <v>2500-12-31 00:00:00.0</v>
      </c>
      <c r="V2779" t="s">
        <v>837</v>
      </c>
      <c r="W2779" t="str">
        <f>"048314-070417-**-**"</f>
        <v>048314-070417-**-**</v>
      </c>
      <c r="X2779" t="s">
        <v>838</v>
      </c>
      <c r="Y2779">
        <v>1125</v>
      </c>
      <c r="Z2779">
        <v>1125</v>
      </c>
      <c r="AA2779" t="str">
        <f t="shared" si="740"/>
        <v>06/08/2016</v>
      </c>
    </row>
    <row r="2780" spans="1:27" x14ac:dyDescent="0.3">
      <c r="A2780" t="str">
        <f t="shared" si="735"/>
        <v>048314</v>
      </c>
      <c r="B2780" t="str">
        <f t="shared" si="729"/>
        <v>070417</v>
      </c>
      <c r="C2780" t="s">
        <v>2141</v>
      </c>
      <c r="D2780" t="s">
        <v>3839</v>
      </c>
      <c r="E2780" t="s">
        <v>3840</v>
      </c>
      <c r="F2780" t="s">
        <v>3841</v>
      </c>
      <c r="G2780" t="s">
        <v>3842</v>
      </c>
      <c r="H2780" t="str">
        <f t="shared" si="738"/>
        <v>048314</v>
      </c>
      <c r="I2780" t="s">
        <v>833</v>
      </c>
      <c r="J2780" t="str">
        <f>"2015-07-01 00:00:00.0"</f>
        <v>2015-07-01 00:00:00.0</v>
      </c>
      <c r="K2780" t="s">
        <v>834</v>
      </c>
      <c r="L2780" t="s">
        <v>0</v>
      </c>
      <c r="M2780" t="str">
        <f t="shared" si="741"/>
        <v>048314</v>
      </c>
      <c r="N2780">
        <v>1</v>
      </c>
      <c r="O2780">
        <v>1</v>
      </c>
      <c r="P2780" t="str">
        <f>"08"</f>
        <v>08</v>
      </c>
      <c r="Q2780" t="s">
        <v>835</v>
      </c>
      <c r="S2780" t="s">
        <v>836</v>
      </c>
      <c r="T2780" t="s">
        <v>836</v>
      </c>
      <c r="U2780" t="str">
        <f t="shared" si="737"/>
        <v>2500-12-31 00:00:00.0</v>
      </c>
      <c r="V2780" t="s">
        <v>837</v>
      </c>
      <c r="W2780" t="str">
        <f>"048314-070417-**-**"</f>
        <v>048314-070417-**-**</v>
      </c>
      <c r="X2780" t="s">
        <v>838</v>
      </c>
      <c r="Y2780">
        <v>1125</v>
      </c>
      <c r="Z2780">
        <v>1125</v>
      </c>
      <c r="AA2780" t="str">
        <f t="shared" si="740"/>
        <v>06/08/2016</v>
      </c>
    </row>
    <row r="2781" spans="1:27" x14ac:dyDescent="0.3">
      <c r="A2781" t="str">
        <f t="shared" si="735"/>
        <v>048314</v>
      </c>
      <c r="B2781" t="str">
        <f t="shared" si="729"/>
        <v>070417</v>
      </c>
      <c r="C2781" t="s">
        <v>2327</v>
      </c>
      <c r="D2781" t="s">
        <v>3839</v>
      </c>
      <c r="E2781" t="s">
        <v>3840</v>
      </c>
      <c r="F2781" t="s">
        <v>3841</v>
      </c>
      <c r="G2781" t="s">
        <v>3842</v>
      </c>
      <c r="H2781" t="str">
        <f t="shared" si="738"/>
        <v>048314</v>
      </c>
      <c r="I2781" t="s">
        <v>833</v>
      </c>
      <c r="J2781" t="str">
        <f>"2015-08-01 00:00:00.0"</f>
        <v>2015-08-01 00:00:00.0</v>
      </c>
      <c r="K2781" t="s">
        <v>834</v>
      </c>
      <c r="L2781" t="s">
        <v>0</v>
      </c>
      <c r="M2781" t="str">
        <f t="shared" si="741"/>
        <v>048314</v>
      </c>
      <c r="N2781">
        <v>1</v>
      </c>
      <c r="O2781">
        <v>1</v>
      </c>
      <c r="P2781" t="str">
        <f>"07"</f>
        <v>07</v>
      </c>
      <c r="Q2781" t="str">
        <f>"10"</f>
        <v>10</v>
      </c>
      <c r="R2781" t="str">
        <f>"2"</f>
        <v>2</v>
      </c>
      <c r="S2781" t="s">
        <v>860</v>
      </c>
      <c r="T2781" t="s">
        <v>836</v>
      </c>
      <c r="U2781" t="str">
        <f t="shared" si="737"/>
        <v>2500-12-31 00:00:00.0</v>
      </c>
      <c r="V2781" t="s">
        <v>837</v>
      </c>
      <c r="W2781" t="str">
        <f>"048314-070417-**-**"</f>
        <v>048314-070417-**-**</v>
      </c>
      <c r="X2781" t="s">
        <v>838</v>
      </c>
      <c r="Y2781">
        <v>1125</v>
      </c>
      <c r="Z2781">
        <v>1125</v>
      </c>
      <c r="AA2781" t="str">
        <f t="shared" si="740"/>
        <v>06/08/2016</v>
      </c>
    </row>
    <row r="2782" spans="1:27" x14ac:dyDescent="0.3">
      <c r="A2782" t="str">
        <f t="shared" si="735"/>
        <v>048314</v>
      </c>
      <c r="B2782" t="str">
        <f t="shared" si="729"/>
        <v>070417</v>
      </c>
      <c r="C2782" t="s">
        <v>1959</v>
      </c>
      <c r="D2782" t="s">
        <v>3839</v>
      </c>
      <c r="E2782" t="s">
        <v>3840</v>
      </c>
      <c r="F2782" t="s">
        <v>3841</v>
      </c>
      <c r="G2782" t="s">
        <v>3842</v>
      </c>
      <c r="H2782" t="str">
        <f t="shared" si="738"/>
        <v>048314</v>
      </c>
      <c r="I2782" t="s">
        <v>833</v>
      </c>
      <c r="J2782" t="str">
        <f t="shared" ref="J2782:J2798" si="742">"2015-07-01 00:00:00.0"</f>
        <v>2015-07-01 00:00:00.0</v>
      </c>
      <c r="K2782" t="s">
        <v>834</v>
      </c>
      <c r="L2782" t="s">
        <v>0</v>
      </c>
      <c r="M2782" t="str">
        <f t="shared" si="741"/>
        <v>048314</v>
      </c>
      <c r="N2782">
        <v>1</v>
      </c>
      <c r="O2782">
        <v>1</v>
      </c>
      <c r="P2782" t="str">
        <f>"09"</f>
        <v>09</v>
      </c>
      <c r="Q2782" t="s">
        <v>835</v>
      </c>
      <c r="S2782" t="s">
        <v>836</v>
      </c>
      <c r="T2782" t="s">
        <v>836</v>
      </c>
      <c r="U2782" t="str">
        <f t="shared" si="737"/>
        <v>2500-12-31 00:00:00.0</v>
      </c>
      <c r="V2782" t="s">
        <v>837</v>
      </c>
      <c r="W2782" t="str">
        <f>"048314-004796-**-**"</f>
        <v>048314-004796-**-**</v>
      </c>
      <c r="X2782" t="s">
        <v>838</v>
      </c>
      <c r="Y2782">
        <v>1254.5</v>
      </c>
      <c r="Z2782">
        <v>1254.5</v>
      </c>
      <c r="AA2782" t="str">
        <f t="shared" si="740"/>
        <v>06/08/2016</v>
      </c>
    </row>
    <row r="2783" spans="1:27" x14ac:dyDescent="0.3">
      <c r="A2783" t="str">
        <f t="shared" si="735"/>
        <v>048314</v>
      </c>
      <c r="B2783" t="str">
        <f t="shared" si="729"/>
        <v>070417</v>
      </c>
      <c r="C2783" t="s">
        <v>2717</v>
      </c>
      <c r="D2783" t="s">
        <v>3839</v>
      </c>
      <c r="E2783" t="s">
        <v>3840</v>
      </c>
      <c r="F2783" t="s">
        <v>3841</v>
      </c>
      <c r="G2783" t="s">
        <v>3842</v>
      </c>
      <c r="H2783" t="str">
        <f t="shared" si="738"/>
        <v>048314</v>
      </c>
      <c r="I2783" t="s">
        <v>833</v>
      </c>
      <c r="J2783" t="str">
        <f t="shared" si="742"/>
        <v>2015-07-01 00:00:00.0</v>
      </c>
      <c r="K2783" t="s">
        <v>834</v>
      </c>
      <c r="L2783" t="s">
        <v>0</v>
      </c>
      <c r="M2783" t="str">
        <f t="shared" si="741"/>
        <v>048314</v>
      </c>
      <c r="N2783">
        <v>1</v>
      </c>
      <c r="O2783">
        <v>1</v>
      </c>
      <c r="P2783" t="str">
        <f>"06"</f>
        <v>06</v>
      </c>
      <c r="Q2783" t="s">
        <v>835</v>
      </c>
      <c r="S2783" t="s">
        <v>836</v>
      </c>
      <c r="T2783" t="s">
        <v>836</v>
      </c>
      <c r="U2783" t="str">
        <f t="shared" si="737"/>
        <v>2500-12-31 00:00:00.0</v>
      </c>
      <c r="V2783" t="s">
        <v>837</v>
      </c>
      <c r="W2783" t="str">
        <f>"048314-070417-**-**"</f>
        <v>048314-070417-**-**</v>
      </c>
      <c r="X2783" t="s">
        <v>838</v>
      </c>
      <c r="Y2783">
        <v>1125</v>
      </c>
      <c r="Z2783">
        <v>1125</v>
      </c>
      <c r="AA2783" t="str">
        <f t="shared" si="740"/>
        <v>06/08/2016</v>
      </c>
    </row>
    <row r="2784" spans="1:27" x14ac:dyDescent="0.3">
      <c r="A2784" t="str">
        <f t="shared" si="735"/>
        <v>048314</v>
      </c>
      <c r="B2784" t="str">
        <f t="shared" si="729"/>
        <v>070417</v>
      </c>
      <c r="C2784" t="s">
        <v>1819</v>
      </c>
      <c r="D2784" t="s">
        <v>3839</v>
      </c>
      <c r="E2784" t="s">
        <v>3840</v>
      </c>
      <c r="F2784" t="s">
        <v>3841</v>
      </c>
      <c r="G2784" t="s">
        <v>3842</v>
      </c>
      <c r="H2784" t="str">
        <f t="shared" si="738"/>
        <v>048314</v>
      </c>
      <c r="I2784" t="s">
        <v>833</v>
      </c>
      <c r="J2784" t="str">
        <f t="shared" si="742"/>
        <v>2015-07-01 00:00:00.0</v>
      </c>
      <c r="K2784" t="s">
        <v>834</v>
      </c>
      <c r="L2784" t="s">
        <v>0</v>
      </c>
      <c r="M2784" t="str">
        <f t="shared" si="741"/>
        <v>048314</v>
      </c>
      <c r="N2784">
        <v>1</v>
      </c>
      <c r="O2784">
        <v>1</v>
      </c>
      <c r="P2784" t="str">
        <f>"07"</f>
        <v>07</v>
      </c>
      <c r="Q2784" t="s">
        <v>835</v>
      </c>
      <c r="S2784" t="s">
        <v>860</v>
      </c>
      <c r="T2784" t="s">
        <v>836</v>
      </c>
      <c r="U2784" t="str">
        <f t="shared" si="737"/>
        <v>2500-12-31 00:00:00.0</v>
      </c>
      <c r="V2784" t="s">
        <v>837</v>
      </c>
      <c r="W2784" t="str">
        <f>"048314-070417-**-**"</f>
        <v>048314-070417-**-**</v>
      </c>
      <c r="X2784" t="s">
        <v>838</v>
      </c>
      <c r="Y2784">
        <v>1125</v>
      </c>
      <c r="Z2784">
        <v>1125</v>
      </c>
      <c r="AA2784" t="str">
        <f t="shared" si="740"/>
        <v>06/08/2016</v>
      </c>
    </row>
    <row r="2785" spans="1:27" x14ac:dyDescent="0.3">
      <c r="A2785" t="str">
        <f t="shared" si="735"/>
        <v>048314</v>
      </c>
      <c r="B2785" t="str">
        <f t="shared" si="729"/>
        <v>070417</v>
      </c>
      <c r="C2785" t="s">
        <v>2142</v>
      </c>
      <c r="D2785" t="s">
        <v>3839</v>
      </c>
      <c r="E2785" t="s">
        <v>3840</v>
      </c>
      <c r="F2785" t="s">
        <v>3841</v>
      </c>
      <c r="G2785" t="s">
        <v>3842</v>
      </c>
      <c r="H2785" t="str">
        <f t="shared" si="738"/>
        <v>048314</v>
      </c>
      <c r="I2785" t="s">
        <v>833</v>
      </c>
      <c r="J2785" t="str">
        <f t="shared" si="742"/>
        <v>2015-07-01 00:00:00.0</v>
      </c>
      <c r="K2785" t="s">
        <v>834</v>
      </c>
      <c r="L2785" t="s">
        <v>0</v>
      </c>
      <c r="M2785" t="str">
        <f t="shared" si="741"/>
        <v>048314</v>
      </c>
      <c r="N2785">
        <v>1</v>
      </c>
      <c r="O2785">
        <v>1</v>
      </c>
      <c r="P2785" t="str">
        <f>"08"</f>
        <v>08</v>
      </c>
      <c r="Q2785" t="s">
        <v>835</v>
      </c>
      <c r="S2785" t="s">
        <v>836</v>
      </c>
      <c r="T2785" t="s">
        <v>836</v>
      </c>
      <c r="U2785" t="str">
        <f t="shared" si="737"/>
        <v>2500-12-31 00:00:00.0</v>
      </c>
      <c r="V2785" t="s">
        <v>837</v>
      </c>
      <c r="W2785" t="str">
        <f>"048314-070417-**-**"</f>
        <v>048314-070417-**-**</v>
      </c>
      <c r="X2785" t="s">
        <v>838</v>
      </c>
      <c r="Y2785">
        <v>1125</v>
      </c>
      <c r="Z2785">
        <v>1125</v>
      </c>
      <c r="AA2785" t="str">
        <f t="shared" si="740"/>
        <v>06/08/2016</v>
      </c>
    </row>
    <row r="2786" spans="1:27" x14ac:dyDescent="0.3">
      <c r="A2786" t="str">
        <f t="shared" si="735"/>
        <v>048314</v>
      </c>
      <c r="B2786" t="str">
        <f t="shared" si="729"/>
        <v>070417</v>
      </c>
      <c r="C2786" t="s">
        <v>1987</v>
      </c>
      <c r="D2786" t="s">
        <v>3839</v>
      </c>
      <c r="E2786" t="s">
        <v>3840</v>
      </c>
      <c r="F2786" t="s">
        <v>3841</v>
      </c>
      <c r="G2786" t="s">
        <v>3842</v>
      </c>
      <c r="H2786" t="str">
        <f t="shared" si="738"/>
        <v>048314</v>
      </c>
      <c r="I2786" t="s">
        <v>833</v>
      </c>
      <c r="J2786" t="str">
        <f t="shared" si="742"/>
        <v>2015-07-01 00:00:00.0</v>
      </c>
      <c r="K2786" t="s">
        <v>834</v>
      </c>
      <c r="L2786" t="s">
        <v>0</v>
      </c>
      <c r="M2786" t="str">
        <f t="shared" si="741"/>
        <v>048314</v>
      </c>
      <c r="N2786">
        <v>1</v>
      </c>
      <c r="O2786">
        <v>1</v>
      </c>
      <c r="P2786" t="str">
        <f>"09"</f>
        <v>09</v>
      </c>
      <c r="Q2786" t="s">
        <v>835</v>
      </c>
      <c r="S2786" t="s">
        <v>836</v>
      </c>
      <c r="T2786" t="s">
        <v>836</v>
      </c>
      <c r="U2786" t="str">
        <f t="shared" si="737"/>
        <v>2500-12-31 00:00:00.0</v>
      </c>
      <c r="V2786" t="s">
        <v>837</v>
      </c>
      <c r="W2786" t="str">
        <f>"048314-004796-**-**"</f>
        <v>048314-004796-**-**</v>
      </c>
      <c r="X2786" t="s">
        <v>838</v>
      </c>
      <c r="Y2786">
        <v>1254.5</v>
      </c>
      <c r="Z2786">
        <v>1254.5</v>
      </c>
      <c r="AA2786" t="str">
        <f t="shared" si="740"/>
        <v>06/08/2016</v>
      </c>
    </row>
    <row r="2787" spans="1:27" x14ac:dyDescent="0.3">
      <c r="A2787" t="str">
        <f t="shared" si="735"/>
        <v>048314</v>
      </c>
      <c r="B2787" t="str">
        <f t="shared" si="729"/>
        <v>070417</v>
      </c>
      <c r="C2787" t="s">
        <v>2143</v>
      </c>
      <c r="D2787" t="s">
        <v>3839</v>
      </c>
      <c r="E2787" t="s">
        <v>3840</v>
      </c>
      <c r="F2787" t="s">
        <v>3841</v>
      </c>
      <c r="G2787" t="s">
        <v>3842</v>
      </c>
      <c r="H2787" t="str">
        <f t="shared" si="738"/>
        <v>048314</v>
      </c>
      <c r="I2787" t="s">
        <v>833</v>
      </c>
      <c r="J2787" t="str">
        <f t="shared" si="742"/>
        <v>2015-07-01 00:00:00.0</v>
      </c>
      <c r="K2787" t="s">
        <v>834</v>
      </c>
      <c r="L2787" t="s">
        <v>0</v>
      </c>
      <c r="M2787" t="str">
        <f t="shared" si="741"/>
        <v>048314</v>
      </c>
      <c r="N2787">
        <v>1</v>
      </c>
      <c r="O2787">
        <v>1</v>
      </c>
      <c r="P2787" t="str">
        <f>"08"</f>
        <v>08</v>
      </c>
      <c r="Q2787" t="s">
        <v>835</v>
      </c>
      <c r="S2787" t="s">
        <v>836</v>
      </c>
      <c r="T2787" t="s">
        <v>836</v>
      </c>
      <c r="U2787" t="str">
        <f t="shared" si="737"/>
        <v>2500-12-31 00:00:00.0</v>
      </c>
      <c r="V2787" t="s">
        <v>837</v>
      </c>
      <c r="W2787" t="str">
        <f>"048314-070417-**-**"</f>
        <v>048314-070417-**-**</v>
      </c>
      <c r="X2787" t="s">
        <v>838</v>
      </c>
      <c r="Y2787">
        <v>1125</v>
      </c>
      <c r="Z2787">
        <v>1125</v>
      </c>
      <c r="AA2787" t="str">
        <f t="shared" si="740"/>
        <v>06/08/2016</v>
      </c>
    </row>
    <row r="2788" spans="1:27" x14ac:dyDescent="0.3">
      <c r="A2788" t="str">
        <f t="shared" si="735"/>
        <v>048314</v>
      </c>
      <c r="B2788" t="str">
        <f t="shared" ref="B2788:B2851" si="743">"070417"</f>
        <v>070417</v>
      </c>
      <c r="C2788" t="s">
        <v>2372</v>
      </c>
      <c r="D2788" t="s">
        <v>3839</v>
      </c>
      <c r="E2788" t="s">
        <v>3840</v>
      </c>
      <c r="F2788" t="s">
        <v>3841</v>
      </c>
      <c r="G2788" t="s">
        <v>3842</v>
      </c>
      <c r="H2788" t="str">
        <f t="shared" si="738"/>
        <v>048314</v>
      </c>
      <c r="I2788" t="s">
        <v>833</v>
      </c>
      <c r="J2788" t="str">
        <f t="shared" si="742"/>
        <v>2015-07-01 00:00:00.0</v>
      </c>
      <c r="K2788" t="s">
        <v>834</v>
      </c>
      <c r="L2788" t="s">
        <v>0</v>
      </c>
      <c r="M2788" t="str">
        <f t="shared" si="741"/>
        <v>048314</v>
      </c>
      <c r="N2788">
        <v>1</v>
      </c>
      <c r="O2788">
        <v>1</v>
      </c>
      <c r="P2788" t="str">
        <f>"07"</f>
        <v>07</v>
      </c>
      <c r="Q2788" t="s">
        <v>835</v>
      </c>
      <c r="S2788" t="s">
        <v>836</v>
      </c>
      <c r="T2788" t="s">
        <v>836</v>
      </c>
      <c r="U2788" t="str">
        <f t="shared" si="737"/>
        <v>2500-12-31 00:00:00.0</v>
      </c>
      <c r="V2788" t="s">
        <v>837</v>
      </c>
      <c r="W2788" t="str">
        <f>"048314-070417-**-**"</f>
        <v>048314-070417-**-**</v>
      </c>
      <c r="X2788" t="s">
        <v>838</v>
      </c>
      <c r="Y2788">
        <v>1125</v>
      </c>
      <c r="Z2788">
        <v>1125</v>
      </c>
      <c r="AA2788" t="str">
        <f t="shared" si="740"/>
        <v>06/08/2016</v>
      </c>
    </row>
    <row r="2789" spans="1:27" x14ac:dyDescent="0.3">
      <c r="A2789" t="str">
        <f t="shared" si="735"/>
        <v>048314</v>
      </c>
      <c r="B2789" t="str">
        <f t="shared" si="743"/>
        <v>070417</v>
      </c>
      <c r="C2789" t="s">
        <v>1983</v>
      </c>
      <c r="D2789" t="s">
        <v>3839</v>
      </c>
      <c r="E2789" t="s">
        <v>3840</v>
      </c>
      <c r="F2789" t="s">
        <v>3841</v>
      </c>
      <c r="G2789" t="s">
        <v>3842</v>
      </c>
      <c r="H2789" t="str">
        <f t="shared" si="738"/>
        <v>048314</v>
      </c>
      <c r="I2789" t="s">
        <v>833</v>
      </c>
      <c r="J2789" t="str">
        <f t="shared" si="742"/>
        <v>2015-07-01 00:00:00.0</v>
      </c>
      <c r="K2789" t="s">
        <v>834</v>
      </c>
      <c r="L2789" t="s">
        <v>0</v>
      </c>
      <c r="M2789" t="str">
        <f t="shared" si="741"/>
        <v>048314</v>
      </c>
      <c r="N2789">
        <v>1</v>
      </c>
      <c r="O2789">
        <v>1</v>
      </c>
      <c r="P2789" t="str">
        <f>"09"</f>
        <v>09</v>
      </c>
      <c r="Q2789" t="s">
        <v>835</v>
      </c>
      <c r="S2789" t="s">
        <v>836</v>
      </c>
      <c r="T2789" t="s">
        <v>836</v>
      </c>
      <c r="U2789" t="str">
        <f t="shared" si="737"/>
        <v>2500-12-31 00:00:00.0</v>
      </c>
      <c r="V2789" t="s">
        <v>837</v>
      </c>
      <c r="W2789" t="str">
        <f>"048314-004796-**-**"</f>
        <v>048314-004796-**-**</v>
      </c>
      <c r="X2789" t="s">
        <v>838</v>
      </c>
      <c r="Y2789">
        <v>1254.5</v>
      </c>
      <c r="Z2789">
        <v>1254.5</v>
      </c>
      <c r="AA2789" t="str">
        <f t="shared" si="740"/>
        <v>06/08/2016</v>
      </c>
    </row>
    <row r="2790" spans="1:27" x14ac:dyDescent="0.3">
      <c r="A2790" t="str">
        <f t="shared" si="735"/>
        <v>048314</v>
      </c>
      <c r="B2790" t="str">
        <f t="shared" si="743"/>
        <v>070417</v>
      </c>
      <c r="C2790" t="s">
        <v>2144</v>
      </c>
      <c r="D2790" t="s">
        <v>3839</v>
      </c>
      <c r="E2790" t="s">
        <v>3840</v>
      </c>
      <c r="F2790" t="s">
        <v>3841</v>
      </c>
      <c r="G2790" t="s">
        <v>3842</v>
      </c>
      <c r="H2790" t="str">
        <f t="shared" si="738"/>
        <v>048314</v>
      </c>
      <c r="I2790" t="s">
        <v>833</v>
      </c>
      <c r="J2790" t="str">
        <f t="shared" si="742"/>
        <v>2015-07-01 00:00:00.0</v>
      </c>
      <c r="K2790" t="s">
        <v>834</v>
      </c>
      <c r="L2790" t="s">
        <v>0</v>
      </c>
      <c r="M2790" t="str">
        <f t="shared" si="741"/>
        <v>048314</v>
      </c>
      <c r="N2790">
        <v>1</v>
      </c>
      <c r="O2790">
        <v>1</v>
      </c>
      <c r="P2790" t="str">
        <f>"08"</f>
        <v>08</v>
      </c>
      <c r="Q2790" t="s">
        <v>835</v>
      </c>
      <c r="S2790" t="s">
        <v>836</v>
      </c>
      <c r="T2790" t="s">
        <v>836</v>
      </c>
      <c r="U2790" t="str">
        <f t="shared" si="737"/>
        <v>2500-12-31 00:00:00.0</v>
      </c>
      <c r="V2790" t="s">
        <v>837</v>
      </c>
      <c r="W2790" t="str">
        <f>"048314-070417-**-**"</f>
        <v>048314-070417-**-**</v>
      </c>
      <c r="X2790" t="s">
        <v>838</v>
      </c>
      <c r="Y2790">
        <v>1125</v>
      </c>
      <c r="Z2790">
        <v>1125</v>
      </c>
      <c r="AA2790" t="str">
        <f t="shared" si="740"/>
        <v>06/08/2016</v>
      </c>
    </row>
    <row r="2791" spans="1:27" x14ac:dyDescent="0.3">
      <c r="A2791" t="str">
        <f t="shared" si="735"/>
        <v>048314</v>
      </c>
      <c r="B2791" t="str">
        <f t="shared" si="743"/>
        <v>070417</v>
      </c>
      <c r="C2791" t="s">
        <v>2718</v>
      </c>
      <c r="D2791" t="s">
        <v>3839</v>
      </c>
      <c r="E2791" t="s">
        <v>3840</v>
      </c>
      <c r="F2791" t="s">
        <v>3841</v>
      </c>
      <c r="G2791" t="s">
        <v>3842</v>
      </c>
      <c r="H2791" t="str">
        <f t="shared" si="738"/>
        <v>048314</v>
      </c>
      <c r="I2791" t="s">
        <v>833</v>
      </c>
      <c r="J2791" t="str">
        <f t="shared" si="742"/>
        <v>2015-07-01 00:00:00.0</v>
      </c>
      <c r="K2791" t="s">
        <v>834</v>
      </c>
      <c r="L2791" t="s">
        <v>0</v>
      </c>
      <c r="M2791" t="str">
        <f t="shared" si="741"/>
        <v>048314</v>
      </c>
      <c r="N2791">
        <v>1</v>
      </c>
      <c r="O2791">
        <v>1</v>
      </c>
      <c r="P2791" t="str">
        <f>"06"</f>
        <v>06</v>
      </c>
      <c r="Q2791" t="s">
        <v>835</v>
      </c>
      <c r="S2791" t="s">
        <v>836</v>
      </c>
      <c r="T2791" t="s">
        <v>836</v>
      </c>
      <c r="U2791" t="str">
        <f t="shared" si="737"/>
        <v>2500-12-31 00:00:00.0</v>
      </c>
      <c r="V2791" t="s">
        <v>837</v>
      </c>
      <c r="W2791" t="str">
        <f>"048314-070417-**-**"</f>
        <v>048314-070417-**-**</v>
      </c>
      <c r="X2791" t="s">
        <v>838</v>
      </c>
      <c r="Y2791">
        <v>1125</v>
      </c>
      <c r="Z2791">
        <v>1125</v>
      </c>
      <c r="AA2791" t="str">
        <f t="shared" si="740"/>
        <v>06/08/2016</v>
      </c>
    </row>
    <row r="2792" spans="1:27" x14ac:dyDescent="0.3">
      <c r="A2792" t="str">
        <f t="shared" si="735"/>
        <v>048314</v>
      </c>
      <c r="B2792" t="str">
        <f t="shared" si="743"/>
        <v>070417</v>
      </c>
      <c r="C2792" t="s">
        <v>1960</v>
      </c>
      <c r="D2792" t="s">
        <v>3839</v>
      </c>
      <c r="E2792" t="s">
        <v>3840</v>
      </c>
      <c r="F2792" t="s">
        <v>3841</v>
      </c>
      <c r="G2792" t="s">
        <v>3842</v>
      </c>
      <c r="H2792" t="str">
        <f t="shared" si="738"/>
        <v>048314</v>
      </c>
      <c r="I2792" t="s">
        <v>833</v>
      </c>
      <c r="J2792" t="str">
        <f t="shared" si="742"/>
        <v>2015-07-01 00:00:00.0</v>
      </c>
      <c r="K2792" t="s">
        <v>834</v>
      </c>
      <c r="L2792" t="s">
        <v>0</v>
      </c>
      <c r="M2792" t="str">
        <f t="shared" si="741"/>
        <v>048314</v>
      </c>
      <c r="N2792">
        <v>1</v>
      </c>
      <c r="O2792">
        <v>1</v>
      </c>
      <c r="P2792" t="str">
        <f>"09"</f>
        <v>09</v>
      </c>
      <c r="Q2792" t="s">
        <v>835</v>
      </c>
      <c r="S2792" t="s">
        <v>836</v>
      </c>
      <c r="T2792" t="s">
        <v>836</v>
      </c>
      <c r="U2792" t="str">
        <f t="shared" si="737"/>
        <v>2500-12-31 00:00:00.0</v>
      </c>
      <c r="V2792" t="s">
        <v>837</v>
      </c>
      <c r="W2792" t="str">
        <f>"048314-004796-**-**"</f>
        <v>048314-004796-**-**</v>
      </c>
      <c r="X2792" t="s">
        <v>838</v>
      </c>
      <c r="Y2792">
        <v>1254.5</v>
      </c>
      <c r="Z2792">
        <v>1254.5</v>
      </c>
      <c r="AA2792" t="str">
        <f t="shared" si="740"/>
        <v>06/08/2016</v>
      </c>
    </row>
    <row r="2793" spans="1:27" x14ac:dyDescent="0.3">
      <c r="A2793" t="str">
        <f t="shared" si="735"/>
        <v>048314</v>
      </c>
      <c r="B2793" t="str">
        <f t="shared" si="743"/>
        <v>070417</v>
      </c>
      <c r="C2793" t="s">
        <v>2719</v>
      </c>
      <c r="D2793" t="s">
        <v>3839</v>
      </c>
      <c r="E2793" t="s">
        <v>3840</v>
      </c>
      <c r="F2793" t="s">
        <v>3841</v>
      </c>
      <c r="G2793" t="s">
        <v>3842</v>
      </c>
      <c r="H2793" t="str">
        <f t="shared" si="738"/>
        <v>048314</v>
      </c>
      <c r="I2793" t="s">
        <v>833</v>
      </c>
      <c r="J2793" t="str">
        <f t="shared" si="742"/>
        <v>2015-07-01 00:00:00.0</v>
      </c>
      <c r="K2793" t="s">
        <v>834</v>
      </c>
      <c r="L2793" t="s">
        <v>0</v>
      </c>
      <c r="M2793" t="str">
        <f t="shared" si="741"/>
        <v>048314</v>
      </c>
      <c r="N2793">
        <v>1</v>
      </c>
      <c r="O2793">
        <v>1</v>
      </c>
      <c r="P2793" t="str">
        <f>"06"</f>
        <v>06</v>
      </c>
      <c r="Q2793" t="s">
        <v>835</v>
      </c>
      <c r="S2793" t="s">
        <v>836</v>
      </c>
      <c r="T2793" t="s">
        <v>836</v>
      </c>
      <c r="U2793" t="str">
        <f t="shared" si="737"/>
        <v>2500-12-31 00:00:00.0</v>
      </c>
      <c r="V2793" t="s">
        <v>837</v>
      </c>
      <c r="W2793" t="str">
        <f>"048314-070417-**-**"</f>
        <v>048314-070417-**-**</v>
      </c>
      <c r="X2793" t="s">
        <v>838</v>
      </c>
      <c r="Y2793">
        <v>1125</v>
      </c>
      <c r="Z2793">
        <v>1125</v>
      </c>
      <c r="AA2793" t="str">
        <f t="shared" si="740"/>
        <v>06/08/2016</v>
      </c>
    </row>
    <row r="2794" spans="1:27" x14ac:dyDescent="0.3">
      <c r="A2794" t="str">
        <f t="shared" si="735"/>
        <v>048314</v>
      </c>
      <c r="B2794" t="str">
        <f t="shared" si="743"/>
        <v>070417</v>
      </c>
      <c r="C2794" t="s">
        <v>3107</v>
      </c>
      <c r="D2794" t="s">
        <v>3839</v>
      </c>
      <c r="E2794" t="s">
        <v>3840</v>
      </c>
      <c r="F2794" t="s">
        <v>3841</v>
      </c>
      <c r="G2794" t="s">
        <v>3842</v>
      </c>
      <c r="H2794" t="str">
        <f t="shared" si="738"/>
        <v>048314</v>
      </c>
      <c r="I2794" t="s">
        <v>833</v>
      </c>
      <c r="J2794" t="str">
        <f t="shared" si="742"/>
        <v>2015-07-01 00:00:00.0</v>
      </c>
      <c r="K2794" t="s">
        <v>834</v>
      </c>
      <c r="L2794" t="s">
        <v>0</v>
      </c>
      <c r="M2794" t="str">
        <f t="shared" si="741"/>
        <v>048314</v>
      </c>
      <c r="N2794">
        <v>1</v>
      </c>
      <c r="O2794">
        <v>1</v>
      </c>
      <c r="P2794" t="str">
        <f>"06"</f>
        <v>06</v>
      </c>
      <c r="Q2794" t="s">
        <v>835</v>
      </c>
      <c r="S2794" t="s">
        <v>836</v>
      </c>
      <c r="T2794" t="s">
        <v>836</v>
      </c>
      <c r="U2794" t="str">
        <f t="shared" si="737"/>
        <v>2500-12-31 00:00:00.0</v>
      </c>
      <c r="V2794" t="s">
        <v>837</v>
      </c>
      <c r="W2794" t="str">
        <f>"048314-070417-**-**"</f>
        <v>048314-070417-**-**</v>
      </c>
      <c r="X2794" t="s">
        <v>838</v>
      </c>
      <c r="Y2794">
        <v>1125</v>
      </c>
      <c r="Z2794">
        <v>1125</v>
      </c>
      <c r="AA2794" t="str">
        <f t="shared" si="740"/>
        <v>06/08/2016</v>
      </c>
    </row>
    <row r="2795" spans="1:27" x14ac:dyDescent="0.3">
      <c r="A2795" t="str">
        <f t="shared" si="735"/>
        <v>048314</v>
      </c>
      <c r="B2795" t="str">
        <f t="shared" si="743"/>
        <v>070417</v>
      </c>
      <c r="C2795" t="s">
        <v>1827</v>
      </c>
      <c r="D2795" t="s">
        <v>3839</v>
      </c>
      <c r="E2795" t="s">
        <v>3840</v>
      </c>
      <c r="F2795" t="s">
        <v>3841</v>
      </c>
      <c r="G2795" t="s">
        <v>3842</v>
      </c>
      <c r="H2795" t="str">
        <f t="shared" si="738"/>
        <v>048314</v>
      </c>
      <c r="I2795" t="s">
        <v>833</v>
      </c>
      <c r="J2795" t="str">
        <f t="shared" si="742"/>
        <v>2015-07-01 00:00:00.0</v>
      </c>
      <c r="K2795" t="s">
        <v>834</v>
      </c>
      <c r="L2795" t="s">
        <v>0</v>
      </c>
      <c r="M2795" t="str">
        <f t="shared" si="741"/>
        <v>048314</v>
      </c>
      <c r="N2795">
        <v>1</v>
      </c>
      <c r="O2795">
        <v>1</v>
      </c>
      <c r="P2795" t="str">
        <f>"09"</f>
        <v>09</v>
      </c>
      <c r="Q2795" t="s">
        <v>835</v>
      </c>
      <c r="S2795" t="s">
        <v>836</v>
      </c>
      <c r="T2795" t="s">
        <v>836</v>
      </c>
      <c r="U2795" t="str">
        <f t="shared" si="737"/>
        <v>2500-12-31 00:00:00.0</v>
      </c>
      <c r="V2795" t="s">
        <v>837</v>
      </c>
      <c r="W2795" t="str">
        <f>"048314-004796-**-**"</f>
        <v>048314-004796-**-**</v>
      </c>
      <c r="X2795" t="s">
        <v>838</v>
      </c>
      <c r="Y2795">
        <v>1254.5</v>
      </c>
      <c r="Z2795">
        <v>1254.5</v>
      </c>
      <c r="AA2795" t="str">
        <f t="shared" si="740"/>
        <v>06/08/2016</v>
      </c>
    </row>
    <row r="2796" spans="1:27" x14ac:dyDescent="0.3">
      <c r="A2796" t="str">
        <f t="shared" si="735"/>
        <v>048314</v>
      </c>
      <c r="B2796" t="str">
        <f t="shared" si="743"/>
        <v>070417</v>
      </c>
      <c r="C2796" t="s">
        <v>2453</v>
      </c>
      <c r="D2796" t="s">
        <v>3839</v>
      </c>
      <c r="E2796" t="s">
        <v>3840</v>
      </c>
      <c r="F2796" t="s">
        <v>3841</v>
      </c>
      <c r="G2796" t="s">
        <v>3842</v>
      </c>
      <c r="H2796" t="str">
        <f t="shared" si="738"/>
        <v>048314</v>
      </c>
      <c r="I2796" t="s">
        <v>833</v>
      </c>
      <c r="J2796" t="str">
        <f t="shared" si="742"/>
        <v>2015-07-01 00:00:00.0</v>
      </c>
      <c r="K2796" t="s">
        <v>834</v>
      </c>
      <c r="L2796" t="s">
        <v>0</v>
      </c>
      <c r="M2796" t="str">
        <f t="shared" si="741"/>
        <v>048314</v>
      </c>
      <c r="N2796">
        <v>1</v>
      </c>
      <c r="O2796">
        <v>1</v>
      </c>
      <c r="P2796" t="str">
        <f>"07"</f>
        <v>07</v>
      </c>
      <c r="Q2796" t="s">
        <v>835</v>
      </c>
      <c r="S2796" t="s">
        <v>836</v>
      </c>
      <c r="T2796" t="s">
        <v>836</v>
      </c>
      <c r="U2796" t="str">
        <f t="shared" si="737"/>
        <v>2500-12-31 00:00:00.0</v>
      </c>
      <c r="V2796" t="s">
        <v>837</v>
      </c>
      <c r="W2796" t="str">
        <f t="shared" ref="W2796:W2801" si="744">"048314-070417-**-**"</f>
        <v>048314-070417-**-**</v>
      </c>
      <c r="X2796" t="s">
        <v>838</v>
      </c>
      <c r="Y2796">
        <v>1125</v>
      </c>
      <c r="Z2796">
        <v>1125</v>
      </c>
      <c r="AA2796" t="str">
        <f t="shared" si="740"/>
        <v>06/08/2016</v>
      </c>
    </row>
    <row r="2797" spans="1:27" x14ac:dyDescent="0.3">
      <c r="A2797" t="str">
        <f t="shared" si="735"/>
        <v>048314</v>
      </c>
      <c r="B2797" t="str">
        <f t="shared" si="743"/>
        <v>070417</v>
      </c>
      <c r="C2797" t="s">
        <v>2373</v>
      </c>
      <c r="D2797" t="s">
        <v>3839</v>
      </c>
      <c r="E2797" t="s">
        <v>3840</v>
      </c>
      <c r="F2797" t="s">
        <v>3841</v>
      </c>
      <c r="G2797" t="s">
        <v>3842</v>
      </c>
      <c r="H2797" t="str">
        <f t="shared" si="738"/>
        <v>048314</v>
      </c>
      <c r="I2797" t="s">
        <v>833</v>
      </c>
      <c r="J2797" t="str">
        <f t="shared" si="742"/>
        <v>2015-07-01 00:00:00.0</v>
      </c>
      <c r="K2797" t="s">
        <v>834</v>
      </c>
      <c r="L2797" t="s">
        <v>0</v>
      </c>
      <c r="M2797" t="str">
        <f t="shared" si="741"/>
        <v>048314</v>
      </c>
      <c r="N2797">
        <v>1</v>
      </c>
      <c r="O2797">
        <v>1</v>
      </c>
      <c r="P2797" t="str">
        <f>"07"</f>
        <v>07</v>
      </c>
      <c r="Q2797" t="s">
        <v>835</v>
      </c>
      <c r="S2797" t="s">
        <v>836</v>
      </c>
      <c r="T2797" t="s">
        <v>836</v>
      </c>
      <c r="U2797" t="str">
        <f t="shared" si="737"/>
        <v>2500-12-31 00:00:00.0</v>
      </c>
      <c r="V2797" t="s">
        <v>837</v>
      </c>
      <c r="W2797" t="str">
        <f t="shared" si="744"/>
        <v>048314-070417-**-**</v>
      </c>
      <c r="X2797" t="s">
        <v>838</v>
      </c>
      <c r="Y2797">
        <v>1125</v>
      </c>
      <c r="Z2797">
        <v>1125</v>
      </c>
      <c r="AA2797" t="str">
        <f t="shared" si="740"/>
        <v>06/08/2016</v>
      </c>
    </row>
    <row r="2798" spans="1:27" x14ac:dyDescent="0.3">
      <c r="A2798" t="str">
        <f t="shared" si="735"/>
        <v>048314</v>
      </c>
      <c r="B2798" t="str">
        <f t="shared" si="743"/>
        <v>070417</v>
      </c>
      <c r="C2798" t="s">
        <v>2907</v>
      </c>
      <c r="D2798" t="s">
        <v>3839</v>
      </c>
      <c r="E2798" t="s">
        <v>3840</v>
      </c>
      <c r="F2798" t="s">
        <v>3841</v>
      </c>
      <c r="G2798" t="s">
        <v>3842</v>
      </c>
      <c r="H2798" t="str">
        <f t="shared" si="738"/>
        <v>048314</v>
      </c>
      <c r="I2798" t="s">
        <v>833</v>
      </c>
      <c r="J2798" t="str">
        <f t="shared" si="742"/>
        <v>2015-07-01 00:00:00.0</v>
      </c>
      <c r="K2798" t="s">
        <v>834</v>
      </c>
      <c r="L2798" t="s">
        <v>0</v>
      </c>
      <c r="M2798" t="str">
        <f t="shared" si="741"/>
        <v>048314</v>
      </c>
      <c r="N2798">
        <v>1</v>
      </c>
      <c r="O2798">
        <v>1</v>
      </c>
      <c r="P2798" t="str">
        <f>"06"</f>
        <v>06</v>
      </c>
      <c r="Q2798" t="s">
        <v>835</v>
      </c>
      <c r="S2798" t="s">
        <v>836</v>
      </c>
      <c r="T2798" t="s">
        <v>836</v>
      </c>
      <c r="U2798" t="str">
        <f t="shared" si="737"/>
        <v>2500-12-31 00:00:00.0</v>
      </c>
      <c r="V2798" t="s">
        <v>837</v>
      </c>
      <c r="W2798" t="str">
        <f t="shared" si="744"/>
        <v>048314-070417-**-**</v>
      </c>
      <c r="X2798" t="s">
        <v>838</v>
      </c>
      <c r="Y2798">
        <v>1125</v>
      </c>
      <c r="Z2798">
        <v>1125</v>
      </c>
      <c r="AA2798" t="str">
        <f t="shared" si="740"/>
        <v>06/08/2016</v>
      </c>
    </row>
    <row r="2799" spans="1:27" x14ac:dyDescent="0.3">
      <c r="A2799" t="str">
        <f t="shared" si="735"/>
        <v>048314</v>
      </c>
      <c r="B2799" t="str">
        <f t="shared" si="743"/>
        <v>070417</v>
      </c>
      <c r="C2799" t="s">
        <v>877</v>
      </c>
      <c r="D2799" t="s">
        <v>3839</v>
      </c>
      <c r="E2799" t="s">
        <v>3840</v>
      </c>
      <c r="F2799" t="s">
        <v>3841</v>
      </c>
      <c r="G2799" t="s">
        <v>3842</v>
      </c>
      <c r="H2799" t="str">
        <f t="shared" si="738"/>
        <v>048314</v>
      </c>
      <c r="I2799" t="s">
        <v>833</v>
      </c>
      <c r="J2799" t="str">
        <f>"2015-08-01 00:00:00.0"</f>
        <v>2015-08-01 00:00:00.0</v>
      </c>
      <c r="K2799" t="s">
        <v>834</v>
      </c>
      <c r="L2799" t="s">
        <v>0</v>
      </c>
      <c r="M2799" t="str">
        <f t="shared" si="741"/>
        <v>048314</v>
      </c>
      <c r="N2799">
        <v>1</v>
      </c>
      <c r="O2799">
        <v>1</v>
      </c>
      <c r="P2799" t="str">
        <f>"07"</f>
        <v>07</v>
      </c>
      <c r="Q2799" t="s">
        <v>835</v>
      </c>
      <c r="S2799" t="s">
        <v>836</v>
      </c>
      <c r="T2799" t="s">
        <v>836</v>
      </c>
      <c r="U2799" t="str">
        <f t="shared" si="737"/>
        <v>2500-12-31 00:00:00.0</v>
      </c>
      <c r="V2799" t="s">
        <v>837</v>
      </c>
      <c r="W2799" t="str">
        <f t="shared" si="744"/>
        <v>048314-070417-**-**</v>
      </c>
      <c r="X2799" t="s">
        <v>838</v>
      </c>
      <c r="Y2799">
        <v>1125</v>
      </c>
      <c r="Z2799">
        <v>1125</v>
      </c>
      <c r="AA2799" t="str">
        <f t="shared" si="740"/>
        <v>06/08/2016</v>
      </c>
    </row>
    <row r="2800" spans="1:27" x14ac:dyDescent="0.3">
      <c r="A2800" t="str">
        <f t="shared" si="735"/>
        <v>048314</v>
      </c>
      <c r="B2800" t="str">
        <f t="shared" si="743"/>
        <v>070417</v>
      </c>
      <c r="C2800" t="s">
        <v>2276</v>
      </c>
      <c r="D2800" t="s">
        <v>3839</v>
      </c>
      <c r="E2800" t="s">
        <v>3840</v>
      </c>
      <c r="F2800" t="s">
        <v>3841</v>
      </c>
      <c r="G2800" t="s">
        <v>3842</v>
      </c>
      <c r="H2800" t="str">
        <f t="shared" si="738"/>
        <v>048314</v>
      </c>
      <c r="I2800" t="s">
        <v>833</v>
      </c>
      <c r="J2800" t="str">
        <f>"2015-07-01 00:00:00.0"</f>
        <v>2015-07-01 00:00:00.0</v>
      </c>
      <c r="K2800" t="s">
        <v>834</v>
      </c>
      <c r="L2800" t="s">
        <v>0</v>
      </c>
      <c r="M2800" t="str">
        <f t="shared" si="741"/>
        <v>048314</v>
      </c>
      <c r="N2800">
        <v>1</v>
      </c>
      <c r="O2800">
        <v>1</v>
      </c>
      <c r="P2800" t="str">
        <f>"08"</f>
        <v>08</v>
      </c>
      <c r="Q2800" t="s">
        <v>835</v>
      </c>
      <c r="S2800" t="s">
        <v>860</v>
      </c>
      <c r="T2800" t="s">
        <v>836</v>
      </c>
      <c r="U2800" t="str">
        <f t="shared" si="737"/>
        <v>2500-12-31 00:00:00.0</v>
      </c>
      <c r="V2800" t="s">
        <v>837</v>
      </c>
      <c r="W2800" t="str">
        <f t="shared" si="744"/>
        <v>048314-070417-**-**</v>
      </c>
      <c r="X2800" t="s">
        <v>838</v>
      </c>
      <c r="Y2800">
        <v>1125</v>
      </c>
      <c r="Z2800">
        <v>1125</v>
      </c>
      <c r="AA2800" t="str">
        <f t="shared" si="740"/>
        <v>06/08/2016</v>
      </c>
    </row>
    <row r="2801" spans="1:27" x14ac:dyDescent="0.3">
      <c r="A2801" t="str">
        <f t="shared" si="735"/>
        <v>048314</v>
      </c>
      <c r="B2801" t="str">
        <f t="shared" si="743"/>
        <v>070417</v>
      </c>
      <c r="C2801" t="s">
        <v>2454</v>
      </c>
      <c r="D2801" t="s">
        <v>3839</v>
      </c>
      <c r="E2801" t="s">
        <v>3840</v>
      </c>
      <c r="F2801" t="s">
        <v>3841</v>
      </c>
      <c r="G2801" t="s">
        <v>3842</v>
      </c>
      <c r="H2801" t="str">
        <f t="shared" si="738"/>
        <v>048314</v>
      </c>
      <c r="I2801" t="s">
        <v>833</v>
      </c>
      <c r="J2801" t="str">
        <f>"2015-07-01 00:00:00.0"</f>
        <v>2015-07-01 00:00:00.0</v>
      </c>
      <c r="K2801" t="s">
        <v>834</v>
      </c>
      <c r="L2801" t="s">
        <v>0</v>
      </c>
      <c r="M2801" t="str">
        <f t="shared" si="741"/>
        <v>048314</v>
      </c>
      <c r="N2801">
        <v>1</v>
      </c>
      <c r="O2801">
        <v>1</v>
      </c>
      <c r="P2801" t="str">
        <f>"07"</f>
        <v>07</v>
      </c>
      <c r="Q2801" t="s">
        <v>835</v>
      </c>
      <c r="S2801" t="s">
        <v>860</v>
      </c>
      <c r="T2801" t="s">
        <v>836</v>
      </c>
      <c r="U2801" t="str">
        <f t="shared" si="737"/>
        <v>2500-12-31 00:00:00.0</v>
      </c>
      <c r="V2801" t="s">
        <v>837</v>
      </c>
      <c r="W2801" t="str">
        <f t="shared" si="744"/>
        <v>048314-070417-**-**</v>
      </c>
      <c r="X2801" t="s">
        <v>838</v>
      </c>
      <c r="Y2801">
        <v>1125</v>
      </c>
      <c r="Z2801">
        <v>1125</v>
      </c>
      <c r="AA2801" t="str">
        <f t="shared" si="740"/>
        <v>06/08/2016</v>
      </c>
    </row>
    <row r="2802" spans="1:27" x14ac:dyDescent="0.3">
      <c r="A2802" t="str">
        <f t="shared" si="735"/>
        <v>048314</v>
      </c>
      <c r="B2802" t="str">
        <f t="shared" si="743"/>
        <v>070417</v>
      </c>
      <c r="C2802" t="s">
        <v>1988</v>
      </c>
      <c r="D2802" t="s">
        <v>3839</v>
      </c>
      <c r="E2802" t="s">
        <v>3840</v>
      </c>
      <c r="F2802" t="s">
        <v>3841</v>
      </c>
      <c r="G2802" t="s">
        <v>3842</v>
      </c>
      <c r="H2802" t="str">
        <f t="shared" si="738"/>
        <v>048314</v>
      </c>
      <c r="I2802" t="s">
        <v>833</v>
      </c>
      <c r="J2802" t="str">
        <f>"2015-07-01 00:00:00.0"</f>
        <v>2015-07-01 00:00:00.0</v>
      </c>
      <c r="K2802" t="s">
        <v>834</v>
      </c>
      <c r="L2802" t="s">
        <v>0</v>
      </c>
      <c r="M2802" t="str">
        <f t="shared" si="741"/>
        <v>048314</v>
      </c>
      <c r="N2802">
        <v>1</v>
      </c>
      <c r="O2802">
        <v>1</v>
      </c>
      <c r="P2802" t="str">
        <f>"09"</f>
        <v>09</v>
      </c>
      <c r="Q2802" t="s">
        <v>835</v>
      </c>
      <c r="S2802" t="s">
        <v>836</v>
      </c>
      <c r="T2802" t="s">
        <v>836</v>
      </c>
      <c r="U2802" t="str">
        <f t="shared" si="737"/>
        <v>2500-12-31 00:00:00.0</v>
      </c>
      <c r="V2802" t="s">
        <v>837</v>
      </c>
      <c r="W2802" t="str">
        <f>"048314-004796-**-**"</f>
        <v>048314-004796-**-**</v>
      </c>
      <c r="X2802" t="s">
        <v>838</v>
      </c>
      <c r="Y2802">
        <v>1254.5</v>
      </c>
      <c r="Z2802">
        <v>1254.5</v>
      </c>
      <c r="AA2802" t="str">
        <f t="shared" si="740"/>
        <v>06/08/2016</v>
      </c>
    </row>
    <row r="2803" spans="1:27" x14ac:dyDescent="0.3">
      <c r="A2803" t="str">
        <f t="shared" si="735"/>
        <v>048314</v>
      </c>
      <c r="B2803" t="str">
        <f t="shared" si="743"/>
        <v>070417</v>
      </c>
      <c r="C2803" t="s">
        <v>1893</v>
      </c>
      <c r="D2803" t="s">
        <v>3839</v>
      </c>
      <c r="E2803" t="s">
        <v>3840</v>
      </c>
      <c r="F2803" t="s">
        <v>3841</v>
      </c>
      <c r="G2803" t="s">
        <v>3842</v>
      </c>
      <c r="H2803" t="str">
        <f t="shared" si="738"/>
        <v>048314</v>
      </c>
      <c r="I2803" t="s">
        <v>833</v>
      </c>
      <c r="J2803" t="str">
        <f>"2015-07-01 00:00:00.0"</f>
        <v>2015-07-01 00:00:00.0</v>
      </c>
      <c r="K2803" t="s">
        <v>834</v>
      </c>
      <c r="L2803" t="s">
        <v>0</v>
      </c>
      <c r="M2803" t="str">
        <f t="shared" si="741"/>
        <v>048314</v>
      </c>
      <c r="N2803">
        <v>1</v>
      </c>
      <c r="O2803">
        <v>1</v>
      </c>
      <c r="P2803" t="str">
        <f>"09"</f>
        <v>09</v>
      </c>
      <c r="Q2803" t="s">
        <v>835</v>
      </c>
      <c r="S2803" t="s">
        <v>836</v>
      </c>
      <c r="T2803" t="s">
        <v>836</v>
      </c>
      <c r="U2803" t="str">
        <f t="shared" si="737"/>
        <v>2500-12-31 00:00:00.0</v>
      </c>
      <c r="V2803" t="s">
        <v>837</v>
      </c>
      <c r="W2803" t="str">
        <f>"048314-004796-**-**"</f>
        <v>048314-004796-**-**</v>
      </c>
      <c r="X2803" t="s">
        <v>838</v>
      </c>
      <c r="Y2803">
        <v>1254.5</v>
      </c>
      <c r="Z2803">
        <v>1254.5</v>
      </c>
      <c r="AA2803" t="str">
        <f t="shared" si="740"/>
        <v>06/08/2016</v>
      </c>
    </row>
    <row r="2804" spans="1:27" x14ac:dyDescent="0.3">
      <c r="A2804" t="str">
        <f t="shared" si="735"/>
        <v>048314</v>
      </c>
      <c r="B2804" t="str">
        <f t="shared" si="743"/>
        <v>070417</v>
      </c>
      <c r="C2804" t="s">
        <v>2218</v>
      </c>
      <c r="D2804" t="s">
        <v>3839</v>
      </c>
      <c r="E2804" t="s">
        <v>3840</v>
      </c>
      <c r="F2804" t="s">
        <v>3841</v>
      </c>
      <c r="G2804" t="s">
        <v>3842</v>
      </c>
      <c r="H2804" t="str">
        <f>"048363"</f>
        <v>048363</v>
      </c>
      <c r="I2804" t="s">
        <v>833</v>
      </c>
      <c r="J2804" t="str">
        <f>"2015-08-06 00:00:00.0"</f>
        <v>2015-08-06 00:00:00.0</v>
      </c>
      <c r="K2804" t="s">
        <v>834</v>
      </c>
      <c r="L2804" t="s">
        <v>1</v>
      </c>
      <c r="M2804" t="str">
        <f t="shared" si="741"/>
        <v>048314</v>
      </c>
      <c r="N2804">
        <v>1</v>
      </c>
      <c r="O2804">
        <v>1</v>
      </c>
      <c r="P2804" t="str">
        <f>"08"</f>
        <v>08</v>
      </c>
      <c r="Q2804" t="s">
        <v>835</v>
      </c>
      <c r="S2804" t="s">
        <v>836</v>
      </c>
      <c r="T2804" t="s">
        <v>836</v>
      </c>
      <c r="U2804" t="str">
        <f t="shared" si="737"/>
        <v>2500-12-31 00:00:00.0</v>
      </c>
      <c r="V2804" t="s">
        <v>837</v>
      </c>
      <c r="W2804" t="str">
        <f>"048363-014522-**-**"</f>
        <v>048363-014522-**-**</v>
      </c>
      <c r="X2804" t="s">
        <v>838</v>
      </c>
      <c r="Y2804">
        <v>1127</v>
      </c>
      <c r="Z2804">
        <v>1127</v>
      </c>
      <c r="AA2804" t="str">
        <f>"06/15/2016"</f>
        <v>06/15/2016</v>
      </c>
    </row>
    <row r="2805" spans="1:27" x14ac:dyDescent="0.3">
      <c r="A2805" t="str">
        <f t="shared" si="735"/>
        <v>048314</v>
      </c>
      <c r="B2805" t="str">
        <f t="shared" si="743"/>
        <v>070417</v>
      </c>
      <c r="C2805" t="s">
        <v>1894</v>
      </c>
      <c r="D2805" t="s">
        <v>3839</v>
      </c>
      <c r="E2805" t="s">
        <v>3840</v>
      </c>
      <c r="F2805" t="s">
        <v>3841</v>
      </c>
      <c r="G2805" t="s">
        <v>3842</v>
      </c>
      <c r="H2805" t="str">
        <f>"048314"</f>
        <v>048314</v>
      </c>
      <c r="I2805" t="s">
        <v>833</v>
      </c>
      <c r="J2805" t="str">
        <f>"2015-07-01 00:00:00.0"</f>
        <v>2015-07-01 00:00:00.0</v>
      </c>
      <c r="K2805" t="s">
        <v>834</v>
      </c>
      <c r="L2805" t="s">
        <v>0</v>
      </c>
      <c r="M2805" t="str">
        <f t="shared" si="741"/>
        <v>048314</v>
      </c>
      <c r="N2805">
        <v>1</v>
      </c>
      <c r="O2805">
        <v>1</v>
      </c>
      <c r="P2805" t="str">
        <f>"09"</f>
        <v>09</v>
      </c>
      <c r="Q2805" t="s">
        <v>835</v>
      </c>
      <c r="S2805" t="s">
        <v>836</v>
      </c>
      <c r="T2805" t="s">
        <v>836</v>
      </c>
      <c r="U2805" t="str">
        <f t="shared" si="737"/>
        <v>2500-12-31 00:00:00.0</v>
      </c>
      <c r="V2805" t="s">
        <v>837</v>
      </c>
      <c r="W2805" t="str">
        <f>"048314-004796-**-**"</f>
        <v>048314-004796-**-**</v>
      </c>
      <c r="X2805" t="s">
        <v>838</v>
      </c>
      <c r="Y2805">
        <v>1254.5</v>
      </c>
      <c r="Z2805">
        <v>1254.5</v>
      </c>
      <c r="AA2805" t="str">
        <f>"06/08/2016"</f>
        <v>06/08/2016</v>
      </c>
    </row>
    <row r="2806" spans="1:27" x14ac:dyDescent="0.3">
      <c r="A2806" t="str">
        <f t="shared" si="735"/>
        <v>048314</v>
      </c>
      <c r="B2806" t="str">
        <f t="shared" si="743"/>
        <v>070417</v>
      </c>
      <c r="C2806" t="s">
        <v>2810</v>
      </c>
      <c r="D2806" t="s">
        <v>3839</v>
      </c>
      <c r="E2806" t="s">
        <v>3840</v>
      </c>
      <c r="F2806" t="s">
        <v>3841</v>
      </c>
      <c r="G2806" t="s">
        <v>3842</v>
      </c>
      <c r="H2806" t="str">
        <f>"048314"</f>
        <v>048314</v>
      </c>
      <c r="I2806" t="s">
        <v>833</v>
      </c>
      <c r="J2806" t="str">
        <f>"2015-08-26 00:00:00.0"</f>
        <v>2015-08-26 00:00:00.0</v>
      </c>
      <c r="K2806" t="s">
        <v>834</v>
      </c>
      <c r="L2806" t="s">
        <v>0</v>
      </c>
      <c r="M2806" t="str">
        <f t="shared" si="741"/>
        <v>048314</v>
      </c>
      <c r="N2806">
        <v>1</v>
      </c>
      <c r="O2806">
        <v>1</v>
      </c>
      <c r="P2806" t="str">
        <f>"05"</f>
        <v>05</v>
      </c>
      <c r="Q2806" t="s">
        <v>835</v>
      </c>
      <c r="S2806" t="s">
        <v>836</v>
      </c>
      <c r="T2806" t="s">
        <v>836</v>
      </c>
      <c r="U2806" t="str">
        <f t="shared" si="737"/>
        <v>2500-12-31 00:00:00.0</v>
      </c>
      <c r="V2806" t="s">
        <v>837</v>
      </c>
      <c r="W2806" t="str">
        <f>"048314-070417-**-**"</f>
        <v>048314-070417-**-**</v>
      </c>
      <c r="X2806" t="s">
        <v>838</v>
      </c>
      <c r="Y2806">
        <v>1125</v>
      </c>
      <c r="Z2806">
        <v>1125</v>
      </c>
      <c r="AA2806" t="str">
        <f>"06/08/2016"</f>
        <v>06/08/2016</v>
      </c>
    </row>
    <row r="2807" spans="1:27" x14ac:dyDescent="0.3">
      <c r="A2807" t="str">
        <f t="shared" si="735"/>
        <v>048314</v>
      </c>
      <c r="B2807" t="str">
        <f t="shared" si="743"/>
        <v>070417</v>
      </c>
      <c r="C2807" t="s">
        <v>2493</v>
      </c>
      <c r="D2807" t="s">
        <v>3839</v>
      </c>
      <c r="E2807" t="s">
        <v>3840</v>
      </c>
      <c r="F2807" t="s">
        <v>3841</v>
      </c>
      <c r="G2807" t="s">
        <v>3842</v>
      </c>
      <c r="H2807" t="str">
        <f>"048363"</f>
        <v>048363</v>
      </c>
      <c r="I2807" t="s">
        <v>833</v>
      </c>
      <c r="J2807" t="str">
        <f t="shared" ref="J2807:J2814" si="745">"2015-07-01 00:00:00.0"</f>
        <v>2015-07-01 00:00:00.0</v>
      </c>
      <c r="K2807" t="s">
        <v>834</v>
      </c>
      <c r="L2807" t="s">
        <v>1</v>
      </c>
      <c r="M2807" t="str">
        <f t="shared" si="741"/>
        <v>048314</v>
      </c>
      <c r="N2807">
        <v>1</v>
      </c>
      <c r="O2807">
        <v>1</v>
      </c>
      <c r="P2807" t="str">
        <f>"07"</f>
        <v>07</v>
      </c>
      <c r="Q2807" t="str">
        <f>"10"</f>
        <v>10</v>
      </c>
      <c r="R2807" t="str">
        <f>"2"</f>
        <v>2</v>
      </c>
      <c r="S2807" t="s">
        <v>836</v>
      </c>
      <c r="T2807" t="s">
        <v>836</v>
      </c>
      <c r="U2807" t="str">
        <f t="shared" si="737"/>
        <v>2500-12-31 00:00:00.0</v>
      </c>
      <c r="V2807" t="s">
        <v>837</v>
      </c>
      <c r="W2807" t="str">
        <f>"048363-014522-**-**"</f>
        <v>048363-014522-**-**</v>
      </c>
      <c r="X2807" t="s">
        <v>838</v>
      </c>
      <c r="Y2807">
        <v>1127</v>
      </c>
      <c r="Z2807">
        <v>1127</v>
      </c>
      <c r="AA2807" t="str">
        <f>"06/15/2016"</f>
        <v>06/15/2016</v>
      </c>
    </row>
    <row r="2808" spans="1:27" x14ac:dyDescent="0.3">
      <c r="A2808" t="str">
        <f t="shared" si="735"/>
        <v>048314</v>
      </c>
      <c r="B2808" t="str">
        <f t="shared" si="743"/>
        <v>070417</v>
      </c>
      <c r="C2808" t="s">
        <v>2455</v>
      </c>
      <c r="D2808" t="s">
        <v>3839</v>
      </c>
      <c r="E2808" t="s">
        <v>3840</v>
      </c>
      <c r="F2808" t="s">
        <v>3841</v>
      </c>
      <c r="G2808" t="s">
        <v>3842</v>
      </c>
      <c r="H2808" t="str">
        <f t="shared" ref="H2808:H2871" si="746">"048314"</f>
        <v>048314</v>
      </c>
      <c r="I2808" t="s">
        <v>833</v>
      </c>
      <c r="J2808" t="str">
        <f t="shared" si="745"/>
        <v>2015-07-01 00:00:00.0</v>
      </c>
      <c r="K2808" t="s">
        <v>834</v>
      </c>
      <c r="L2808" t="s">
        <v>0</v>
      </c>
      <c r="M2808" t="str">
        <f t="shared" si="741"/>
        <v>048314</v>
      </c>
      <c r="N2808">
        <v>1</v>
      </c>
      <c r="O2808">
        <v>1</v>
      </c>
      <c r="P2808" t="str">
        <f>"07"</f>
        <v>07</v>
      </c>
      <c r="Q2808" t="s">
        <v>835</v>
      </c>
      <c r="S2808" t="s">
        <v>836</v>
      </c>
      <c r="T2808" t="s">
        <v>836</v>
      </c>
      <c r="U2808" t="str">
        <f t="shared" si="737"/>
        <v>2500-12-31 00:00:00.0</v>
      </c>
      <c r="V2808" t="s">
        <v>837</v>
      </c>
      <c r="W2808" t="str">
        <f>"048314-070417-**-**"</f>
        <v>048314-070417-**-**</v>
      </c>
      <c r="X2808" t="s">
        <v>838</v>
      </c>
      <c r="Y2808">
        <v>1125</v>
      </c>
      <c r="Z2808">
        <v>1125</v>
      </c>
      <c r="AA2808" t="str">
        <f t="shared" ref="AA2808:AA2871" si="747">"06/08/2016"</f>
        <v>06/08/2016</v>
      </c>
    </row>
    <row r="2809" spans="1:27" x14ac:dyDescent="0.3">
      <c r="A2809" t="str">
        <f t="shared" si="735"/>
        <v>048314</v>
      </c>
      <c r="B2809" t="str">
        <f t="shared" si="743"/>
        <v>070417</v>
      </c>
      <c r="C2809" t="s">
        <v>2145</v>
      </c>
      <c r="D2809" t="s">
        <v>3839</v>
      </c>
      <c r="E2809" t="s">
        <v>3840</v>
      </c>
      <c r="F2809" t="s">
        <v>3841</v>
      </c>
      <c r="G2809" t="s">
        <v>3842</v>
      </c>
      <c r="H2809" t="str">
        <f t="shared" si="746"/>
        <v>048314</v>
      </c>
      <c r="I2809" t="s">
        <v>833</v>
      </c>
      <c r="J2809" t="str">
        <f t="shared" si="745"/>
        <v>2015-07-01 00:00:00.0</v>
      </c>
      <c r="K2809" t="s">
        <v>834</v>
      </c>
      <c r="L2809" t="s">
        <v>0</v>
      </c>
      <c r="M2809" t="str">
        <f t="shared" si="741"/>
        <v>048314</v>
      </c>
      <c r="N2809">
        <v>1</v>
      </c>
      <c r="O2809">
        <v>1</v>
      </c>
      <c r="P2809" t="str">
        <f>"08"</f>
        <v>08</v>
      </c>
      <c r="Q2809" t="s">
        <v>835</v>
      </c>
      <c r="S2809" t="s">
        <v>836</v>
      </c>
      <c r="T2809" t="s">
        <v>836</v>
      </c>
      <c r="U2809" t="str">
        <f t="shared" si="737"/>
        <v>2500-12-31 00:00:00.0</v>
      </c>
      <c r="V2809" t="s">
        <v>837</v>
      </c>
      <c r="W2809" t="str">
        <f>"048314-070417-**-**"</f>
        <v>048314-070417-**-**</v>
      </c>
      <c r="X2809" t="s">
        <v>838</v>
      </c>
      <c r="Y2809">
        <v>1125</v>
      </c>
      <c r="Z2809">
        <v>1125</v>
      </c>
      <c r="AA2809" t="str">
        <f t="shared" si="747"/>
        <v>06/08/2016</v>
      </c>
    </row>
    <row r="2810" spans="1:27" x14ac:dyDescent="0.3">
      <c r="A2810" t="str">
        <f t="shared" si="735"/>
        <v>048314</v>
      </c>
      <c r="B2810" t="str">
        <f t="shared" si="743"/>
        <v>070417</v>
      </c>
      <c r="C2810" t="s">
        <v>1895</v>
      </c>
      <c r="D2810" t="s">
        <v>3839</v>
      </c>
      <c r="E2810" t="s">
        <v>3840</v>
      </c>
      <c r="F2810" t="s">
        <v>3841</v>
      </c>
      <c r="G2810" t="s">
        <v>3842</v>
      </c>
      <c r="H2810" t="str">
        <f t="shared" si="746"/>
        <v>048314</v>
      </c>
      <c r="I2810" t="s">
        <v>833</v>
      </c>
      <c r="J2810" t="str">
        <f t="shared" si="745"/>
        <v>2015-07-01 00:00:00.0</v>
      </c>
      <c r="K2810" t="s">
        <v>834</v>
      </c>
      <c r="L2810" t="s">
        <v>0</v>
      </c>
      <c r="M2810" t="str">
        <f t="shared" si="741"/>
        <v>048314</v>
      </c>
      <c r="N2810">
        <v>1</v>
      </c>
      <c r="O2810">
        <v>1</v>
      </c>
      <c r="P2810" t="str">
        <f>"09"</f>
        <v>09</v>
      </c>
      <c r="Q2810" t="s">
        <v>835</v>
      </c>
      <c r="S2810" t="s">
        <v>836</v>
      </c>
      <c r="T2810" t="s">
        <v>836</v>
      </c>
      <c r="U2810" t="str">
        <f t="shared" si="737"/>
        <v>2500-12-31 00:00:00.0</v>
      </c>
      <c r="V2810" t="s">
        <v>837</v>
      </c>
      <c r="W2810" t="str">
        <f>"048314-004796-**-**"</f>
        <v>048314-004796-**-**</v>
      </c>
      <c r="X2810" t="s">
        <v>838</v>
      </c>
      <c r="Y2810">
        <v>1254.5</v>
      </c>
      <c r="Z2810">
        <v>1254.5</v>
      </c>
      <c r="AA2810" t="str">
        <f t="shared" si="747"/>
        <v>06/08/2016</v>
      </c>
    </row>
    <row r="2811" spans="1:27" x14ac:dyDescent="0.3">
      <c r="A2811" t="str">
        <f t="shared" si="735"/>
        <v>048314</v>
      </c>
      <c r="B2811" t="str">
        <f t="shared" si="743"/>
        <v>070417</v>
      </c>
      <c r="C2811" t="s">
        <v>1457</v>
      </c>
      <c r="D2811" t="s">
        <v>3839</v>
      </c>
      <c r="E2811" t="s">
        <v>3840</v>
      </c>
      <c r="F2811" t="s">
        <v>3841</v>
      </c>
      <c r="G2811" t="s">
        <v>3842</v>
      </c>
      <c r="H2811" t="str">
        <f t="shared" si="746"/>
        <v>048314</v>
      </c>
      <c r="I2811" t="s">
        <v>833</v>
      </c>
      <c r="J2811" t="str">
        <f t="shared" si="745"/>
        <v>2015-07-01 00:00:00.0</v>
      </c>
      <c r="K2811" t="s">
        <v>834</v>
      </c>
      <c r="L2811" t="s">
        <v>0</v>
      </c>
      <c r="M2811" t="str">
        <f t="shared" si="741"/>
        <v>048314</v>
      </c>
      <c r="N2811">
        <v>1</v>
      </c>
      <c r="O2811">
        <v>1</v>
      </c>
      <c r="P2811" t="str">
        <f>"08"</f>
        <v>08</v>
      </c>
      <c r="Q2811" t="s">
        <v>835</v>
      </c>
      <c r="S2811" t="s">
        <v>836</v>
      </c>
      <c r="T2811" t="s">
        <v>836</v>
      </c>
      <c r="U2811" t="str">
        <f t="shared" si="737"/>
        <v>2500-12-31 00:00:00.0</v>
      </c>
      <c r="V2811" t="s">
        <v>837</v>
      </c>
      <c r="W2811" t="str">
        <f>"048314-070417-**-**"</f>
        <v>048314-070417-**-**</v>
      </c>
      <c r="X2811" t="s">
        <v>838</v>
      </c>
      <c r="Y2811">
        <v>1125</v>
      </c>
      <c r="Z2811">
        <v>1125</v>
      </c>
      <c r="AA2811" t="str">
        <f t="shared" si="747"/>
        <v>06/08/2016</v>
      </c>
    </row>
    <row r="2812" spans="1:27" x14ac:dyDescent="0.3">
      <c r="A2812" t="str">
        <f t="shared" si="735"/>
        <v>048314</v>
      </c>
      <c r="B2812" t="str">
        <f t="shared" si="743"/>
        <v>070417</v>
      </c>
      <c r="C2812" t="s">
        <v>2456</v>
      </c>
      <c r="D2812" t="s">
        <v>3839</v>
      </c>
      <c r="E2812" t="s">
        <v>3840</v>
      </c>
      <c r="F2812" t="s">
        <v>3841</v>
      </c>
      <c r="G2812" t="s">
        <v>3842</v>
      </c>
      <c r="H2812" t="str">
        <f t="shared" si="746"/>
        <v>048314</v>
      </c>
      <c r="I2812" t="s">
        <v>833</v>
      </c>
      <c r="J2812" t="str">
        <f t="shared" si="745"/>
        <v>2015-07-01 00:00:00.0</v>
      </c>
      <c r="K2812" t="s">
        <v>834</v>
      </c>
      <c r="L2812" t="s">
        <v>0</v>
      </c>
      <c r="M2812" t="str">
        <f t="shared" si="741"/>
        <v>048314</v>
      </c>
      <c r="N2812">
        <v>1</v>
      </c>
      <c r="O2812">
        <v>1</v>
      </c>
      <c r="P2812" t="str">
        <f>"07"</f>
        <v>07</v>
      </c>
      <c r="Q2812" t="s">
        <v>835</v>
      </c>
      <c r="S2812" t="s">
        <v>836</v>
      </c>
      <c r="T2812" t="s">
        <v>836</v>
      </c>
      <c r="U2812" t="str">
        <f t="shared" si="737"/>
        <v>2500-12-31 00:00:00.0</v>
      </c>
      <c r="V2812" t="s">
        <v>837</v>
      </c>
      <c r="W2812" t="str">
        <f>"048314-070417-**-**"</f>
        <v>048314-070417-**-**</v>
      </c>
      <c r="X2812" t="s">
        <v>838</v>
      </c>
      <c r="Y2812">
        <v>1125</v>
      </c>
      <c r="Z2812">
        <v>1125</v>
      </c>
      <c r="AA2812" t="str">
        <f t="shared" si="747"/>
        <v>06/08/2016</v>
      </c>
    </row>
    <row r="2813" spans="1:27" x14ac:dyDescent="0.3">
      <c r="A2813" t="str">
        <f t="shared" si="735"/>
        <v>048314</v>
      </c>
      <c r="B2813" t="str">
        <f t="shared" si="743"/>
        <v>070417</v>
      </c>
      <c r="C2813" t="s">
        <v>2146</v>
      </c>
      <c r="D2813" t="s">
        <v>3839</v>
      </c>
      <c r="E2813" t="s">
        <v>3840</v>
      </c>
      <c r="F2813" t="s">
        <v>3841</v>
      </c>
      <c r="G2813" t="s">
        <v>3842</v>
      </c>
      <c r="H2813" t="str">
        <f t="shared" si="746"/>
        <v>048314</v>
      </c>
      <c r="I2813" t="s">
        <v>833</v>
      </c>
      <c r="J2813" t="str">
        <f t="shared" si="745"/>
        <v>2015-07-01 00:00:00.0</v>
      </c>
      <c r="K2813" t="s">
        <v>834</v>
      </c>
      <c r="L2813" t="s">
        <v>0</v>
      </c>
      <c r="M2813" t="str">
        <f t="shared" si="741"/>
        <v>048314</v>
      </c>
      <c r="N2813">
        <v>1</v>
      </c>
      <c r="O2813">
        <v>1</v>
      </c>
      <c r="P2813" t="str">
        <f>"08"</f>
        <v>08</v>
      </c>
      <c r="Q2813" t="str">
        <f>"10"</f>
        <v>10</v>
      </c>
      <c r="R2813" t="str">
        <f>"2"</f>
        <v>2</v>
      </c>
      <c r="S2813" t="s">
        <v>836</v>
      </c>
      <c r="T2813" t="s">
        <v>836</v>
      </c>
      <c r="U2813" t="str">
        <f t="shared" si="737"/>
        <v>2500-12-31 00:00:00.0</v>
      </c>
      <c r="V2813" t="s">
        <v>837</v>
      </c>
      <c r="W2813" t="str">
        <f>"048314-070417-**-**"</f>
        <v>048314-070417-**-**</v>
      </c>
      <c r="X2813" t="s">
        <v>838</v>
      </c>
      <c r="Y2813">
        <v>1125</v>
      </c>
      <c r="Z2813">
        <v>1125</v>
      </c>
      <c r="AA2813" t="str">
        <f t="shared" si="747"/>
        <v>06/08/2016</v>
      </c>
    </row>
    <row r="2814" spans="1:27" x14ac:dyDescent="0.3">
      <c r="A2814" t="str">
        <f t="shared" si="735"/>
        <v>048314</v>
      </c>
      <c r="B2814" t="str">
        <f t="shared" si="743"/>
        <v>070417</v>
      </c>
      <c r="C2814" t="s">
        <v>2477</v>
      </c>
      <c r="D2814" t="s">
        <v>3839</v>
      </c>
      <c r="E2814" t="s">
        <v>3840</v>
      </c>
      <c r="F2814" t="s">
        <v>3841</v>
      </c>
      <c r="G2814" t="s">
        <v>3842</v>
      </c>
      <c r="H2814" t="str">
        <f t="shared" si="746"/>
        <v>048314</v>
      </c>
      <c r="I2814" t="s">
        <v>833</v>
      </c>
      <c r="J2814" t="str">
        <f t="shared" si="745"/>
        <v>2015-07-01 00:00:00.0</v>
      </c>
      <c r="K2814" t="s">
        <v>834</v>
      </c>
      <c r="L2814" t="s">
        <v>0</v>
      </c>
      <c r="M2814" t="str">
        <f t="shared" si="741"/>
        <v>048314</v>
      </c>
      <c r="N2814">
        <v>1</v>
      </c>
      <c r="O2814">
        <v>1</v>
      </c>
      <c r="P2814" t="str">
        <f>"07"</f>
        <v>07</v>
      </c>
      <c r="Q2814" t="s">
        <v>835</v>
      </c>
      <c r="S2814" t="s">
        <v>836</v>
      </c>
      <c r="T2814" t="s">
        <v>836</v>
      </c>
      <c r="U2814" t="str">
        <f t="shared" si="737"/>
        <v>2500-12-31 00:00:00.0</v>
      </c>
      <c r="V2814" t="s">
        <v>837</v>
      </c>
      <c r="W2814" t="str">
        <f>"048314-070417-**-**"</f>
        <v>048314-070417-**-**</v>
      </c>
      <c r="X2814" t="s">
        <v>838</v>
      </c>
      <c r="Y2814">
        <v>1125</v>
      </c>
      <c r="Z2814">
        <v>1125</v>
      </c>
      <c r="AA2814" t="str">
        <f t="shared" si="747"/>
        <v>06/08/2016</v>
      </c>
    </row>
    <row r="2815" spans="1:27" x14ac:dyDescent="0.3">
      <c r="A2815" t="str">
        <f t="shared" si="735"/>
        <v>048314</v>
      </c>
      <c r="B2815" t="str">
        <f t="shared" si="743"/>
        <v>070417</v>
      </c>
      <c r="C2815" t="s">
        <v>1507</v>
      </c>
      <c r="D2815" t="s">
        <v>3839</v>
      </c>
      <c r="E2815" t="s">
        <v>3840</v>
      </c>
      <c r="F2815" t="s">
        <v>3841</v>
      </c>
      <c r="G2815" t="s">
        <v>3842</v>
      </c>
      <c r="H2815" t="str">
        <f t="shared" si="746"/>
        <v>048314</v>
      </c>
      <c r="I2815" t="s">
        <v>833</v>
      </c>
      <c r="J2815" t="str">
        <f>"2015-08-01 00:00:00.0"</f>
        <v>2015-08-01 00:00:00.0</v>
      </c>
      <c r="K2815" t="s">
        <v>834</v>
      </c>
      <c r="L2815" t="s">
        <v>0</v>
      </c>
      <c r="M2815" t="str">
        <f t="shared" si="741"/>
        <v>048314</v>
      </c>
      <c r="N2815">
        <v>0.42777799999999999</v>
      </c>
      <c r="O2815">
        <v>0.42777799999999999</v>
      </c>
      <c r="P2815" t="str">
        <f>"07"</f>
        <v>07</v>
      </c>
      <c r="Q2815" t="str">
        <f>"05"</f>
        <v>05</v>
      </c>
      <c r="R2815" t="str">
        <f>"1"</f>
        <v>1</v>
      </c>
      <c r="S2815" t="s">
        <v>836</v>
      </c>
      <c r="T2815" t="s">
        <v>836</v>
      </c>
      <c r="U2815" t="str">
        <f>"2015-12-22 00:00:00.0"</f>
        <v>2015-12-22 00:00:00.0</v>
      </c>
      <c r="V2815" t="s">
        <v>837</v>
      </c>
      <c r="W2815" t="str">
        <f>"048314-070417-**-**"</f>
        <v>048314-070417-**-**</v>
      </c>
      <c r="X2815" t="s">
        <v>838</v>
      </c>
      <c r="Y2815">
        <v>481.25</v>
      </c>
      <c r="Z2815">
        <v>1125</v>
      </c>
      <c r="AA2815" t="str">
        <f t="shared" si="747"/>
        <v>06/08/2016</v>
      </c>
    </row>
    <row r="2816" spans="1:27" x14ac:dyDescent="0.3">
      <c r="A2816" t="str">
        <f t="shared" si="735"/>
        <v>048314</v>
      </c>
      <c r="B2816" t="str">
        <f t="shared" si="743"/>
        <v>070417</v>
      </c>
      <c r="C2816" t="s">
        <v>3437</v>
      </c>
      <c r="D2816" t="s">
        <v>3839</v>
      </c>
      <c r="E2816" t="s">
        <v>3840</v>
      </c>
      <c r="F2816" t="s">
        <v>3841</v>
      </c>
      <c r="G2816" t="s">
        <v>3842</v>
      </c>
      <c r="H2816" t="str">
        <f t="shared" si="746"/>
        <v>048314</v>
      </c>
      <c r="I2816" t="s">
        <v>833</v>
      </c>
      <c r="J2816" t="str">
        <f>"2015-07-01 00:00:00.0"</f>
        <v>2015-07-01 00:00:00.0</v>
      </c>
      <c r="K2816" t="s">
        <v>834</v>
      </c>
      <c r="L2816" t="s">
        <v>0</v>
      </c>
      <c r="M2816" t="str">
        <f t="shared" si="741"/>
        <v>048314</v>
      </c>
      <c r="N2816">
        <v>1</v>
      </c>
      <c r="O2816">
        <v>1</v>
      </c>
      <c r="P2816" t="str">
        <f>"09"</f>
        <v>09</v>
      </c>
      <c r="Q2816" t="s">
        <v>835</v>
      </c>
      <c r="S2816" t="s">
        <v>836</v>
      </c>
      <c r="T2816" t="s">
        <v>836</v>
      </c>
      <c r="U2816" t="str">
        <f t="shared" ref="U2816:U2860" si="748">"2500-12-31 00:00:00.0"</f>
        <v>2500-12-31 00:00:00.0</v>
      </c>
      <c r="V2816" t="s">
        <v>837</v>
      </c>
      <c r="W2816" t="str">
        <f>"048314-004796-**-**"</f>
        <v>048314-004796-**-**</v>
      </c>
      <c r="X2816" t="s">
        <v>838</v>
      </c>
      <c r="Y2816">
        <v>1254.5</v>
      </c>
      <c r="Z2816">
        <v>1254.5</v>
      </c>
      <c r="AA2816" t="str">
        <f t="shared" si="747"/>
        <v>06/08/2016</v>
      </c>
    </row>
    <row r="2817" spans="1:27" x14ac:dyDescent="0.3">
      <c r="A2817" t="str">
        <f t="shared" si="735"/>
        <v>048314</v>
      </c>
      <c r="B2817" t="str">
        <f t="shared" si="743"/>
        <v>070417</v>
      </c>
      <c r="C2817" t="s">
        <v>3692</v>
      </c>
      <c r="D2817" t="s">
        <v>3839</v>
      </c>
      <c r="E2817" t="s">
        <v>3840</v>
      </c>
      <c r="F2817" t="s">
        <v>3841</v>
      </c>
      <c r="G2817" t="s">
        <v>3842</v>
      </c>
      <c r="H2817" t="str">
        <f t="shared" si="746"/>
        <v>048314</v>
      </c>
      <c r="I2817" t="s">
        <v>833</v>
      </c>
      <c r="J2817" t="str">
        <f>"2015-07-01 00:00:00.0"</f>
        <v>2015-07-01 00:00:00.0</v>
      </c>
      <c r="K2817" t="s">
        <v>834</v>
      </c>
      <c r="L2817" t="s">
        <v>0</v>
      </c>
      <c r="M2817" t="str">
        <f t="shared" si="741"/>
        <v>048314</v>
      </c>
      <c r="N2817">
        <v>1</v>
      </c>
      <c r="O2817">
        <v>1</v>
      </c>
      <c r="P2817" t="str">
        <f>"06"</f>
        <v>06</v>
      </c>
      <c r="Q2817" t="s">
        <v>835</v>
      </c>
      <c r="S2817" t="s">
        <v>836</v>
      </c>
      <c r="T2817" t="s">
        <v>836</v>
      </c>
      <c r="U2817" t="str">
        <f t="shared" si="748"/>
        <v>2500-12-31 00:00:00.0</v>
      </c>
      <c r="V2817" t="s">
        <v>837</v>
      </c>
      <c r="W2817" t="str">
        <f>"048314-070417-**-**"</f>
        <v>048314-070417-**-**</v>
      </c>
      <c r="X2817" t="s">
        <v>838</v>
      </c>
      <c r="Y2817">
        <v>1125</v>
      </c>
      <c r="Z2817">
        <v>1125</v>
      </c>
      <c r="AA2817" t="str">
        <f t="shared" si="747"/>
        <v>06/08/2016</v>
      </c>
    </row>
    <row r="2818" spans="1:27" x14ac:dyDescent="0.3">
      <c r="A2818" t="str">
        <f t="shared" ref="A2818:A2881" si="749">"048314"</f>
        <v>048314</v>
      </c>
      <c r="B2818" t="str">
        <f t="shared" si="743"/>
        <v>070417</v>
      </c>
      <c r="C2818" t="s">
        <v>2584</v>
      </c>
      <c r="D2818" t="s">
        <v>3839</v>
      </c>
      <c r="E2818" t="s">
        <v>3840</v>
      </c>
      <c r="F2818" t="s">
        <v>3841</v>
      </c>
      <c r="G2818" t="s">
        <v>3842</v>
      </c>
      <c r="H2818" t="str">
        <f t="shared" si="746"/>
        <v>048314</v>
      </c>
      <c r="I2818" t="s">
        <v>833</v>
      </c>
      <c r="J2818" t="str">
        <f>"2015-08-01 00:00:00.0"</f>
        <v>2015-08-01 00:00:00.0</v>
      </c>
      <c r="K2818" t="s">
        <v>834</v>
      </c>
      <c r="L2818" t="s">
        <v>0</v>
      </c>
      <c r="M2818" t="str">
        <f t="shared" si="741"/>
        <v>048314</v>
      </c>
      <c r="N2818">
        <v>1</v>
      </c>
      <c r="O2818">
        <v>1</v>
      </c>
      <c r="P2818" t="str">
        <f>"06"</f>
        <v>06</v>
      </c>
      <c r="Q2818" t="s">
        <v>835</v>
      </c>
      <c r="S2818" t="s">
        <v>836</v>
      </c>
      <c r="T2818" t="s">
        <v>836</v>
      </c>
      <c r="U2818" t="str">
        <f t="shared" si="748"/>
        <v>2500-12-31 00:00:00.0</v>
      </c>
      <c r="V2818" t="s">
        <v>837</v>
      </c>
      <c r="W2818" t="str">
        <f>"048314-070417-**-**"</f>
        <v>048314-070417-**-**</v>
      </c>
      <c r="X2818" t="s">
        <v>838</v>
      </c>
      <c r="Y2818">
        <v>1125</v>
      </c>
      <c r="Z2818">
        <v>1125</v>
      </c>
      <c r="AA2818" t="str">
        <f t="shared" si="747"/>
        <v>06/08/2016</v>
      </c>
    </row>
    <row r="2819" spans="1:27" x14ac:dyDescent="0.3">
      <c r="A2819" t="str">
        <f t="shared" si="749"/>
        <v>048314</v>
      </c>
      <c r="B2819" t="str">
        <f t="shared" si="743"/>
        <v>070417</v>
      </c>
      <c r="C2819" t="s">
        <v>2457</v>
      </c>
      <c r="D2819" t="s">
        <v>3839</v>
      </c>
      <c r="E2819" t="s">
        <v>3840</v>
      </c>
      <c r="F2819" t="s">
        <v>3841</v>
      </c>
      <c r="G2819" t="s">
        <v>3842</v>
      </c>
      <c r="H2819" t="str">
        <f t="shared" si="746"/>
        <v>048314</v>
      </c>
      <c r="I2819" t="s">
        <v>833</v>
      </c>
      <c r="J2819" t="str">
        <f t="shared" ref="J2819:J2834" si="750">"2015-07-01 00:00:00.0"</f>
        <v>2015-07-01 00:00:00.0</v>
      </c>
      <c r="K2819" t="s">
        <v>834</v>
      </c>
      <c r="L2819" t="s">
        <v>0</v>
      </c>
      <c r="M2819" t="str">
        <f t="shared" si="741"/>
        <v>048314</v>
      </c>
      <c r="N2819">
        <v>1</v>
      </c>
      <c r="O2819">
        <v>1</v>
      </c>
      <c r="P2819" t="str">
        <f>"08"</f>
        <v>08</v>
      </c>
      <c r="Q2819" t="s">
        <v>835</v>
      </c>
      <c r="S2819" t="s">
        <v>836</v>
      </c>
      <c r="T2819" t="s">
        <v>836</v>
      </c>
      <c r="U2819" t="str">
        <f t="shared" si="748"/>
        <v>2500-12-31 00:00:00.0</v>
      </c>
      <c r="V2819" t="s">
        <v>837</v>
      </c>
      <c r="W2819" t="str">
        <f>"048314-070417-**-**"</f>
        <v>048314-070417-**-**</v>
      </c>
      <c r="X2819" t="s">
        <v>838</v>
      </c>
      <c r="Y2819">
        <v>1125</v>
      </c>
      <c r="Z2819">
        <v>1125</v>
      </c>
      <c r="AA2819" t="str">
        <f t="shared" si="747"/>
        <v>06/08/2016</v>
      </c>
    </row>
    <row r="2820" spans="1:27" x14ac:dyDescent="0.3">
      <c r="A2820" t="str">
        <f t="shared" si="749"/>
        <v>048314</v>
      </c>
      <c r="B2820" t="str">
        <f t="shared" si="743"/>
        <v>070417</v>
      </c>
      <c r="C2820" t="s">
        <v>2721</v>
      </c>
      <c r="D2820" t="s">
        <v>3839</v>
      </c>
      <c r="E2820" t="s">
        <v>3840</v>
      </c>
      <c r="F2820" t="s">
        <v>3841</v>
      </c>
      <c r="G2820" t="s">
        <v>3842</v>
      </c>
      <c r="H2820" t="str">
        <f t="shared" si="746"/>
        <v>048314</v>
      </c>
      <c r="I2820" t="s">
        <v>833</v>
      </c>
      <c r="J2820" t="str">
        <f t="shared" si="750"/>
        <v>2015-07-01 00:00:00.0</v>
      </c>
      <c r="K2820" t="s">
        <v>834</v>
      </c>
      <c r="L2820" t="s">
        <v>0</v>
      </c>
      <c r="M2820" t="str">
        <f t="shared" si="741"/>
        <v>048314</v>
      </c>
      <c r="N2820">
        <v>1</v>
      </c>
      <c r="O2820">
        <v>1</v>
      </c>
      <c r="P2820" t="str">
        <f>"06"</f>
        <v>06</v>
      </c>
      <c r="Q2820" t="s">
        <v>835</v>
      </c>
      <c r="S2820" t="s">
        <v>836</v>
      </c>
      <c r="T2820" t="s">
        <v>836</v>
      </c>
      <c r="U2820" t="str">
        <f t="shared" si="748"/>
        <v>2500-12-31 00:00:00.0</v>
      </c>
      <c r="V2820" t="s">
        <v>837</v>
      </c>
      <c r="W2820" t="str">
        <f>"048314-070417-**-**"</f>
        <v>048314-070417-**-**</v>
      </c>
      <c r="X2820" t="s">
        <v>838</v>
      </c>
      <c r="Y2820">
        <v>1125</v>
      </c>
      <c r="Z2820">
        <v>1125</v>
      </c>
      <c r="AA2820" t="str">
        <f t="shared" si="747"/>
        <v>06/08/2016</v>
      </c>
    </row>
    <row r="2821" spans="1:27" x14ac:dyDescent="0.3">
      <c r="A2821" t="str">
        <f t="shared" si="749"/>
        <v>048314</v>
      </c>
      <c r="B2821" t="str">
        <f t="shared" si="743"/>
        <v>070417</v>
      </c>
      <c r="C2821" t="s">
        <v>1916</v>
      </c>
      <c r="D2821" t="s">
        <v>3839</v>
      </c>
      <c r="E2821" t="s">
        <v>3840</v>
      </c>
      <c r="F2821" t="s">
        <v>3841</v>
      </c>
      <c r="G2821" t="s">
        <v>3842</v>
      </c>
      <c r="H2821" t="str">
        <f t="shared" si="746"/>
        <v>048314</v>
      </c>
      <c r="I2821" t="s">
        <v>833</v>
      </c>
      <c r="J2821" t="str">
        <f t="shared" si="750"/>
        <v>2015-07-01 00:00:00.0</v>
      </c>
      <c r="K2821" t="s">
        <v>834</v>
      </c>
      <c r="L2821" t="s">
        <v>0</v>
      </c>
      <c r="M2821" t="str">
        <f t="shared" si="741"/>
        <v>048314</v>
      </c>
      <c r="N2821">
        <v>1</v>
      </c>
      <c r="O2821">
        <v>1</v>
      </c>
      <c r="P2821" t="str">
        <f>"09"</f>
        <v>09</v>
      </c>
      <c r="Q2821" t="s">
        <v>835</v>
      </c>
      <c r="S2821" t="s">
        <v>836</v>
      </c>
      <c r="T2821" t="s">
        <v>836</v>
      </c>
      <c r="U2821" t="str">
        <f t="shared" si="748"/>
        <v>2500-12-31 00:00:00.0</v>
      </c>
      <c r="V2821" t="s">
        <v>837</v>
      </c>
      <c r="W2821" t="str">
        <f>"048314-004796-**-**"</f>
        <v>048314-004796-**-**</v>
      </c>
      <c r="X2821" t="s">
        <v>838</v>
      </c>
      <c r="Y2821">
        <v>1254.5</v>
      </c>
      <c r="Z2821">
        <v>1254.5</v>
      </c>
      <c r="AA2821" t="str">
        <f t="shared" si="747"/>
        <v>06/08/2016</v>
      </c>
    </row>
    <row r="2822" spans="1:27" x14ac:dyDescent="0.3">
      <c r="A2822" t="str">
        <f t="shared" si="749"/>
        <v>048314</v>
      </c>
      <c r="B2822" t="str">
        <f t="shared" si="743"/>
        <v>070417</v>
      </c>
      <c r="C2822" t="s">
        <v>2912</v>
      </c>
      <c r="D2822" t="s">
        <v>3839</v>
      </c>
      <c r="E2822" t="s">
        <v>3840</v>
      </c>
      <c r="F2822" t="s">
        <v>3841</v>
      </c>
      <c r="G2822" t="s">
        <v>3842</v>
      </c>
      <c r="H2822" t="str">
        <f t="shared" si="746"/>
        <v>048314</v>
      </c>
      <c r="I2822" t="s">
        <v>833</v>
      </c>
      <c r="J2822" t="str">
        <f t="shared" si="750"/>
        <v>2015-07-01 00:00:00.0</v>
      </c>
      <c r="K2822" t="s">
        <v>834</v>
      </c>
      <c r="L2822" t="s">
        <v>0</v>
      </c>
      <c r="M2822" t="str">
        <f t="shared" si="741"/>
        <v>048314</v>
      </c>
      <c r="N2822">
        <v>1</v>
      </c>
      <c r="O2822">
        <v>1</v>
      </c>
      <c r="P2822" t="str">
        <f>"06"</f>
        <v>06</v>
      </c>
      <c r="Q2822" t="s">
        <v>835</v>
      </c>
      <c r="S2822" t="s">
        <v>836</v>
      </c>
      <c r="T2822" t="s">
        <v>836</v>
      </c>
      <c r="U2822" t="str">
        <f t="shared" si="748"/>
        <v>2500-12-31 00:00:00.0</v>
      </c>
      <c r="V2822" t="s">
        <v>837</v>
      </c>
      <c r="W2822" t="str">
        <f>"048314-070417-**-**"</f>
        <v>048314-070417-**-**</v>
      </c>
      <c r="X2822" t="s">
        <v>838</v>
      </c>
      <c r="Y2822">
        <v>1125</v>
      </c>
      <c r="Z2822">
        <v>1125</v>
      </c>
      <c r="AA2822" t="str">
        <f t="shared" si="747"/>
        <v>06/08/2016</v>
      </c>
    </row>
    <row r="2823" spans="1:27" x14ac:dyDescent="0.3">
      <c r="A2823" t="str">
        <f t="shared" si="749"/>
        <v>048314</v>
      </c>
      <c r="B2823" t="str">
        <f t="shared" si="743"/>
        <v>070417</v>
      </c>
      <c r="C2823" t="s">
        <v>1896</v>
      </c>
      <c r="D2823" t="s">
        <v>3839</v>
      </c>
      <c r="E2823" t="s">
        <v>3840</v>
      </c>
      <c r="F2823" t="s">
        <v>3841</v>
      </c>
      <c r="G2823" t="s">
        <v>3842</v>
      </c>
      <c r="H2823" t="str">
        <f t="shared" si="746"/>
        <v>048314</v>
      </c>
      <c r="I2823" t="s">
        <v>833</v>
      </c>
      <c r="J2823" t="str">
        <f t="shared" si="750"/>
        <v>2015-07-01 00:00:00.0</v>
      </c>
      <c r="K2823" t="s">
        <v>834</v>
      </c>
      <c r="L2823" t="s">
        <v>0</v>
      </c>
      <c r="M2823" t="str">
        <f t="shared" si="741"/>
        <v>048314</v>
      </c>
      <c r="N2823">
        <v>1</v>
      </c>
      <c r="O2823">
        <v>1</v>
      </c>
      <c r="P2823" t="str">
        <f>"09"</f>
        <v>09</v>
      </c>
      <c r="Q2823" t="s">
        <v>835</v>
      </c>
      <c r="S2823" t="s">
        <v>836</v>
      </c>
      <c r="T2823" t="s">
        <v>836</v>
      </c>
      <c r="U2823" t="str">
        <f t="shared" si="748"/>
        <v>2500-12-31 00:00:00.0</v>
      </c>
      <c r="V2823" t="s">
        <v>837</v>
      </c>
      <c r="W2823" t="str">
        <f>"048314-004796-**-**"</f>
        <v>048314-004796-**-**</v>
      </c>
      <c r="X2823" t="s">
        <v>838</v>
      </c>
      <c r="Y2823">
        <v>1254.5</v>
      </c>
      <c r="Z2823">
        <v>1254.5</v>
      </c>
      <c r="AA2823" t="str">
        <f t="shared" si="747"/>
        <v>06/08/2016</v>
      </c>
    </row>
    <row r="2824" spans="1:27" x14ac:dyDescent="0.3">
      <c r="A2824" t="str">
        <f t="shared" si="749"/>
        <v>048314</v>
      </c>
      <c r="B2824" t="str">
        <f t="shared" si="743"/>
        <v>070417</v>
      </c>
      <c r="C2824" t="s">
        <v>2374</v>
      </c>
      <c r="D2824" t="s">
        <v>3839</v>
      </c>
      <c r="E2824" t="s">
        <v>3840</v>
      </c>
      <c r="F2824" t="s">
        <v>3841</v>
      </c>
      <c r="G2824" t="s">
        <v>3842</v>
      </c>
      <c r="H2824" t="str">
        <f t="shared" si="746"/>
        <v>048314</v>
      </c>
      <c r="I2824" t="s">
        <v>833</v>
      </c>
      <c r="J2824" t="str">
        <f t="shared" si="750"/>
        <v>2015-07-01 00:00:00.0</v>
      </c>
      <c r="K2824" t="s">
        <v>834</v>
      </c>
      <c r="L2824" t="s">
        <v>0</v>
      </c>
      <c r="M2824" t="str">
        <f t="shared" si="741"/>
        <v>048314</v>
      </c>
      <c r="N2824">
        <v>1</v>
      </c>
      <c r="O2824">
        <v>1</v>
      </c>
      <c r="P2824" t="str">
        <f>"07"</f>
        <v>07</v>
      </c>
      <c r="Q2824" t="s">
        <v>835</v>
      </c>
      <c r="S2824" t="s">
        <v>836</v>
      </c>
      <c r="T2824" t="s">
        <v>836</v>
      </c>
      <c r="U2824" t="str">
        <f t="shared" si="748"/>
        <v>2500-12-31 00:00:00.0</v>
      </c>
      <c r="V2824" t="s">
        <v>837</v>
      </c>
      <c r="W2824" t="str">
        <f t="shared" ref="W2824:W2833" si="751">"048314-070417-**-**"</f>
        <v>048314-070417-**-**</v>
      </c>
      <c r="X2824" t="s">
        <v>838</v>
      </c>
      <c r="Y2824">
        <v>1125</v>
      </c>
      <c r="Z2824">
        <v>1125</v>
      </c>
      <c r="AA2824" t="str">
        <f t="shared" si="747"/>
        <v>06/08/2016</v>
      </c>
    </row>
    <row r="2825" spans="1:27" x14ac:dyDescent="0.3">
      <c r="A2825" t="str">
        <f t="shared" si="749"/>
        <v>048314</v>
      </c>
      <c r="B2825" t="str">
        <f t="shared" si="743"/>
        <v>070417</v>
      </c>
      <c r="C2825" t="s">
        <v>2375</v>
      </c>
      <c r="D2825" t="s">
        <v>3839</v>
      </c>
      <c r="E2825" t="s">
        <v>3840</v>
      </c>
      <c r="F2825" t="s">
        <v>3841</v>
      </c>
      <c r="G2825" t="s">
        <v>3842</v>
      </c>
      <c r="H2825" t="str">
        <f t="shared" si="746"/>
        <v>048314</v>
      </c>
      <c r="I2825" t="s">
        <v>833</v>
      </c>
      <c r="J2825" t="str">
        <f t="shared" si="750"/>
        <v>2015-07-01 00:00:00.0</v>
      </c>
      <c r="K2825" t="s">
        <v>834</v>
      </c>
      <c r="L2825" t="s">
        <v>0</v>
      </c>
      <c r="M2825" t="str">
        <f t="shared" si="741"/>
        <v>048314</v>
      </c>
      <c r="N2825">
        <v>1</v>
      </c>
      <c r="O2825">
        <v>1</v>
      </c>
      <c r="P2825" t="str">
        <f>"07"</f>
        <v>07</v>
      </c>
      <c r="Q2825" t="s">
        <v>835</v>
      </c>
      <c r="S2825" t="s">
        <v>836</v>
      </c>
      <c r="T2825" t="s">
        <v>836</v>
      </c>
      <c r="U2825" t="str">
        <f t="shared" si="748"/>
        <v>2500-12-31 00:00:00.0</v>
      </c>
      <c r="V2825" t="s">
        <v>837</v>
      </c>
      <c r="W2825" t="str">
        <f t="shared" si="751"/>
        <v>048314-070417-**-**</v>
      </c>
      <c r="X2825" t="s">
        <v>838</v>
      </c>
      <c r="Y2825">
        <v>1125</v>
      </c>
      <c r="Z2825">
        <v>1125</v>
      </c>
      <c r="AA2825" t="str">
        <f t="shared" si="747"/>
        <v>06/08/2016</v>
      </c>
    </row>
    <row r="2826" spans="1:27" x14ac:dyDescent="0.3">
      <c r="A2826" t="str">
        <f t="shared" si="749"/>
        <v>048314</v>
      </c>
      <c r="B2826" t="str">
        <f t="shared" si="743"/>
        <v>070417</v>
      </c>
      <c r="C2826" t="s">
        <v>2389</v>
      </c>
      <c r="D2826" t="s">
        <v>3839</v>
      </c>
      <c r="E2826" t="s">
        <v>3840</v>
      </c>
      <c r="F2826" t="s">
        <v>3841</v>
      </c>
      <c r="G2826" t="s">
        <v>3842</v>
      </c>
      <c r="H2826" t="str">
        <f t="shared" si="746"/>
        <v>048314</v>
      </c>
      <c r="I2826" t="s">
        <v>833</v>
      </c>
      <c r="J2826" t="str">
        <f t="shared" si="750"/>
        <v>2015-07-01 00:00:00.0</v>
      </c>
      <c r="K2826" t="s">
        <v>834</v>
      </c>
      <c r="L2826" t="s">
        <v>0</v>
      </c>
      <c r="M2826" t="str">
        <f t="shared" si="741"/>
        <v>048314</v>
      </c>
      <c r="N2826">
        <v>1</v>
      </c>
      <c r="O2826">
        <v>1</v>
      </c>
      <c r="P2826" t="str">
        <f>"07"</f>
        <v>07</v>
      </c>
      <c r="Q2826" t="s">
        <v>835</v>
      </c>
      <c r="S2826" t="s">
        <v>836</v>
      </c>
      <c r="T2826" t="s">
        <v>836</v>
      </c>
      <c r="U2826" t="str">
        <f t="shared" si="748"/>
        <v>2500-12-31 00:00:00.0</v>
      </c>
      <c r="V2826" t="s">
        <v>837</v>
      </c>
      <c r="W2826" t="str">
        <f t="shared" si="751"/>
        <v>048314-070417-**-**</v>
      </c>
      <c r="X2826" t="s">
        <v>838</v>
      </c>
      <c r="Y2826">
        <v>1125</v>
      </c>
      <c r="Z2826">
        <v>1125</v>
      </c>
      <c r="AA2826" t="str">
        <f t="shared" si="747"/>
        <v>06/08/2016</v>
      </c>
    </row>
    <row r="2827" spans="1:27" x14ac:dyDescent="0.3">
      <c r="A2827" t="str">
        <f t="shared" si="749"/>
        <v>048314</v>
      </c>
      <c r="B2827" t="str">
        <f t="shared" si="743"/>
        <v>070417</v>
      </c>
      <c r="C2827" t="s">
        <v>2229</v>
      </c>
      <c r="D2827" t="s">
        <v>3839</v>
      </c>
      <c r="E2827" t="s">
        <v>3840</v>
      </c>
      <c r="F2827" t="s">
        <v>3841</v>
      </c>
      <c r="G2827" t="s">
        <v>3842</v>
      </c>
      <c r="H2827" t="str">
        <f t="shared" si="746"/>
        <v>048314</v>
      </c>
      <c r="I2827" t="s">
        <v>833</v>
      </c>
      <c r="J2827" t="str">
        <f t="shared" si="750"/>
        <v>2015-07-01 00:00:00.0</v>
      </c>
      <c r="K2827" t="s">
        <v>834</v>
      </c>
      <c r="L2827" t="s">
        <v>0</v>
      </c>
      <c r="M2827" t="str">
        <f t="shared" si="741"/>
        <v>048314</v>
      </c>
      <c r="N2827">
        <v>1</v>
      </c>
      <c r="O2827">
        <v>1</v>
      </c>
      <c r="P2827" t="str">
        <f>"08"</f>
        <v>08</v>
      </c>
      <c r="Q2827" t="s">
        <v>835</v>
      </c>
      <c r="S2827" t="s">
        <v>836</v>
      </c>
      <c r="T2827" t="s">
        <v>836</v>
      </c>
      <c r="U2827" t="str">
        <f t="shared" si="748"/>
        <v>2500-12-31 00:00:00.0</v>
      </c>
      <c r="V2827" t="s">
        <v>837</v>
      </c>
      <c r="W2827" t="str">
        <f t="shared" si="751"/>
        <v>048314-070417-**-**</v>
      </c>
      <c r="X2827" t="s">
        <v>838</v>
      </c>
      <c r="Y2827">
        <v>1125</v>
      </c>
      <c r="Z2827">
        <v>1125</v>
      </c>
      <c r="AA2827" t="str">
        <f t="shared" si="747"/>
        <v>06/08/2016</v>
      </c>
    </row>
    <row r="2828" spans="1:27" x14ac:dyDescent="0.3">
      <c r="A2828" t="str">
        <f t="shared" si="749"/>
        <v>048314</v>
      </c>
      <c r="B2828" t="str">
        <f t="shared" si="743"/>
        <v>070417</v>
      </c>
      <c r="C2828" t="s">
        <v>2458</v>
      </c>
      <c r="D2828" t="s">
        <v>3839</v>
      </c>
      <c r="E2828" t="s">
        <v>3840</v>
      </c>
      <c r="F2828" t="s">
        <v>3841</v>
      </c>
      <c r="G2828" t="s">
        <v>3842</v>
      </c>
      <c r="H2828" t="str">
        <f t="shared" si="746"/>
        <v>048314</v>
      </c>
      <c r="I2828" t="s">
        <v>833</v>
      </c>
      <c r="J2828" t="str">
        <f t="shared" si="750"/>
        <v>2015-07-01 00:00:00.0</v>
      </c>
      <c r="K2828" t="s">
        <v>834</v>
      </c>
      <c r="L2828" t="s">
        <v>0</v>
      </c>
      <c r="M2828" t="str">
        <f t="shared" si="741"/>
        <v>048314</v>
      </c>
      <c r="N2828">
        <v>1</v>
      </c>
      <c r="O2828">
        <v>1</v>
      </c>
      <c r="P2828" t="str">
        <f>"07"</f>
        <v>07</v>
      </c>
      <c r="Q2828" t="s">
        <v>835</v>
      </c>
      <c r="S2828" t="s">
        <v>836</v>
      </c>
      <c r="T2828" t="s">
        <v>836</v>
      </c>
      <c r="U2828" t="str">
        <f t="shared" si="748"/>
        <v>2500-12-31 00:00:00.0</v>
      </c>
      <c r="V2828" t="s">
        <v>837</v>
      </c>
      <c r="W2828" t="str">
        <f t="shared" si="751"/>
        <v>048314-070417-**-**</v>
      </c>
      <c r="X2828" t="s">
        <v>838</v>
      </c>
      <c r="Y2828">
        <v>1125</v>
      </c>
      <c r="Z2828">
        <v>1125</v>
      </c>
      <c r="AA2828" t="str">
        <f t="shared" si="747"/>
        <v>06/08/2016</v>
      </c>
    </row>
    <row r="2829" spans="1:27" x14ac:dyDescent="0.3">
      <c r="A2829" t="str">
        <f t="shared" si="749"/>
        <v>048314</v>
      </c>
      <c r="B2829" t="str">
        <f t="shared" si="743"/>
        <v>070417</v>
      </c>
      <c r="C2829" t="s">
        <v>2376</v>
      </c>
      <c r="D2829" t="s">
        <v>3839</v>
      </c>
      <c r="E2829" t="s">
        <v>3840</v>
      </c>
      <c r="F2829" t="s">
        <v>3841</v>
      </c>
      <c r="G2829" t="s">
        <v>3842</v>
      </c>
      <c r="H2829" t="str">
        <f t="shared" si="746"/>
        <v>048314</v>
      </c>
      <c r="I2829" t="s">
        <v>833</v>
      </c>
      <c r="J2829" t="str">
        <f t="shared" si="750"/>
        <v>2015-07-01 00:00:00.0</v>
      </c>
      <c r="K2829" t="s">
        <v>834</v>
      </c>
      <c r="L2829" t="s">
        <v>0</v>
      </c>
      <c r="M2829" t="str">
        <f t="shared" si="741"/>
        <v>048314</v>
      </c>
      <c r="N2829">
        <v>1</v>
      </c>
      <c r="O2829">
        <v>1</v>
      </c>
      <c r="P2829" t="str">
        <f>"08"</f>
        <v>08</v>
      </c>
      <c r="Q2829" t="s">
        <v>835</v>
      </c>
      <c r="S2829" t="s">
        <v>836</v>
      </c>
      <c r="T2829" t="s">
        <v>836</v>
      </c>
      <c r="U2829" t="str">
        <f t="shared" si="748"/>
        <v>2500-12-31 00:00:00.0</v>
      </c>
      <c r="V2829" t="s">
        <v>837</v>
      </c>
      <c r="W2829" t="str">
        <f t="shared" si="751"/>
        <v>048314-070417-**-**</v>
      </c>
      <c r="X2829" t="s">
        <v>838</v>
      </c>
      <c r="Y2829">
        <v>1125</v>
      </c>
      <c r="Z2829">
        <v>1125</v>
      </c>
      <c r="AA2829" t="str">
        <f t="shared" si="747"/>
        <v>06/08/2016</v>
      </c>
    </row>
    <row r="2830" spans="1:27" x14ac:dyDescent="0.3">
      <c r="A2830" t="str">
        <f t="shared" si="749"/>
        <v>048314</v>
      </c>
      <c r="B2830" t="str">
        <f t="shared" si="743"/>
        <v>070417</v>
      </c>
      <c r="C2830" t="s">
        <v>2147</v>
      </c>
      <c r="D2830" t="s">
        <v>3839</v>
      </c>
      <c r="E2830" t="s">
        <v>3840</v>
      </c>
      <c r="F2830" t="s">
        <v>3841</v>
      </c>
      <c r="G2830" t="s">
        <v>3842</v>
      </c>
      <c r="H2830" t="str">
        <f t="shared" si="746"/>
        <v>048314</v>
      </c>
      <c r="I2830" t="s">
        <v>833</v>
      </c>
      <c r="J2830" t="str">
        <f t="shared" si="750"/>
        <v>2015-07-01 00:00:00.0</v>
      </c>
      <c r="K2830" t="s">
        <v>834</v>
      </c>
      <c r="L2830" t="s">
        <v>0</v>
      </c>
      <c r="M2830" t="str">
        <f t="shared" si="741"/>
        <v>048314</v>
      </c>
      <c r="N2830">
        <v>1</v>
      </c>
      <c r="O2830">
        <v>1</v>
      </c>
      <c r="P2830" t="str">
        <f>"08"</f>
        <v>08</v>
      </c>
      <c r="Q2830" t="s">
        <v>835</v>
      </c>
      <c r="S2830" t="s">
        <v>836</v>
      </c>
      <c r="T2830" t="s">
        <v>836</v>
      </c>
      <c r="U2830" t="str">
        <f t="shared" si="748"/>
        <v>2500-12-31 00:00:00.0</v>
      </c>
      <c r="V2830" t="s">
        <v>837</v>
      </c>
      <c r="W2830" t="str">
        <f t="shared" si="751"/>
        <v>048314-070417-**-**</v>
      </c>
      <c r="X2830" t="s">
        <v>838</v>
      </c>
      <c r="Y2830">
        <v>1125</v>
      </c>
      <c r="Z2830">
        <v>1125</v>
      </c>
      <c r="AA2830" t="str">
        <f t="shared" si="747"/>
        <v>06/08/2016</v>
      </c>
    </row>
    <row r="2831" spans="1:27" x14ac:dyDescent="0.3">
      <c r="A2831" t="str">
        <f t="shared" si="749"/>
        <v>048314</v>
      </c>
      <c r="B2831" t="str">
        <f t="shared" si="743"/>
        <v>070417</v>
      </c>
      <c r="C2831" t="s">
        <v>2148</v>
      </c>
      <c r="D2831" t="s">
        <v>3839</v>
      </c>
      <c r="E2831" t="s">
        <v>3840</v>
      </c>
      <c r="F2831" t="s">
        <v>3841</v>
      </c>
      <c r="G2831" t="s">
        <v>3842</v>
      </c>
      <c r="H2831" t="str">
        <f t="shared" si="746"/>
        <v>048314</v>
      </c>
      <c r="I2831" t="s">
        <v>833</v>
      </c>
      <c r="J2831" t="str">
        <f t="shared" si="750"/>
        <v>2015-07-01 00:00:00.0</v>
      </c>
      <c r="K2831" t="s">
        <v>834</v>
      </c>
      <c r="L2831" t="s">
        <v>0</v>
      </c>
      <c r="M2831" t="str">
        <f t="shared" si="741"/>
        <v>048314</v>
      </c>
      <c r="N2831">
        <v>1</v>
      </c>
      <c r="O2831">
        <v>1</v>
      </c>
      <c r="P2831" t="str">
        <f>"08"</f>
        <v>08</v>
      </c>
      <c r="Q2831" t="s">
        <v>835</v>
      </c>
      <c r="S2831" t="s">
        <v>836</v>
      </c>
      <c r="T2831" t="s">
        <v>836</v>
      </c>
      <c r="U2831" t="str">
        <f t="shared" si="748"/>
        <v>2500-12-31 00:00:00.0</v>
      </c>
      <c r="V2831" t="s">
        <v>837</v>
      </c>
      <c r="W2831" t="str">
        <f t="shared" si="751"/>
        <v>048314-070417-**-**</v>
      </c>
      <c r="X2831" t="s">
        <v>838</v>
      </c>
      <c r="Y2831">
        <v>1125</v>
      </c>
      <c r="Z2831">
        <v>1125</v>
      </c>
      <c r="AA2831" t="str">
        <f t="shared" si="747"/>
        <v>06/08/2016</v>
      </c>
    </row>
    <row r="2832" spans="1:27" x14ac:dyDescent="0.3">
      <c r="A2832" t="str">
        <f t="shared" si="749"/>
        <v>048314</v>
      </c>
      <c r="B2832" t="str">
        <f t="shared" si="743"/>
        <v>070417</v>
      </c>
      <c r="C2832" t="s">
        <v>2494</v>
      </c>
      <c r="D2832" t="s">
        <v>3839</v>
      </c>
      <c r="E2832" t="s">
        <v>3840</v>
      </c>
      <c r="F2832" t="s">
        <v>3841</v>
      </c>
      <c r="G2832" t="s">
        <v>3842</v>
      </c>
      <c r="H2832" t="str">
        <f t="shared" si="746"/>
        <v>048314</v>
      </c>
      <c r="I2832" t="s">
        <v>833</v>
      </c>
      <c r="J2832" t="str">
        <f t="shared" si="750"/>
        <v>2015-07-01 00:00:00.0</v>
      </c>
      <c r="K2832" t="s">
        <v>834</v>
      </c>
      <c r="L2832" t="s">
        <v>0</v>
      </c>
      <c r="M2832" t="str">
        <f t="shared" si="741"/>
        <v>048314</v>
      </c>
      <c r="N2832">
        <v>1</v>
      </c>
      <c r="O2832">
        <v>1</v>
      </c>
      <c r="P2832" t="str">
        <f>"06"</f>
        <v>06</v>
      </c>
      <c r="Q2832" t="str">
        <f>"10"</f>
        <v>10</v>
      </c>
      <c r="R2832" t="str">
        <f>"2"</f>
        <v>2</v>
      </c>
      <c r="S2832" t="s">
        <v>860</v>
      </c>
      <c r="T2832" t="s">
        <v>836</v>
      </c>
      <c r="U2832" t="str">
        <f t="shared" si="748"/>
        <v>2500-12-31 00:00:00.0</v>
      </c>
      <c r="V2832" t="s">
        <v>837</v>
      </c>
      <c r="W2832" t="str">
        <f t="shared" si="751"/>
        <v>048314-070417-**-**</v>
      </c>
      <c r="X2832" t="s">
        <v>838</v>
      </c>
      <c r="Y2832">
        <v>1125</v>
      </c>
      <c r="Z2832">
        <v>1125</v>
      </c>
      <c r="AA2832" t="str">
        <f t="shared" si="747"/>
        <v>06/08/2016</v>
      </c>
    </row>
    <row r="2833" spans="1:27" x14ac:dyDescent="0.3">
      <c r="A2833" t="str">
        <f t="shared" si="749"/>
        <v>048314</v>
      </c>
      <c r="B2833" t="str">
        <f t="shared" si="743"/>
        <v>070417</v>
      </c>
      <c r="C2833" t="s">
        <v>1976</v>
      </c>
      <c r="D2833" t="s">
        <v>3839</v>
      </c>
      <c r="E2833" t="s">
        <v>3840</v>
      </c>
      <c r="F2833" t="s">
        <v>3841</v>
      </c>
      <c r="G2833" t="s">
        <v>3842</v>
      </c>
      <c r="H2833" t="str">
        <f t="shared" si="746"/>
        <v>048314</v>
      </c>
      <c r="I2833" t="s">
        <v>833</v>
      </c>
      <c r="J2833" t="str">
        <f t="shared" si="750"/>
        <v>2015-07-01 00:00:00.0</v>
      </c>
      <c r="K2833" t="s">
        <v>834</v>
      </c>
      <c r="L2833" t="s">
        <v>0</v>
      </c>
      <c r="M2833" t="str">
        <f t="shared" si="741"/>
        <v>048314</v>
      </c>
      <c r="N2833">
        <v>1</v>
      </c>
      <c r="O2833">
        <v>1</v>
      </c>
      <c r="P2833" t="str">
        <f>"07"</f>
        <v>07</v>
      </c>
      <c r="Q2833" t="s">
        <v>835</v>
      </c>
      <c r="S2833" t="s">
        <v>836</v>
      </c>
      <c r="T2833" t="s">
        <v>836</v>
      </c>
      <c r="U2833" t="str">
        <f t="shared" si="748"/>
        <v>2500-12-31 00:00:00.0</v>
      </c>
      <c r="V2833" t="s">
        <v>837</v>
      </c>
      <c r="W2833" t="str">
        <f t="shared" si="751"/>
        <v>048314-070417-**-**</v>
      </c>
      <c r="X2833" t="s">
        <v>838</v>
      </c>
      <c r="Y2833">
        <v>1125</v>
      </c>
      <c r="Z2833">
        <v>1125</v>
      </c>
      <c r="AA2833" t="str">
        <f t="shared" si="747"/>
        <v>06/08/2016</v>
      </c>
    </row>
    <row r="2834" spans="1:27" x14ac:dyDescent="0.3">
      <c r="A2834" t="str">
        <f t="shared" si="749"/>
        <v>048314</v>
      </c>
      <c r="B2834" t="str">
        <f t="shared" si="743"/>
        <v>070417</v>
      </c>
      <c r="C2834" t="s">
        <v>1802</v>
      </c>
      <c r="D2834" t="s">
        <v>3839</v>
      </c>
      <c r="E2834" t="s">
        <v>3840</v>
      </c>
      <c r="F2834" t="s">
        <v>3841</v>
      </c>
      <c r="G2834" t="s">
        <v>3842</v>
      </c>
      <c r="H2834" t="str">
        <f t="shared" si="746"/>
        <v>048314</v>
      </c>
      <c r="I2834" t="s">
        <v>833</v>
      </c>
      <c r="J2834" t="str">
        <f t="shared" si="750"/>
        <v>2015-07-01 00:00:00.0</v>
      </c>
      <c r="K2834" t="s">
        <v>834</v>
      </c>
      <c r="L2834" t="s">
        <v>0</v>
      </c>
      <c r="M2834" t="str">
        <f t="shared" si="741"/>
        <v>048314</v>
      </c>
      <c r="N2834">
        <v>1</v>
      </c>
      <c r="O2834">
        <v>1</v>
      </c>
      <c r="P2834" t="str">
        <f>"09"</f>
        <v>09</v>
      </c>
      <c r="Q2834" t="s">
        <v>835</v>
      </c>
      <c r="S2834" t="s">
        <v>836</v>
      </c>
      <c r="T2834" t="s">
        <v>836</v>
      </c>
      <c r="U2834" t="str">
        <f t="shared" si="748"/>
        <v>2500-12-31 00:00:00.0</v>
      </c>
      <c r="V2834" t="s">
        <v>837</v>
      </c>
      <c r="W2834" t="str">
        <f>"048314-004796-**-**"</f>
        <v>048314-004796-**-**</v>
      </c>
      <c r="X2834" t="s">
        <v>838</v>
      </c>
      <c r="Y2834">
        <v>1254.5</v>
      </c>
      <c r="Z2834">
        <v>1254.5</v>
      </c>
      <c r="AA2834" t="str">
        <f t="shared" si="747"/>
        <v>06/08/2016</v>
      </c>
    </row>
    <row r="2835" spans="1:27" x14ac:dyDescent="0.3">
      <c r="A2835" t="str">
        <f t="shared" si="749"/>
        <v>048314</v>
      </c>
      <c r="B2835" t="str">
        <f t="shared" si="743"/>
        <v>070417</v>
      </c>
      <c r="C2835" t="s">
        <v>2623</v>
      </c>
      <c r="D2835" t="s">
        <v>3839</v>
      </c>
      <c r="E2835" t="s">
        <v>3840</v>
      </c>
      <c r="F2835" t="s">
        <v>3841</v>
      </c>
      <c r="G2835" t="s">
        <v>3842</v>
      </c>
      <c r="H2835" t="str">
        <f t="shared" si="746"/>
        <v>048314</v>
      </c>
      <c r="I2835" t="s">
        <v>833</v>
      </c>
      <c r="J2835" t="str">
        <f>"2015-12-01 00:00:00.0"</f>
        <v>2015-12-01 00:00:00.0</v>
      </c>
      <c r="K2835" t="s">
        <v>834</v>
      </c>
      <c r="L2835" t="s">
        <v>0</v>
      </c>
      <c r="M2835" t="str">
        <f t="shared" si="741"/>
        <v>048314</v>
      </c>
      <c r="N2835">
        <v>0.661111</v>
      </c>
      <c r="O2835">
        <v>0.63128499999999999</v>
      </c>
      <c r="P2835" t="str">
        <f>"06"</f>
        <v>06</v>
      </c>
      <c r="Q2835" t="str">
        <f>"10"</f>
        <v>10</v>
      </c>
      <c r="R2835" t="str">
        <f>"2"</f>
        <v>2</v>
      </c>
      <c r="S2835" t="s">
        <v>860</v>
      </c>
      <c r="T2835" t="s">
        <v>836</v>
      </c>
      <c r="U2835" t="str">
        <f t="shared" si="748"/>
        <v>2500-12-31 00:00:00.0</v>
      </c>
      <c r="V2835" t="s">
        <v>837</v>
      </c>
      <c r="W2835" t="str">
        <f>"048314-070417-**-**"</f>
        <v>048314-070417-**-**</v>
      </c>
      <c r="X2835" t="s">
        <v>838</v>
      </c>
      <c r="Y2835">
        <v>743.75</v>
      </c>
      <c r="Z2835">
        <v>1125</v>
      </c>
      <c r="AA2835" t="str">
        <f t="shared" si="747"/>
        <v>06/08/2016</v>
      </c>
    </row>
    <row r="2836" spans="1:27" x14ac:dyDescent="0.3">
      <c r="A2836" t="str">
        <f t="shared" si="749"/>
        <v>048314</v>
      </c>
      <c r="B2836" t="str">
        <f t="shared" si="743"/>
        <v>070417</v>
      </c>
      <c r="C2836" t="s">
        <v>2495</v>
      </c>
      <c r="D2836" t="s">
        <v>3839</v>
      </c>
      <c r="E2836" t="s">
        <v>3840</v>
      </c>
      <c r="F2836" t="s">
        <v>3841</v>
      </c>
      <c r="G2836" t="s">
        <v>3842</v>
      </c>
      <c r="H2836" t="str">
        <f t="shared" si="746"/>
        <v>048314</v>
      </c>
      <c r="I2836" t="s">
        <v>833</v>
      </c>
      <c r="J2836" t="str">
        <f t="shared" ref="J2836:J2859" si="752">"2015-07-01 00:00:00.0"</f>
        <v>2015-07-01 00:00:00.0</v>
      </c>
      <c r="K2836" t="s">
        <v>834</v>
      </c>
      <c r="L2836" t="s">
        <v>0</v>
      </c>
      <c r="M2836" t="str">
        <f t="shared" si="741"/>
        <v>048314</v>
      </c>
      <c r="N2836">
        <v>1</v>
      </c>
      <c r="O2836">
        <v>1</v>
      </c>
      <c r="P2836" t="str">
        <f>"09"</f>
        <v>09</v>
      </c>
      <c r="Q2836" t="s">
        <v>835</v>
      </c>
      <c r="S2836" t="s">
        <v>836</v>
      </c>
      <c r="T2836" t="s">
        <v>836</v>
      </c>
      <c r="U2836" t="str">
        <f t="shared" si="748"/>
        <v>2500-12-31 00:00:00.0</v>
      </c>
      <c r="V2836" t="s">
        <v>837</v>
      </c>
      <c r="W2836" t="str">
        <f>"048314-004796-**-**"</f>
        <v>048314-004796-**-**</v>
      </c>
      <c r="X2836" t="s">
        <v>838</v>
      </c>
      <c r="Y2836">
        <v>1254.5</v>
      </c>
      <c r="Z2836">
        <v>1254.5</v>
      </c>
      <c r="AA2836" t="str">
        <f t="shared" si="747"/>
        <v>06/08/2016</v>
      </c>
    </row>
    <row r="2837" spans="1:27" x14ac:dyDescent="0.3">
      <c r="A2837" t="str">
        <f t="shared" si="749"/>
        <v>048314</v>
      </c>
      <c r="B2837" t="str">
        <f t="shared" si="743"/>
        <v>070417</v>
      </c>
      <c r="C2837" t="s">
        <v>2496</v>
      </c>
      <c r="D2837" t="s">
        <v>3839</v>
      </c>
      <c r="E2837" t="s">
        <v>3840</v>
      </c>
      <c r="F2837" t="s">
        <v>3841</v>
      </c>
      <c r="G2837" t="s">
        <v>3842</v>
      </c>
      <c r="H2837" t="str">
        <f t="shared" si="746"/>
        <v>048314</v>
      </c>
      <c r="I2837" t="s">
        <v>833</v>
      </c>
      <c r="J2837" t="str">
        <f t="shared" si="752"/>
        <v>2015-07-01 00:00:00.0</v>
      </c>
      <c r="K2837" t="s">
        <v>834</v>
      </c>
      <c r="L2837" t="s">
        <v>0</v>
      </c>
      <c r="M2837" t="str">
        <f t="shared" si="741"/>
        <v>048314</v>
      </c>
      <c r="N2837">
        <v>1</v>
      </c>
      <c r="O2837">
        <v>1</v>
      </c>
      <c r="P2837" t="str">
        <f>"08"</f>
        <v>08</v>
      </c>
      <c r="Q2837" t="s">
        <v>835</v>
      </c>
      <c r="S2837" t="s">
        <v>836</v>
      </c>
      <c r="T2837" t="s">
        <v>836</v>
      </c>
      <c r="U2837" t="str">
        <f t="shared" si="748"/>
        <v>2500-12-31 00:00:00.0</v>
      </c>
      <c r="V2837" t="s">
        <v>837</v>
      </c>
      <c r="W2837" t="str">
        <f>"048314-070417-**-**"</f>
        <v>048314-070417-**-**</v>
      </c>
      <c r="X2837" t="s">
        <v>838</v>
      </c>
      <c r="Y2837">
        <v>1125</v>
      </c>
      <c r="Z2837">
        <v>1125</v>
      </c>
      <c r="AA2837" t="str">
        <f t="shared" si="747"/>
        <v>06/08/2016</v>
      </c>
    </row>
    <row r="2838" spans="1:27" x14ac:dyDescent="0.3">
      <c r="A2838" t="str">
        <f t="shared" si="749"/>
        <v>048314</v>
      </c>
      <c r="B2838" t="str">
        <f t="shared" si="743"/>
        <v>070417</v>
      </c>
      <c r="C2838" t="s">
        <v>2149</v>
      </c>
      <c r="D2838" t="s">
        <v>3839</v>
      </c>
      <c r="E2838" t="s">
        <v>3840</v>
      </c>
      <c r="F2838" t="s">
        <v>3841</v>
      </c>
      <c r="G2838" t="s">
        <v>3842</v>
      </c>
      <c r="H2838" t="str">
        <f t="shared" si="746"/>
        <v>048314</v>
      </c>
      <c r="I2838" t="s">
        <v>833</v>
      </c>
      <c r="J2838" t="str">
        <f t="shared" si="752"/>
        <v>2015-07-01 00:00:00.0</v>
      </c>
      <c r="K2838" t="s">
        <v>834</v>
      </c>
      <c r="L2838" t="s">
        <v>0</v>
      </c>
      <c r="M2838" t="str">
        <f t="shared" si="741"/>
        <v>048314</v>
      </c>
      <c r="N2838">
        <v>1</v>
      </c>
      <c r="O2838">
        <v>1</v>
      </c>
      <c r="P2838" t="str">
        <f>"08"</f>
        <v>08</v>
      </c>
      <c r="Q2838" t="s">
        <v>835</v>
      </c>
      <c r="S2838" t="s">
        <v>836</v>
      </c>
      <c r="T2838" t="s">
        <v>836</v>
      </c>
      <c r="U2838" t="str">
        <f t="shared" si="748"/>
        <v>2500-12-31 00:00:00.0</v>
      </c>
      <c r="V2838" t="s">
        <v>837</v>
      </c>
      <c r="W2838" t="str">
        <f>"048314-070417-**-**"</f>
        <v>048314-070417-**-**</v>
      </c>
      <c r="X2838" t="s">
        <v>838</v>
      </c>
      <c r="Y2838">
        <v>1125</v>
      </c>
      <c r="Z2838">
        <v>1125</v>
      </c>
      <c r="AA2838" t="str">
        <f t="shared" si="747"/>
        <v>06/08/2016</v>
      </c>
    </row>
    <row r="2839" spans="1:27" x14ac:dyDescent="0.3">
      <c r="A2839" t="str">
        <f t="shared" si="749"/>
        <v>048314</v>
      </c>
      <c r="B2839" t="str">
        <f t="shared" si="743"/>
        <v>070417</v>
      </c>
      <c r="C2839" t="s">
        <v>2915</v>
      </c>
      <c r="D2839" t="s">
        <v>3839</v>
      </c>
      <c r="E2839" t="s">
        <v>3840</v>
      </c>
      <c r="F2839" t="s">
        <v>3841</v>
      </c>
      <c r="G2839" t="s">
        <v>3842</v>
      </c>
      <c r="H2839" t="str">
        <f t="shared" si="746"/>
        <v>048314</v>
      </c>
      <c r="I2839" t="s">
        <v>833</v>
      </c>
      <c r="J2839" t="str">
        <f t="shared" si="752"/>
        <v>2015-07-01 00:00:00.0</v>
      </c>
      <c r="K2839" t="s">
        <v>834</v>
      </c>
      <c r="L2839" t="s">
        <v>0</v>
      </c>
      <c r="M2839" t="str">
        <f t="shared" ref="M2839:M2902" si="753">"048314"</f>
        <v>048314</v>
      </c>
      <c r="N2839">
        <v>1</v>
      </c>
      <c r="O2839">
        <v>1</v>
      </c>
      <c r="P2839" t="str">
        <f>"06"</f>
        <v>06</v>
      </c>
      <c r="Q2839" t="s">
        <v>835</v>
      </c>
      <c r="S2839" t="s">
        <v>836</v>
      </c>
      <c r="T2839" t="s">
        <v>836</v>
      </c>
      <c r="U2839" t="str">
        <f t="shared" si="748"/>
        <v>2500-12-31 00:00:00.0</v>
      </c>
      <c r="V2839" t="s">
        <v>837</v>
      </c>
      <c r="W2839" t="str">
        <f>"048314-070417-**-**"</f>
        <v>048314-070417-**-**</v>
      </c>
      <c r="X2839" t="s">
        <v>838</v>
      </c>
      <c r="Y2839">
        <v>1125</v>
      </c>
      <c r="Z2839">
        <v>1125</v>
      </c>
      <c r="AA2839" t="str">
        <f t="shared" si="747"/>
        <v>06/08/2016</v>
      </c>
    </row>
    <row r="2840" spans="1:27" x14ac:dyDescent="0.3">
      <c r="A2840" t="str">
        <f t="shared" si="749"/>
        <v>048314</v>
      </c>
      <c r="B2840" t="str">
        <f t="shared" si="743"/>
        <v>070417</v>
      </c>
      <c r="C2840" t="s">
        <v>2497</v>
      </c>
      <c r="D2840" t="s">
        <v>3839</v>
      </c>
      <c r="E2840" t="s">
        <v>3840</v>
      </c>
      <c r="F2840" t="s">
        <v>3841</v>
      </c>
      <c r="G2840" t="s">
        <v>3842</v>
      </c>
      <c r="H2840" t="str">
        <f t="shared" si="746"/>
        <v>048314</v>
      </c>
      <c r="I2840" t="s">
        <v>833</v>
      </c>
      <c r="J2840" t="str">
        <f t="shared" si="752"/>
        <v>2015-07-01 00:00:00.0</v>
      </c>
      <c r="K2840" t="s">
        <v>834</v>
      </c>
      <c r="L2840" t="s">
        <v>0</v>
      </c>
      <c r="M2840" t="str">
        <f t="shared" si="753"/>
        <v>048314</v>
      </c>
      <c r="N2840">
        <v>1</v>
      </c>
      <c r="O2840">
        <v>1</v>
      </c>
      <c r="P2840" t="str">
        <f>"08"</f>
        <v>08</v>
      </c>
      <c r="Q2840" t="s">
        <v>835</v>
      </c>
      <c r="S2840" t="s">
        <v>836</v>
      </c>
      <c r="T2840" t="s">
        <v>836</v>
      </c>
      <c r="U2840" t="str">
        <f t="shared" si="748"/>
        <v>2500-12-31 00:00:00.0</v>
      </c>
      <c r="V2840" t="s">
        <v>837</v>
      </c>
      <c r="W2840" t="str">
        <f>"048314-070417-**-**"</f>
        <v>048314-070417-**-**</v>
      </c>
      <c r="X2840" t="s">
        <v>838</v>
      </c>
      <c r="Y2840">
        <v>1125</v>
      </c>
      <c r="Z2840">
        <v>1125</v>
      </c>
      <c r="AA2840" t="str">
        <f t="shared" si="747"/>
        <v>06/08/2016</v>
      </c>
    </row>
    <row r="2841" spans="1:27" x14ac:dyDescent="0.3">
      <c r="A2841" t="str">
        <f t="shared" si="749"/>
        <v>048314</v>
      </c>
      <c r="B2841" t="str">
        <f t="shared" si="743"/>
        <v>070417</v>
      </c>
      <c r="C2841" t="s">
        <v>2150</v>
      </c>
      <c r="D2841" t="s">
        <v>3839</v>
      </c>
      <c r="E2841" t="s">
        <v>3840</v>
      </c>
      <c r="F2841" t="s">
        <v>3841</v>
      </c>
      <c r="G2841" t="s">
        <v>3842</v>
      </c>
      <c r="H2841" t="str">
        <f t="shared" si="746"/>
        <v>048314</v>
      </c>
      <c r="I2841" t="s">
        <v>833</v>
      </c>
      <c r="J2841" t="str">
        <f t="shared" si="752"/>
        <v>2015-07-01 00:00:00.0</v>
      </c>
      <c r="K2841" t="s">
        <v>834</v>
      </c>
      <c r="L2841" t="s">
        <v>0</v>
      </c>
      <c r="M2841" t="str">
        <f t="shared" si="753"/>
        <v>048314</v>
      </c>
      <c r="N2841">
        <v>1</v>
      </c>
      <c r="O2841">
        <v>1</v>
      </c>
      <c r="P2841" t="str">
        <f>"08"</f>
        <v>08</v>
      </c>
      <c r="Q2841" t="s">
        <v>835</v>
      </c>
      <c r="S2841" t="s">
        <v>836</v>
      </c>
      <c r="T2841" t="s">
        <v>836</v>
      </c>
      <c r="U2841" t="str">
        <f t="shared" si="748"/>
        <v>2500-12-31 00:00:00.0</v>
      </c>
      <c r="V2841" t="s">
        <v>837</v>
      </c>
      <c r="W2841" t="str">
        <f>"048314-070417-**-**"</f>
        <v>048314-070417-**-**</v>
      </c>
      <c r="X2841" t="s">
        <v>838</v>
      </c>
      <c r="Y2841">
        <v>1125</v>
      </c>
      <c r="Z2841">
        <v>1125</v>
      </c>
      <c r="AA2841" t="str">
        <f t="shared" si="747"/>
        <v>06/08/2016</v>
      </c>
    </row>
    <row r="2842" spans="1:27" x14ac:dyDescent="0.3">
      <c r="A2842" t="str">
        <f t="shared" si="749"/>
        <v>048314</v>
      </c>
      <c r="B2842" t="str">
        <f t="shared" si="743"/>
        <v>070417</v>
      </c>
      <c r="C2842" t="s">
        <v>1897</v>
      </c>
      <c r="D2842" t="s">
        <v>3839</v>
      </c>
      <c r="E2842" t="s">
        <v>3840</v>
      </c>
      <c r="F2842" t="s">
        <v>3841</v>
      </c>
      <c r="G2842" t="s">
        <v>3842</v>
      </c>
      <c r="H2842" t="str">
        <f t="shared" si="746"/>
        <v>048314</v>
      </c>
      <c r="I2842" t="s">
        <v>833</v>
      </c>
      <c r="J2842" t="str">
        <f t="shared" si="752"/>
        <v>2015-07-01 00:00:00.0</v>
      </c>
      <c r="K2842" t="s">
        <v>834</v>
      </c>
      <c r="L2842" t="s">
        <v>0</v>
      </c>
      <c r="M2842" t="str">
        <f t="shared" si="753"/>
        <v>048314</v>
      </c>
      <c r="N2842">
        <v>1</v>
      </c>
      <c r="O2842">
        <v>1</v>
      </c>
      <c r="P2842" t="str">
        <f>"09"</f>
        <v>09</v>
      </c>
      <c r="Q2842" t="s">
        <v>835</v>
      </c>
      <c r="S2842" t="s">
        <v>836</v>
      </c>
      <c r="T2842" t="s">
        <v>836</v>
      </c>
      <c r="U2842" t="str">
        <f t="shared" si="748"/>
        <v>2500-12-31 00:00:00.0</v>
      </c>
      <c r="V2842" t="s">
        <v>837</v>
      </c>
      <c r="W2842" t="str">
        <f>"048314-004796-**-**"</f>
        <v>048314-004796-**-**</v>
      </c>
      <c r="X2842" t="s">
        <v>838</v>
      </c>
      <c r="Y2842">
        <v>1254.5</v>
      </c>
      <c r="Z2842">
        <v>1254.5</v>
      </c>
      <c r="AA2842" t="str">
        <f t="shared" si="747"/>
        <v>06/08/2016</v>
      </c>
    </row>
    <row r="2843" spans="1:27" x14ac:dyDescent="0.3">
      <c r="A2843" t="str">
        <f t="shared" si="749"/>
        <v>048314</v>
      </c>
      <c r="B2843" t="str">
        <f t="shared" si="743"/>
        <v>070417</v>
      </c>
      <c r="C2843" t="s">
        <v>2277</v>
      </c>
      <c r="D2843" t="s">
        <v>3839</v>
      </c>
      <c r="E2843" t="s">
        <v>3840</v>
      </c>
      <c r="F2843" t="s">
        <v>3841</v>
      </c>
      <c r="G2843" t="s">
        <v>3842</v>
      </c>
      <c r="H2843" t="str">
        <f t="shared" si="746"/>
        <v>048314</v>
      </c>
      <c r="I2843" t="s">
        <v>833</v>
      </c>
      <c r="J2843" t="str">
        <f t="shared" si="752"/>
        <v>2015-07-01 00:00:00.0</v>
      </c>
      <c r="K2843" t="s">
        <v>834</v>
      </c>
      <c r="L2843" t="s">
        <v>0</v>
      </c>
      <c r="M2843" t="str">
        <f t="shared" si="753"/>
        <v>048314</v>
      </c>
      <c r="N2843">
        <v>1</v>
      </c>
      <c r="O2843">
        <v>1</v>
      </c>
      <c r="P2843" t="str">
        <f>"08"</f>
        <v>08</v>
      </c>
      <c r="Q2843" t="s">
        <v>835</v>
      </c>
      <c r="S2843" t="s">
        <v>836</v>
      </c>
      <c r="T2843" t="s">
        <v>836</v>
      </c>
      <c r="U2843" t="str">
        <f t="shared" si="748"/>
        <v>2500-12-31 00:00:00.0</v>
      </c>
      <c r="V2843" t="s">
        <v>837</v>
      </c>
      <c r="W2843" t="str">
        <f>"048314-070417-**-**"</f>
        <v>048314-070417-**-**</v>
      </c>
      <c r="X2843" t="s">
        <v>838</v>
      </c>
      <c r="Y2843">
        <v>1125</v>
      </c>
      <c r="Z2843">
        <v>1125</v>
      </c>
      <c r="AA2843" t="str">
        <f t="shared" si="747"/>
        <v>06/08/2016</v>
      </c>
    </row>
    <row r="2844" spans="1:27" x14ac:dyDescent="0.3">
      <c r="A2844" t="str">
        <f t="shared" si="749"/>
        <v>048314</v>
      </c>
      <c r="B2844" t="str">
        <f t="shared" si="743"/>
        <v>070417</v>
      </c>
      <c r="C2844" t="s">
        <v>1989</v>
      </c>
      <c r="D2844" t="s">
        <v>3839</v>
      </c>
      <c r="E2844" t="s">
        <v>3840</v>
      </c>
      <c r="F2844" t="s">
        <v>3841</v>
      </c>
      <c r="G2844" t="s">
        <v>3842</v>
      </c>
      <c r="H2844" t="str">
        <f t="shared" si="746"/>
        <v>048314</v>
      </c>
      <c r="I2844" t="s">
        <v>833</v>
      </c>
      <c r="J2844" t="str">
        <f t="shared" si="752"/>
        <v>2015-07-01 00:00:00.0</v>
      </c>
      <c r="K2844" t="s">
        <v>834</v>
      </c>
      <c r="L2844" t="s">
        <v>0</v>
      </c>
      <c r="M2844" t="str">
        <f t="shared" si="753"/>
        <v>048314</v>
      </c>
      <c r="N2844">
        <v>1</v>
      </c>
      <c r="O2844">
        <v>1</v>
      </c>
      <c r="P2844" t="str">
        <f>"09"</f>
        <v>09</v>
      </c>
      <c r="Q2844" t="s">
        <v>835</v>
      </c>
      <c r="S2844" t="s">
        <v>860</v>
      </c>
      <c r="T2844" t="s">
        <v>836</v>
      </c>
      <c r="U2844" t="str">
        <f t="shared" si="748"/>
        <v>2500-12-31 00:00:00.0</v>
      </c>
      <c r="V2844" t="s">
        <v>837</v>
      </c>
      <c r="W2844" t="str">
        <f>"048314-004796-**-**"</f>
        <v>048314-004796-**-**</v>
      </c>
      <c r="X2844" t="s">
        <v>838</v>
      </c>
      <c r="Y2844">
        <v>1254.5</v>
      </c>
      <c r="Z2844">
        <v>1254.5</v>
      </c>
      <c r="AA2844" t="str">
        <f t="shared" si="747"/>
        <v>06/08/2016</v>
      </c>
    </row>
    <row r="2845" spans="1:27" x14ac:dyDescent="0.3">
      <c r="A2845" t="str">
        <f t="shared" si="749"/>
        <v>048314</v>
      </c>
      <c r="B2845" t="str">
        <f t="shared" si="743"/>
        <v>070417</v>
      </c>
      <c r="C2845" t="s">
        <v>2722</v>
      </c>
      <c r="D2845" t="s">
        <v>3839</v>
      </c>
      <c r="E2845" t="s">
        <v>3840</v>
      </c>
      <c r="F2845" t="s">
        <v>3841</v>
      </c>
      <c r="G2845" t="s">
        <v>3842</v>
      </c>
      <c r="H2845" t="str">
        <f t="shared" si="746"/>
        <v>048314</v>
      </c>
      <c r="I2845" t="s">
        <v>833</v>
      </c>
      <c r="J2845" t="str">
        <f t="shared" si="752"/>
        <v>2015-07-01 00:00:00.0</v>
      </c>
      <c r="K2845" t="s">
        <v>834</v>
      </c>
      <c r="L2845" t="s">
        <v>0</v>
      </c>
      <c r="M2845" t="str">
        <f t="shared" si="753"/>
        <v>048314</v>
      </c>
      <c r="N2845">
        <v>1</v>
      </c>
      <c r="O2845">
        <v>1</v>
      </c>
      <c r="P2845" t="str">
        <f>"07"</f>
        <v>07</v>
      </c>
      <c r="Q2845" t="str">
        <f>"15"</f>
        <v>15</v>
      </c>
      <c r="R2845" t="str">
        <f>"2"</f>
        <v>2</v>
      </c>
      <c r="S2845" t="s">
        <v>836</v>
      </c>
      <c r="T2845" t="s">
        <v>836</v>
      </c>
      <c r="U2845" t="str">
        <f t="shared" si="748"/>
        <v>2500-12-31 00:00:00.0</v>
      </c>
      <c r="V2845" t="s">
        <v>837</v>
      </c>
      <c r="W2845" t="str">
        <f>"048314-070417-**-**"</f>
        <v>048314-070417-**-**</v>
      </c>
      <c r="X2845" t="s">
        <v>838</v>
      </c>
      <c r="Y2845">
        <v>1125</v>
      </c>
      <c r="Z2845">
        <v>1125</v>
      </c>
      <c r="AA2845" t="str">
        <f t="shared" si="747"/>
        <v>06/08/2016</v>
      </c>
    </row>
    <row r="2846" spans="1:27" x14ac:dyDescent="0.3">
      <c r="A2846" t="str">
        <f t="shared" si="749"/>
        <v>048314</v>
      </c>
      <c r="B2846" t="str">
        <f t="shared" si="743"/>
        <v>070417</v>
      </c>
      <c r="C2846" t="s">
        <v>2178</v>
      </c>
      <c r="D2846" t="s">
        <v>3839</v>
      </c>
      <c r="E2846" t="s">
        <v>3840</v>
      </c>
      <c r="F2846" t="s">
        <v>3841</v>
      </c>
      <c r="G2846" t="s">
        <v>3842</v>
      </c>
      <c r="H2846" t="str">
        <f t="shared" si="746"/>
        <v>048314</v>
      </c>
      <c r="I2846" t="s">
        <v>833</v>
      </c>
      <c r="J2846" t="str">
        <f t="shared" si="752"/>
        <v>2015-07-01 00:00:00.0</v>
      </c>
      <c r="K2846" t="s">
        <v>834</v>
      </c>
      <c r="L2846" t="s">
        <v>0</v>
      </c>
      <c r="M2846" t="str">
        <f t="shared" si="753"/>
        <v>048314</v>
      </c>
      <c r="N2846">
        <v>1</v>
      </c>
      <c r="O2846">
        <v>1</v>
      </c>
      <c r="P2846" t="str">
        <f>"09"</f>
        <v>09</v>
      </c>
      <c r="Q2846" t="s">
        <v>835</v>
      </c>
      <c r="S2846" t="s">
        <v>836</v>
      </c>
      <c r="T2846" t="s">
        <v>836</v>
      </c>
      <c r="U2846" t="str">
        <f t="shared" si="748"/>
        <v>2500-12-31 00:00:00.0</v>
      </c>
      <c r="V2846" t="s">
        <v>837</v>
      </c>
      <c r="W2846" t="str">
        <f>"048314-004796-**-**"</f>
        <v>048314-004796-**-**</v>
      </c>
      <c r="X2846" t="s">
        <v>838</v>
      </c>
      <c r="Y2846">
        <v>1254.5</v>
      </c>
      <c r="Z2846">
        <v>1254.5</v>
      </c>
      <c r="AA2846" t="str">
        <f t="shared" si="747"/>
        <v>06/08/2016</v>
      </c>
    </row>
    <row r="2847" spans="1:27" x14ac:dyDescent="0.3">
      <c r="A2847" t="str">
        <f t="shared" si="749"/>
        <v>048314</v>
      </c>
      <c r="B2847" t="str">
        <f t="shared" si="743"/>
        <v>070417</v>
      </c>
      <c r="C2847" t="s">
        <v>2183</v>
      </c>
      <c r="D2847" t="s">
        <v>3839</v>
      </c>
      <c r="E2847" t="s">
        <v>3840</v>
      </c>
      <c r="F2847" t="s">
        <v>3841</v>
      </c>
      <c r="G2847" t="s">
        <v>3842</v>
      </c>
      <c r="H2847" t="str">
        <f t="shared" si="746"/>
        <v>048314</v>
      </c>
      <c r="I2847" t="s">
        <v>833</v>
      </c>
      <c r="J2847" t="str">
        <f t="shared" si="752"/>
        <v>2015-07-01 00:00:00.0</v>
      </c>
      <c r="K2847" t="s">
        <v>834</v>
      </c>
      <c r="L2847" t="s">
        <v>0</v>
      </c>
      <c r="M2847" t="str">
        <f t="shared" si="753"/>
        <v>048314</v>
      </c>
      <c r="N2847">
        <v>1</v>
      </c>
      <c r="O2847">
        <v>1</v>
      </c>
      <c r="P2847" t="str">
        <f>"09"</f>
        <v>09</v>
      </c>
      <c r="Q2847" t="s">
        <v>835</v>
      </c>
      <c r="S2847" t="s">
        <v>836</v>
      </c>
      <c r="T2847" t="s">
        <v>836</v>
      </c>
      <c r="U2847" t="str">
        <f t="shared" si="748"/>
        <v>2500-12-31 00:00:00.0</v>
      </c>
      <c r="V2847" t="s">
        <v>837</v>
      </c>
      <c r="W2847" t="str">
        <f>"048314-004796-**-**"</f>
        <v>048314-004796-**-**</v>
      </c>
      <c r="X2847" t="s">
        <v>838</v>
      </c>
      <c r="Y2847">
        <v>1254.5</v>
      </c>
      <c r="Z2847">
        <v>1254.5</v>
      </c>
      <c r="AA2847" t="str">
        <f t="shared" si="747"/>
        <v>06/08/2016</v>
      </c>
    </row>
    <row r="2848" spans="1:27" x14ac:dyDescent="0.3">
      <c r="A2848" t="str">
        <f t="shared" si="749"/>
        <v>048314</v>
      </c>
      <c r="B2848" t="str">
        <f t="shared" si="743"/>
        <v>070417</v>
      </c>
      <c r="C2848" t="s">
        <v>2916</v>
      </c>
      <c r="D2848" t="s">
        <v>3839</v>
      </c>
      <c r="E2848" t="s">
        <v>3840</v>
      </c>
      <c r="F2848" t="s">
        <v>3841</v>
      </c>
      <c r="G2848" t="s">
        <v>3842</v>
      </c>
      <c r="H2848" t="str">
        <f t="shared" si="746"/>
        <v>048314</v>
      </c>
      <c r="I2848" t="s">
        <v>833</v>
      </c>
      <c r="J2848" t="str">
        <f t="shared" si="752"/>
        <v>2015-07-01 00:00:00.0</v>
      </c>
      <c r="K2848" t="s">
        <v>834</v>
      </c>
      <c r="L2848" t="s">
        <v>0</v>
      </c>
      <c r="M2848" t="str">
        <f t="shared" si="753"/>
        <v>048314</v>
      </c>
      <c r="N2848">
        <v>1</v>
      </c>
      <c r="O2848">
        <v>1</v>
      </c>
      <c r="P2848" t="str">
        <f>"06"</f>
        <v>06</v>
      </c>
      <c r="Q2848" t="str">
        <f>"10"</f>
        <v>10</v>
      </c>
      <c r="R2848" t="str">
        <f>"2"</f>
        <v>2</v>
      </c>
      <c r="S2848" t="s">
        <v>836</v>
      </c>
      <c r="T2848" t="s">
        <v>836</v>
      </c>
      <c r="U2848" t="str">
        <f t="shared" si="748"/>
        <v>2500-12-31 00:00:00.0</v>
      </c>
      <c r="V2848" t="s">
        <v>837</v>
      </c>
      <c r="W2848" t="str">
        <f t="shared" ref="W2848:W2859" si="754">"048314-070417-**-**"</f>
        <v>048314-070417-**-**</v>
      </c>
      <c r="X2848" t="s">
        <v>838</v>
      </c>
      <c r="Y2848">
        <v>1125</v>
      </c>
      <c r="Z2848">
        <v>1125</v>
      </c>
      <c r="AA2848" t="str">
        <f t="shared" si="747"/>
        <v>06/08/2016</v>
      </c>
    </row>
    <row r="2849" spans="1:27" x14ac:dyDescent="0.3">
      <c r="A2849" t="str">
        <f t="shared" si="749"/>
        <v>048314</v>
      </c>
      <c r="B2849" t="str">
        <f t="shared" si="743"/>
        <v>070417</v>
      </c>
      <c r="C2849" t="s">
        <v>2784</v>
      </c>
      <c r="D2849" t="s">
        <v>3839</v>
      </c>
      <c r="E2849" t="s">
        <v>3840</v>
      </c>
      <c r="F2849" t="s">
        <v>3841</v>
      </c>
      <c r="G2849" t="s">
        <v>3842</v>
      </c>
      <c r="H2849" t="str">
        <f t="shared" si="746"/>
        <v>048314</v>
      </c>
      <c r="I2849" t="s">
        <v>833</v>
      </c>
      <c r="J2849" t="str">
        <f t="shared" si="752"/>
        <v>2015-07-01 00:00:00.0</v>
      </c>
      <c r="K2849" t="s">
        <v>834</v>
      </c>
      <c r="L2849" t="s">
        <v>0</v>
      </c>
      <c r="M2849" t="str">
        <f t="shared" si="753"/>
        <v>048314</v>
      </c>
      <c r="N2849">
        <v>1</v>
      </c>
      <c r="O2849">
        <v>1</v>
      </c>
      <c r="P2849" t="str">
        <f>"06"</f>
        <v>06</v>
      </c>
      <c r="Q2849" t="s">
        <v>835</v>
      </c>
      <c r="S2849" t="s">
        <v>836</v>
      </c>
      <c r="T2849" t="s">
        <v>836</v>
      </c>
      <c r="U2849" t="str">
        <f t="shared" si="748"/>
        <v>2500-12-31 00:00:00.0</v>
      </c>
      <c r="V2849" t="s">
        <v>837</v>
      </c>
      <c r="W2849" t="str">
        <f t="shared" si="754"/>
        <v>048314-070417-**-**</v>
      </c>
      <c r="X2849" t="s">
        <v>838</v>
      </c>
      <c r="Y2849">
        <v>1125</v>
      </c>
      <c r="Z2849">
        <v>1125</v>
      </c>
      <c r="AA2849" t="str">
        <f t="shared" si="747"/>
        <v>06/08/2016</v>
      </c>
    </row>
    <row r="2850" spans="1:27" x14ac:dyDescent="0.3">
      <c r="A2850" t="str">
        <f t="shared" si="749"/>
        <v>048314</v>
      </c>
      <c r="B2850" t="str">
        <f t="shared" si="743"/>
        <v>070417</v>
      </c>
      <c r="C2850" t="s">
        <v>2282</v>
      </c>
      <c r="D2850" t="s">
        <v>3839</v>
      </c>
      <c r="E2850" t="s">
        <v>3840</v>
      </c>
      <c r="F2850" t="s">
        <v>3841</v>
      </c>
      <c r="G2850" t="s">
        <v>3842</v>
      </c>
      <c r="H2850" t="str">
        <f t="shared" si="746"/>
        <v>048314</v>
      </c>
      <c r="I2850" t="s">
        <v>833</v>
      </c>
      <c r="J2850" t="str">
        <f t="shared" si="752"/>
        <v>2015-07-01 00:00:00.0</v>
      </c>
      <c r="K2850" t="s">
        <v>834</v>
      </c>
      <c r="L2850" t="s">
        <v>0</v>
      </c>
      <c r="M2850" t="str">
        <f t="shared" si="753"/>
        <v>048314</v>
      </c>
      <c r="N2850">
        <v>1</v>
      </c>
      <c r="O2850">
        <v>1</v>
      </c>
      <c r="P2850" t="str">
        <f>"08"</f>
        <v>08</v>
      </c>
      <c r="Q2850" t="s">
        <v>835</v>
      </c>
      <c r="S2850" t="s">
        <v>836</v>
      </c>
      <c r="T2850" t="s">
        <v>836</v>
      </c>
      <c r="U2850" t="str">
        <f t="shared" si="748"/>
        <v>2500-12-31 00:00:00.0</v>
      </c>
      <c r="V2850" t="s">
        <v>837</v>
      </c>
      <c r="W2850" t="str">
        <f t="shared" si="754"/>
        <v>048314-070417-**-**</v>
      </c>
      <c r="X2850" t="s">
        <v>838</v>
      </c>
      <c r="Y2850">
        <v>1125</v>
      </c>
      <c r="Z2850">
        <v>1125</v>
      </c>
      <c r="AA2850" t="str">
        <f t="shared" si="747"/>
        <v>06/08/2016</v>
      </c>
    </row>
    <row r="2851" spans="1:27" x14ac:dyDescent="0.3">
      <c r="A2851" t="str">
        <f t="shared" si="749"/>
        <v>048314</v>
      </c>
      <c r="B2851" t="str">
        <f t="shared" si="743"/>
        <v>070417</v>
      </c>
      <c r="C2851" t="s">
        <v>2723</v>
      </c>
      <c r="D2851" t="s">
        <v>3839</v>
      </c>
      <c r="E2851" t="s">
        <v>3840</v>
      </c>
      <c r="F2851" t="s">
        <v>3841</v>
      </c>
      <c r="G2851" t="s">
        <v>3842</v>
      </c>
      <c r="H2851" t="str">
        <f t="shared" si="746"/>
        <v>048314</v>
      </c>
      <c r="I2851" t="s">
        <v>833</v>
      </c>
      <c r="J2851" t="str">
        <f t="shared" si="752"/>
        <v>2015-07-01 00:00:00.0</v>
      </c>
      <c r="K2851" t="s">
        <v>834</v>
      </c>
      <c r="L2851" t="s">
        <v>0</v>
      </c>
      <c r="M2851" t="str">
        <f t="shared" si="753"/>
        <v>048314</v>
      </c>
      <c r="N2851">
        <v>1</v>
      </c>
      <c r="O2851">
        <v>1</v>
      </c>
      <c r="P2851" t="str">
        <f>"07"</f>
        <v>07</v>
      </c>
      <c r="Q2851" t="s">
        <v>835</v>
      </c>
      <c r="S2851" t="s">
        <v>836</v>
      </c>
      <c r="T2851" t="s">
        <v>836</v>
      </c>
      <c r="U2851" t="str">
        <f t="shared" si="748"/>
        <v>2500-12-31 00:00:00.0</v>
      </c>
      <c r="V2851" t="s">
        <v>837</v>
      </c>
      <c r="W2851" t="str">
        <f t="shared" si="754"/>
        <v>048314-070417-**-**</v>
      </c>
      <c r="X2851" t="s">
        <v>838</v>
      </c>
      <c r="Y2851">
        <v>1125</v>
      </c>
      <c r="Z2851">
        <v>1125</v>
      </c>
      <c r="AA2851" t="str">
        <f t="shared" si="747"/>
        <v>06/08/2016</v>
      </c>
    </row>
    <row r="2852" spans="1:27" x14ac:dyDescent="0.3">
      <c r="A2852" t="str">
        <f t="shared" si="749"/>
        <v>048314</v>
      </c>
      <c r="B2852" t="str">
        <f t="shared" ref="B2852:B2915" si="755">"070417"</f>
        <v>070417</v>
      </c>
      <c r="C2852" t="s">
        <v>1961</v>
      </c>
      <c r="D2852" t="s">
        <v>3839</v>
      </c>
      <c r="E2852" t="s">
        <v>3840</v>
      </c>
      <c r="F2852" t="s">
        <v>3841</v>
      </c>
      <c r="G2852" t="s">
        <v>3842</v>
      </c>
      <c r="H2852" t="str">
        <f t="shared" si="746"/>
        <v>048314</v>
      </c>
      <c r="I2852" t="s">
        <v>833</v>
      </c>
      <c r="J2852" t="str">
        <f t="shared" si="752"/>
        <v>2015-07-01 00:00:00.0</v>
      </c>
      <c r="K2852" t="s">
        <v>834</v>
      </c>
      <c r="L2852" t="s">
        <v>0</v>
      </c>
      <c r="M2852" t="str">
        <f t="shared" si="753"/>
        <v>048314</v>
      </c>
      <c r="N2852">
        <v>1</v>
      </c>
      <c r="O2852">
        <v>1</v>
      </c>
      <c r="P2852" t="str">
        <f>"08"</f>
        <v>08</v>
      </c>
      <c r="Q2852" t="s">
        <v>835</v>
      </c>
      <c r="S2852" t="s">
        <v>836</v>
      </c>
      <c r="T2852" t="s">
        <v>836</v>
      </c>
      <c r="U2852" t="str">
        <f t="shared" si="748"/>
        <v>2500-12-31 00:00:00.0</v>
      </c>
      <c r="V2852" t="s">
        <v>837</v>
      </c>
      <c r="W2852" t="str">
        <f t="shared" si="754"/>
        <v>048314-070417-**-**</v>
      </c>
      <c r="X2852" t="s">
        <v>838</v>
      </c>
      <c r="Y2852">
        <v>1125</v>
      </c>
      <c r="Z2852">
        <v>1125</v>
      </c>
      <c r="AA2852" t="str">
        <f t="shared" si="747"/>
        <v>06/08/2016</v>
      </c>
    </row>
    <row r="2853" spans="1:27" x14ac:dyDescent="0.3">
      <c r="A2853" t="str">
        <f t="shared" si="749"/>
        <v>048314</v>
      </c>
      <c r="B2853" t="str">
        <f t="shared" si="755"/>
        <v>070417</v>
      </c>
      <c r="C2853" t="s">
        <v>2151</v>
      </c>
      <c r="D2853" t="s">
        <v>3839</v>
      </c>
      <c r="E2853" t="s">
        <v>3840</v>
      </c>
      <c r="F2853" t="s">
        <v>3841</v>
      </c>
      <c r="G2853" t="s">
        <v>3842</v>
      </c>
      <c r="H2853" t="str">
        <f t="shared" si="746"/>
        <v>048314</v>
      </c>
      <c r="I2853" t="s">
        <v>833</v>
      </c>
      <c r="J2853" t="str">
        <f t="shared" si="752"/>
        <v>2015-07-01 00:00:00.0</v>
      </c>
      <c r="K2853" t="s">
        <v>834</v>
      </c>
      <c r="L2853" t="s">
        <v>0</v>
      </c>
      <c r="M2853" t="str">
        <f t="shared" si="753"/>
        <v>048314</v>
      </c>
      <c r="N2853">
        <v>1</v>
      </c>
      <c r="O2853">
        <v>1</v>
      </c>
      <c r="P2853" t="str">
        <f>"08"</f>
        <v>08</v>
      </c>
      <c r="Q2853" t="s">
        <v>835</v>
      </c>
      <c r="S2853" t="s">
        <v>836</v>
      </c>
      <c r="T2853" t="s">
        <v>836</v>
      </c>
      <c r="U2853" t="str">
        <f t="shared" si="748"/>
        <v>2500-12-31 00:00:00.0</v>
      </c>
      <c r="V2853" t="s">
        <v>837</v>
      </c>
      <c r="W2853" t="str">
        <f t="shared" si="754"/>
        <v>048314-070417-**-**</v>
      </c>
      <c r="X2853" t="s">
        <v>838</v>
      </c>
      <c r="Y2853">
        <v>1125</v>
      </c>
      <c r="Z2853">
        <v>1125</v>
      </c>
      <c r="AA2853" t="str">
        <f t="shared" si="747"/>
        <v>06/08/2016</v>
      </c>
    </row>
    <row r="2854" spans="1:27" x14ac:dyDescent="0.3">
      <c r="A2854" t="str">
        <f t="shared" si="749"/>
        <v>048314</v>
      </c>
      <c r="B2854" t="str">
        <f t="shared" si="755"/>
        <v>070417</v>
      </c>
      <c r="C2854" t="s">
        <v>2283</v>
      </c>
      <c r="D2854" t="s">
        <v>3839</v>
      </c>
      <c r="E2854" t="s">
        <v>3840</v>
      </c>
      <c r="F2854" t="s">
        <v>3841</v>
      </c>
      <c r="G2854" t="s">
        <v>3842</v>
      </c>
      <c r="H2854" t="str">
        <f t="shared" si="746"/>
        <v>048314</v>
      </c>
      <c r="I2854" t="s">
        <v>833</v>
      </c>
      <c r="J2854" t="str">
        <f t="shared" si="752"/>
        <v>2015-07-01 00:00:00.0</v>
      </c>
      <c r="K2854" t="s">
        <v>834</v>
      </c>
      <c r="L2854" t="s">
        <v>0</v>
      </c>
      <c r="M2854" t="str">
        <f t="shared" si="753"/>
        <v>048314</v>
      </c>
      <c r="N2854">
        <v>1</v>
      </c>
      <c r="O2854">
        <v>1</v>
      </c>
      <c r="P2854" t="str">
        <f>"08"</f>
        <v>08</v>
      </c>
      <c r="Q2854" t="s">
        <v>835</v>
      </c>
      <c r="S2854" t="s">
        <v>836</v>
      </c>
      <c r="T2854" t="s">
        <v>836</v>
      </c>
      <c r="U2854" t="str">
        <f t="shared" si="748"/>
        <v>2500-12-31 00:00:00.0</v>
      </c>
      <c r="V2854" t="s">
        <v>837</v>
      </c>
      <c r="W2854" t="str">
        <f t="shared" si="754"/>
        <v>048314-070417-**-**</v>
      </c>
      <c r="X2854" t="s">
        <v>838</v>
      </c>
      <c r="Y2854">
        <v>1125</v>
      </c>
      <c r="Z2854">
        <v>1125</v>
      </c>
      <c r="AA2854" t="str">
        <f t="shared" si="747"/>
        <v>06/08/2016</v>
      </c>
    </row>
    <row r="2855" spans="1:27" x14ac:dyDescent="0.3">
      <c r="A2855" t="str">
        <f t="shared" si="749"/>
        <v>048314</v>
      </c>
      <c r="B2855" t="str">
        <f t="shared" si="755"/>
        <v>070417</v>
      </c>
      <c r="C2855" t="s">
        <v>3395</v>
      </c>
      <c r="D2855" t="s">
        <v>3839</v>
      </c>
      <c r="E2855" t="s">
        <v>3840</v>
      </c>
      <c r="F2855" t="s">
        <v>3841</v>
      </c>
      <c r="G2855" t="s">
        <v>3842</v>
      </c>
      <c r="H2855" t="str">
        <f t="shared" si="746"/>
        <v>048314</v>
      </c>
      <c r="I2855" t="s">
        <v>833</v>
      </c>
      <c r="J2855" t="str">
        <f t="shared" si="752"/>
        <v>2015-07-01 00:00:00.0</v>
      </c>
      <c r="K2855" t="s">
        <v>834</v>
      </c>
      <c r="L2855" t="s">
        <v>0</v>
      </c>
      <c r="M2855" t="str">
        <f t="shared" si="753"/>
        <v>048314</v>
      </c>
      <c r="N2855">
        <v>1</v>
      </c>
      <c r="O2855">
        <v>1</v>
      </c>
      <c r="P2855" t="str">
        <f>"06"</f>
        <v>06</v>
      </c>
      <c r="Q2855" t="s">
        <v>835</v>
      </c>
      <c r="S2855" t="s">
        <v>836</v>
      </c>
      <c r="T2855" t="s">
        <v>836</v>
      </c>
      <c r="U2855" t="str">
        <f t="shared" si="748"/>
        <v>2500-12-31 00:00:00.0</v>
      </c>
      <c r="V2855" t="s">
        <v>837</v>
      </c>
      <c r="W2855" t="str">
        <f t="shared" si="754"/>
        <v>048314-070417-**-**</v>
      </c>
      <c r="X2855" t="s">
        <v>838</v>
      </c>
      <c r="Y2855">
        <v>1125</v>
      </c>
      <c r="Z2855">
        <v>1125</v>
      </c>
      <c r="AA2855" t="str">
        <f t="shared" si="747"/>
        <v>06/08/2016</v>
      </c>
    </row>
    <row r="2856" spans="1:27" x14ac:dyDescent="0.3">
      <c r="A2856" t="str">
        <f t="shared" si="749"/>
        <v>048314</v>
      </c>
      <c r="B2856" t="str">
        <f t="shared" si="755"/>
        <v>070417</v>
      </c>
      <c r="C2856" t="s">
        <v>3396</v>
      </c>
      <c r="D2856" t="s">
        <v>3839</v>
      </c>
      <c r="E2856" t="s">
        <v>3840</v>
      </c>
      <c r="F2856" t="s">
        <v>3841</v>
      </c>
      <c r="G2856" t="s">
        <v>3842</v>
      </c>
      <c r="H2856" t="str">
        <f t="shared" si="746"/>
        <v>048314</v>
      </c>
      <c r="I2856" t="s">
        <v>833</v>
      </c>
      <c r="J2856" t="str">
        <f t="shared" si="752"/>
        <v>2015-07-01 00:00:00.0</v>
      </c>
      <c r="K2856" t="s">
        <v>834</v>
      </c>
      <c r="L2856" t="s">
        <v>0</v>
      </c>
      <c r="M2856" t="str">
        <f t="shared" si="753"/>
        <v>048314</v>
      </c>
      <c r="N2856">
        <v>1</v>
      </c>
      <c r="O2856">
        <v>1</v>
      </c>
      <c r="P2856" t="str">
        <f>"07"</f>
        <v>07</v>
      </c>
      <c r="Q2856" t="s">
        <v>835</v>
      </c>
      <c r="S2856" t="s">
        <v>836</v>
      </c>
      <c r="T2856" t="s">
        <v>836</v>
      </c>
      <c r="U2856" t="str">
        <f t="shared" si="748"/>
        <v>2500-12-31 00:00:00.0</v>
      </c>
      <c r="V2856" t="s">
        <v>837</v>
      </c>
      <c r="W2856" t="str">
        <f t="shared" si="754"/>
        <v>048314-070417-**-**</v>
      </c>
      <c r="X2856" t="s">
        <v>838</v>
      </c>
      <c r="Y2856">
        <v>1125</v>
      </c>
      <c r="Z2856">
        <v>1125</v>
      </c>
      <c r="AA2856" t="str">
        <f t="shared" si="747"/>
        <v>06/08/2016</v>
      </c>
    </row>
    <row r="2857" spans="1:27" x14ac:dyDescent="0.3">
      <c r="A2857" t="str">
        <f t="shared" si="749"/>
        <v>048314</v>
      </c>
      <c r="B2857" t="str">
        <f t="shared" si="755"/>
        <v>070417</v>
      </c>
      <c r="C2857" t="s">
        <v>3397</v>
      </c>
      <c r="D2857" t="s">
        <v>3839</v>
      </c>
      <c r="E2857" t="s">
        <v>3840</v>
      </c>
      <c r="F2857" t="s">
        <v>3841</v>
      </c>
      <c r="G2857" t="s">
        <v>3842</v>
      </c>
      <c r="H2857" t="str">
        <f t="shared" si="746"/>
        <v>048314</v>
      </c>
      <c r="I2857" t="s">
        <v>833</v>
      </c>
      <c r="J2857" t="str">
        <f t="shared" si="752"/>
        <v>2015-07-01 00:00:00.0</v>
      </c>
      <c r="K2857" t="s">
        <v>834</v>
      </c>
      <c r="L2857" t="s">
        <v>0</v>
      </c>
      <c r="M2857" t="str">
        <f t="shared" si="753"/>
        <v>048314</v>
      </c>
      <c r="N2857">
        <v>1</v>
      </c>
      <c r="O2857">
        <v>1</v>
      </c>
      <c r="P2857" t="str">
        <f>"08"</f>
        <v>08</v>
      </c>
      <c r="Q2857" t="s">
        <v>835</v>
      </c>
      <c r="S2857" t="s">
        <v>836</v>
      </c>
      <c r="T2857" t="s">
        <v>836</v>
      </c>
      <c r="U2857" t="str">
        <f t="shared" si="748"/>
        <v>2500-12-31 00:00:00.0</v>
      </c>
      <c r="V2857" t="s">
        <v>837</v>
      </c>
      <c r="W2857" t="str">
        <f t="shared" si="754"/>
        <v>048314-070417-**-**</v>
      </c>
      <c r="X2857" t="s">
        <v>838</v>
      </c>
      <c r="Y2857">
        <v>1125</v>
      </c>
      <c r="Z2857">
        <v>1125</v>
      </c>
      <c r="AA2857" t="str">
        <f t="shared" si="747"/>
        <v>06/08/2016</v>
      </c>
    </row>
    <row r="2858" spans="1:27" x14ac:dyDescent="0.3">
      <c r="A2858" t="str">
        <f t="shared" si="749"/>
        <v>048314</v>
      </c>
      <c r="B2858" t="str">
        <f t="shared" si="755"/>
        <v>070417</v>
      </c>
      <c r="C2858" t="s">
        <v>2917</v>
      </c>
      <c r="D2858" t="s">
        <v>3839</v>
      </c>
      <c r="E2858" t="s">
        <v>3840</v>
      </c>
      <c r="F2858" t="s">
        <v>3841</v>
      </c>
      <c r="G2858" t="s">
        <v>3842</v>
      </c>
      <c r="H2858" t="str">
        <f t="shared" si="746"/>
        <v>048314</v>
      </c>
      <c r="I2858" t="s">
        <v>833</v>
      </c>
      <c r="J2858" t="str">
        <f t="shared" si="752"/>
        <v>2015-07-01 00:00:00.0</v>
      </c>
      <c r="K2858" t="s">
        <v>834</v>
      </c>
      <c r="L2858" t="s">
        <v>0</v>
      </c>
      <c r="M2858" t="str">
        <f t="shared" si="753"/>
        <v>048314</v>
      </c>
      <c r="N2858">
        <v>1</v>
      </c>
      <c r="O2858">
        <v>1</v>
      </c>
      <c r="P2858" t="str">
        <f>"06"</f>
        <v>06</v>
      </c>
      <c r="Q2858" t="s">
        <v>835</v>
      </c>
      <c r="S2858" t="s">
        <v>836</v>
      </c>
      <c r="T2858" t="s">
        <v>836</v>
      </c>
      <c r="U2858" t="str">
        <f t="shared" si="748"/>
        <v>2500-12-31 00:00:00.0</v>
      </c>
      <c r="V2858" t="s">
        <v>837</v>
      </c>
      <c r="W2858" t="str">
        <f t="shared" si="754"/>
        <v>048314-070417-**-**</v>
      </c>
      <c r="X2858" t="s">
        <v>838</v>
      </c>
      <c r="Y2858">
        <v>1125</v>
      </c>
      <c r="Z2858">
        <v>1125</v>
      </c>
      <c r="AA2858" t="str">
        <f t="shared" si="747"/>
        <v>06/08/2016</v>
      </c>
    </row>
    <row r="2859" spans="1:27" x14ac:dyDescent="0.3">
      <c r="A2859" t="str">
        <f t="shared" si="749"/>
        <v>048314</v>
      </c>
      <c r="B2859" t="str">
        <f t="shared" si="755"/>
        <v>070417</v>
      </c>
      <c r="C2859" t="s">
        <v>2724</v>
      </c>
      <c r="D2859" t="s">
        <v>3839</v>
      </c>
      <c r="E2859" t="s">
        <v>3840</v>
      </c>
      <c r="F2859" t="s">
        <v>3841</v>
      </c>
      <c r="G2859" t="s">
        <v>3842</v>
      </c>
      <c r="H2859" t="str">
        <f t="shared" si="746"/>
        <v>048314</v>
      </c>
      <c r="I2859" t="s">
        <v>833</v>
      </c>
      <c r="J2859" t="str">
        <f t="shared" si="752"/>
        <v>2015-07-01 00:00:00.0</v>
      </c>
      <c r="K2859" t="s">
        <v>834</v>
      </c>
      <c r="L2859" t="s">
        <v>0</v>
      </c>
      <c r="M2859" t="str">
        <f t="shared" si="753"/>
        <v>048314</v>
      </c>
      <c r="N2859">
        <v>1</v>
      </c>
      <c r="O2859">
        <v>1</v>
      </c>
      <c r="P2859" t="str">
        <f>"07"</f>
        <v>07</v>
      </c>
      <c r="Q2859" t="s">
        <v>835</v>
      </c>
      <c r="S2859" t="s">
        <v>836</v>
      </c>
      <c r="T2859" t="s">
        <v>836</v>
      </c>
      <c r="U2859" t="str">
        <f t="shared" si="748"/>
        <v>2500-12-31 00:00:00.0</v>
      </c>
      <c r="V2859" t="s">
        <v>837</v>
      </c>
      <c r="W2859" t="str">
        <f t="shared" si="754"/>
        <v>048314-070417-**-**</v>
      </c>
      <c r="X2859" t="s">
        <v>838</v>
      </c>
      <c r="Y2859">
        <v>1125</v>
      </c>
      <c r="Z2859">
        <v>1125</v>
      </c>
      <c r="AA2859" t="str">
        <f t="shared" si="747"/>
        <v>06/08/2016</v>
      </c>
    </row>
    <row r="2860" spans="1:27" x14ac:dyDescent="0.3">
      <c r="A2860" t="str">
        <f t="shared" si="749"/>
        <v>048314</v>
      </c>
      <c r="B2860" t="str">
        <f t="shared" si="755"/>
        <v>070417</v>
      </c>
      <c r="C2860" t="s">
        <v>1962</v>
      </c>
      <c r="D2860" t="s">
        <v>3839</v>
      </c>
      <c r="E2860" t="s">
        <v>3840</v>
      </c>
      <c r="F2860" t="s">
        <v>3841</v>
      </c>
      <c r="G2860" t="s">
        <v>3842</v>
      </c>
      <c r="H2860" t="str">
        <f t="shared" si="746"/>
        <v>048314</v>
      </c>
      <c r="I2860" t="s">
        <v>833</v>
      </c>
      <c r="J2860" t="str">
        <f>"2015-10-19 00:00:00.0"</f>
        <v>2015-10-19 00:00:00.0</v>
      </c>
      <c r="K2860" t="s">
        <v>834</v>
      </c>
      <c r="L2860" t="s">
        <v>0</v>
      </c>
      <c r="M2860" t="str">
        <f t="shared" si="753"/>
        <v>048314</v>
      </c>
      <c r="N2860">
        <v>0.82383399999999996</v>
      </c>
      <c r="O2860">
        <v>0.82383399999999996</v>
      </c>
      <c r="P2860" t="str">
        <f>"09"</f>
        <v>09</v>
      </c>
      <c r="Q2860" t="str">
        <f>"15"</f>
        <v>15</v>
      </c>
      <c r="R2860" t="str">
        <f>"2"</f>
        <v>2</v>
      </c>
      <c r="S2860" t="s">
        <v>860</v>
      </c>
      <c r="T2860" t="s">
        <v>836</v>
      </c>
      <c r="U2860" t="str">
        <f t="shared" si="748"/>
        <v>2500-12-31 00:00:00.0</v>
      </c>
      <c r="V2860" t="s">
        <v>837</v>
      </c>
      <c r="W2860" t="str">
        <f>"048314-004796-**-**"</f>
        <v>048314-004796-**-**</v>
      </c>
      <c r="X2860" t="s">
        <v>838</v>
      </c>
      <c r="Y2860">
        <v>1033.5</v>
      </c>
      <c r="Z2860">
        <v>1254.5</v>
      </c>
      <c r="AA2860" t="str">
        <f t="shared" si="747"/>
        <v>06/08/2016</v>
      </c>
    </row>
    <row r="2861" spans="1:27" x14ac:dyDescent="0.3">
      <c r="A2861" t="str">
        <f t="shared" si="749"/>
        <v>048314</v>
      </c>
      <c r="B2861" t="str">
        <f t="shared" si="755"/>
        <v>070417</v>
      </c>
      <c r="C2861" t="s">
        <v>1962</v>
      </c>
      <c r="D2861" t="s">
        <v>3839</v>
      </c>
      <c r="E2861" t="s">
        <v>3840</v>
      </c>
      <c r="F2861" t="s">
        <v>3841</v>
      </c>
      <c r="G2861" t="s">
        <v>3842</v>
      </c>
      <c r="H2861" t="str">
        <f t="shared" si="746"/>
        <v>048314</v>
      </c>
      <c r="I2861" t="s">
        <v>833</v>
      </c>
      <c r="J2861" t="str">
        <f>"2015-08-31 00:00:00.0"</f>
        <v>2015-08-31 00:00:00.0</v>
      </c>
      <c r="K2861" t="s">
        <v>834</v>
      </c>
      <c r="L2861" t="s">
        <v>0</v>
      </c>
      <c r="M2861" t="str">
        <f t="shared" si="753"/>
        <v>048314</v>
      </c>
      <c r="N2861">
        <v>0.17616599999999999</v>
      </c>
      <c r="O2861">
        <v>0.17616599999999999</v>
      </c>
      <c r="P2861" t="str">
        <f>"09"</f>
        <v>09</v>
      </c>
      <c r="Q2861" t="str">
        <f>"15"</f>
        <v>15</v>
      </c>
      <c r="R2861" t="str">
        <f>"2"</f>
        <v>2</v>
      </c>
      <c r="S2861" t="s">
        <v>860</v>
      </c>
      <c r="T2861" t="s">
        <v>836</v>
      </c>
      <c r="U2861" t="str">
        <f>"2015-10-18 00:00:00.0"</f>
        <v>2015-10-18 00:00:00.0</v>
      </c>
      <c r="V2861" t="s">
        <v>837</v>
      </c>
      <c r="W2861" t="str">
        <f>"048314-004796-**-**"</f>
        <v>048314-004796-**-**</v>
      </c>
      <c r="X2861" t="s">
        <v>838</v>
      </c>
      <c r="Y2861">
        <v>221</v>
      </c>
      <c r="Z2861">
        <v>1254.5</v>
      </c>
      <c r="AA2861" t="str">
        <f t="shared" si="747"/>
        <v>06/08/2016</v>
      </c>
    </row>
    <row r="2862" spans="1:27" x14ac:dyDescent="0.3">
      <c r="A2862" t="str">
        <f t="shared" si="749"/>
        <v>048314</v>
      </c>
      <c r="B2862" t="str">
        <f t="shared" si="755"/>
        <v>070417</v>
      </c>
      <c r="C2862" t="s">
        <v>2725</v>
      </c>
      <c r="D2862" t="s">
        <v>3839</v>
      </c>
      <c r="E2862" t="s">
        <v>3840</v>
      </c>
      <c r="F2862" t="s">
        <v>3841</v>
      </c>
      <c r="G2862" t="s">
        <v>3842</v>
      </c>
      <c r="H2862" t="str">
        <f t="shared" si="746"/>
        <v>048314</v>
      </c>
      <c r="I2862" t="s">
        <v>833</v>
      </c>
      <c r="J2862" t="str">
        <f>"2015-07-01 00:00:00.0"</f>
        <v>2015-07-01 00:00:00.0</v>
      </c>
      <c r="K2862" t="s">
        <v>834</v>
      </c>
      <c r="L2862" t="s">
        <v>0</v>
      </c>
      <c r="M2862" t="str">
        <f t="shared" si="753"/>
        <v>048314</v>
      </c>
      <c r="N2862">
        <v>1</v>
      </c>
      <c r="O2862">
        <v>1</v>
      </c>
      <c r="P2862" t="str">
        <f>"06"</f>
        <v>06</v>
      </c>
      <c r="Q2862" t="s">
        <v>835</v>
      </c>
      <c r="S2862" t="s">
        <v>836</v>
      </c>
      <c r="T2862" t="s">
        <v>836</v>
      </c>
      <c r="U2862" t="str">
        <f t="shared" ref="U2862:U2904" si="756">"2500-12-31 00:00:00.0"</f>
        <v>2500-12-31 00:00:00.0</v>
      </c>
      <c r="V2862" t="s">
        <v>837</v>
      </c>
      <c r="W2862" t="str">
        <f>"048314-070417-**-**"</f>
        <v>048314-070417-**-**</v>
      </c>
      <c r="X2862" t="s">
        <v>838</v>
      </c>
      <c r="Y2862">
        <v>1125</v>
      </c>
      <c r="Z2862">
        <v>1125</v>
      </c>
      <c r="AA2862" t="str">
        <f t="shared" si="747"/>
        <v>06/08/2016</v>
      </c>
    </row>
    <row r="2863" spans="1:27" x14ac:dyDescent="0.3">
      <c r="A2863" t="str">
        <f t="shared" si="749"/>
        <v>048314</v>
      </c>
      <c r="B2863" t="str">
        <f t="shared" si="755"/>
        <v>070417</v>
      </c>
      <c r="C2863" t="s">
        <v>1898</v>
      </c>
      <c r="D2863" t="s">
        <v>3839</v>
      </c>
      <c r="E2863" t="s">
        <v>3840</v>
      </c>
      <c r="F2863" t="s">
        <v>3841</v>
      </c>
      <c r="G2863" t="s">
        <v>3842</v>
      </c>
      <c r="H2863" t="str">
        <f t="shared" si="746"/>
        <v>048314</v>
      </c>
      <c r="I2863" t="s">
        <v>833</v>
      </c>
      <c r="J2863" t="str">
        <f>"2015-07-01 00:00:00.0"</f>
        <v>2015-07-01 00:00:00.0</v>
      </c>
      <c r="K2863" t="s">
        <v>834</v>
      </c>
      <c r="L2863" t="s">
        <v>0</v>
      </c>
      <c r="M2863" t="str">
        <f t="shared" si="753"/>
        <v>048314</v>
      </c>
      <c r="N2863">
        <v>1</v>
      </c>
      <c r="O2863">
        <v>1</v>
      </c>
      <c r="P2863" t="str">
        <f>"09"</f>
        <v>09</v>
      </c>
      <c r="Q2863" t="s">
        <v>835</v>
      </c>
      <c r="S2863" t="s">
        <v>836</v>
      </c>
      <c r="T2863" t="s">
        <v>836</v>
      </c>
      <c r="U2863" t="str">
        <f t="shared" si="756"/>
        <v>2500-12-31 00:00:00.0</v>
      </c>
      <c r="V2863" t="s">
        <v>837</v>
      </c>
      <c r="W2863" t="str">
        <f>"048314-004796-**-**"</f>
        <v>048314-004796-**-**</v>
      </c>
      <c r="X2863" t="s">
        <v>838</v>
      </c>
      <c r="Y2863">
        <v>1254.5</v>
      </c>
      <c r="Z2863">
        <v>1254.5</v>
      </c>
      <c r="AA2863" t="str">
        <f t="shared" si="747"/>
        <v>06/08/2016</v>
      </c>
    </row>
    <row r="2864" spans="1:27" x14ac:dyDescent="0.3">
      <c r="A2864" t="str">
        <f t="shared" si="749"/>
        <v>048314</v>
      </c>
      <c r="B2864" t="str">
        <f t="shared" si="755"/>
        <v>070417</v>
      </c>
      <c r="C2864" t="s">
        <v>2949</v>
      </c>
      <c r="D2864" t="s">
        <v>3839</v>
      </c>
      <c r="E2864" t="s">
        <v>3840</v>
      </c>
      <c r="F2864" t="s">
        <v>3841</v>
      </c>
      <c r="G2864" t="s">
        <v>3842</v>
      </c>
      <c r="H2864" t="str">
        <f t="shared" si="746"/>
        <v>048314</v>
      </c>
      <c r="I2864" t="s">
        <v>833</v>
      </c>
      <c r="J2864" t="str">
        <f>"2015-08-01 00:00:00.0"</f>
        <v>2015-08-01 00:00:00.0</v>
      </c>
      <c r="K2864" t="s">
        <v>834</v>
      </c>
      <c r="L2864" t="s">
        <v>0</v>
      </c>
      <c r="M2864" t="str">
        <f t="shared" si="753"/>
        <v>048314</v>
      </c>
      <c r="N2864">
        <v>1</v>
      </c>
      <c r="O2864">
        <v>1</v>
      </c>
      <c r="P2864" t="str">
        <f>"05"</f>
        <v>05</v>
      </c>
      <c r="Q2864" t="s">
        <v>835</v>
      </c>
      <c r="S2864" t="s">
        <v>836</v>
      </c>
      <c r="T2864" t="s">
        <v>836</v>
      </c>
      <c r="U2864" t="str">
        <f t="shared" si="756"/>
        <v>2500-12-31 00:00:00.0</v>
      </c>
      <c r="V2864" t="s">
        <v>837</v>
      </c>
      <c r="W2864" t="str">
        <f t="shared" ref="W2864:W2869" si="757">"048314-070417-**-**"</f>
        <v>048314-070417-**-**</v>
      </c>
      <c r="X2864" t="s">
        <v>838</v>
      </c>
      <c r="Y2864">
        <v>1125</v>
      </c>
      <c r="Z2864">
        <v>1125</v>
      </c>
      <c r="AA2864" t="str">
        <f t="shared" si="747"/>
        <v>06/08/2016</v>
      </c>
    </row>
    <row r="2865" spans="1:27" x14ac:dyDescent="0.3">
      <c r="A2865" t="str">
        <f t="shared" si="749"/>
        <v>048314</v>
      </c>
      <c r="B2865" t="str">
        <f t="shared" si="755"/>
        <v>070417</v>
      </c>
      <c r="C2865" t="s">
        <v>2459</v>
      </c>
      <c r="D2865" t="s">
        <v>3839</v>
      </c>
      <c r="E2865" t="s">
        <v>3840</v>
      </c>
      <c r="F2865" t="s">
        <v>3841</v>
      </c>
      <c r="G2865" t="s">
        <v>3842</v>
      </c>
      <c r="H2865" t="str">
        <f t="shared" si="746"/>
        <v>048314</v>
      </c>
      <c r="I2865" t="s">
        <v>833</v>
      </c>
      <c r="J2865" t="str">
        <f>"2015-08-01 00:00:00.0"</f>
        <v>2015-08-01 00:00:00.0</v>
      </c>
      <c r="K2865" t="s">
        <v>834</v>
      </c>
      <c r="L2865" t="s">
        <v>0</v>
      </c>
      <c r="M2865" t="str">
        <f t="shared" si="753"/>
        <v>048314</v>
      </c>
      <c r="N2865">
        <v>1</v>
      </c>
      <c r="O2865">
        <v>1</v>
      </c>
      <c r="P2865" t="str">
        <f>"07"</f>
        <v>07</v>
      </c>
      <c r="Q2865" t="s">
        <v>835</v>
      </c>
      <c r="S2865" t="s">
        <v>836</v>
      </c>
      <c r="T2865" t="s">
        <v>836</v>
      </c>
      <c r="U2865" t="str">
        <f t="shared" si="756"/>
        <v>2500-12-31 00:00:00.0</v>
      </c>
      <c r="V2865" t="s">
        <v>837</v>
      </c>
      <c r="W2865" t="str">
        <f t="shared" si="757"/>
        <v>048314-070417-**-**</v>
      </c>
      <c r="X2865" t="s">
        <v>838</v>
      </c>
      <c r="Y2865">
        <v>1125</v>
      </c>
      <c r="Z2865">
        <v>1125</v>
      </c>
      <c r="AA2865" t="str">
        <f t="shared" si="747"/>
        <v>06/08/2016</v>
      </c>
    </row>
    <row r="2866" spans="1:27" x14ac:dyDescent="0.3">
      <c r="A2866" t="str">
        <f t="shared" si="749"/>
        <v>048314</v>
      </c>
      <c r="B2866" t="str">
        <f t="shared" si="755"/>
        <v>070417</v>
      </c>
      <c r="C2866" t="s">
        <v>2460</v>
      </c>
      <c r="D2866" t="s">
        <v>3839</v>
      </c>
      <c r="E2866" t="s">
        <v>3840</v>
      </c>
      <c r="F2866" t="s">
        <v>3841</v>
      </c>
      <c r="G2866" t="s">
        <v>3842</v>
      </c>
      <c r="H2866" t="str">
        <f t="shared" si="746"/>
        <v>048314</v>
      </c>
      <c r="I2866" t="s">
        <v>833</v>
      </c>
      <c r="J2866" t="str">
        <f t="shared" ref="J2866:J2901" si="758">"2015-07-01 00:00:00.0"</f>
        <v>2015-07-01 00:00:00.0</v>
      </c>
      <c r="K2866" t="s">
        <v>834</v>
      </c>
      <c r="L2866" t="s">
        <v>0</v>
      </c>
      <c r="M2866" t="str">
        <f t="shared" si="753"/>
        <v>048314</v>
      </c>
      <c r="N2866">
        <v>1</v>
      </c>
      <c r="O2866">
        <v>1</v>
      </c>
      <c r="P2866" t="str">
        <f>"08"</f>
        <v>08</v>
      </c>
      <c r="Q2866" t="s">
        <v>835</v>
      </c>
      <c r="S2866" t="s">
        <v>836</v>
      </c>
      <c r="T2866" t="s">
        <v>836</v>
      </c>
      <c r="U2866" t="str">
        <f t="shared" si="756"/>
        <v>2500-12-31 00:00:00.0</v>
      </c>
      <c r="V2866" t="s">
        <v>837</v>
      </c>
      <c r="W2866" t="str">
        <f t="shared" si="757"/>
        <v>048314-070417-**-**</v>
      </c>
      <c r="X2866" t="s">
        <v>838</v>
      </c>
      <c r="Y2866">
        <v>1125</v>
      </c>
      <c r="Z2866">
        <v>1125</v>
      </c>
      <c r="AA2866" t="str">
        <f t="shared" si="747"/>
        <v>06/08/2016</v>
      </c>
    </row>
    <row r="2867" spans="1:27" x14ac:dyDescent="0.3">
      <c r="A2867" t="str">
        <f t="shared" si="749"/>
        <v>048314</v>
      </c>
      <c r="B2867" t="str">
        <f t="shared" si="755"/>
        <v>070417</v>
      </c>
      <c r="C2867" t="s">
        <v>2461</v>
      </c>
      <c r="D2867" t="s">
        <v>3839</v>
      </c>
      <c r="E2867" t="s">
        <v>3840</v>
      </c>
      <c r="F2867" t="s">
        <v>3841</v>
      </c>
      <c r="G2867" t="s">
        <v>3842</v>
      </c>
      <c r="H2867" t="str">
        <f t="shared" si="746"/>
        <v>048314</v>
      </c>
      <c r="I2867" t="s">
        <v>833</v>
      </c>
      <c r="J2867" t="str">
        <f t="shared" si="758"/>
        <v>2015-07-01 00:00:00.0</v>
      </c>
      <c r="K2867" t="s">
        <v>834</v>
      </c>
      <c r="L2867" t="s">
        <v>0</v>
      </c>
      <c r="M2867" t="str">
        <f t="shared" si="753"/>
        <v>048314</v>
      </c>
      <c r="N2867">
        <v>1</v>
      </c>
      <c r="O2867">
        <v>1</v>
      </c>
      <c r="P2867" t="str">
        <f>"07"</f>
        <v>07</v>
      </c>
      <c r="Q2867" t="s">
        <v>835</v>
      </c>
      <c r="S2867" t="s">
        <v>836</v>
      </c>
      <c r="T2867" t="s">
        <v>836</v>
      </c>
      <c r="U2867" t="str">
        <f t="shared" si="756"/>
        <v>2500-12-31 00:00:00.0</v>
      </c>
      <c r="V2867" t="s">
        <v>837</v>
      </c>
      <c r="W2867" t="str">
        <f t="shared" si="757"/>
        <v>048314-070417-**-**</v>
      </c>
      <c r="X2867" t="s">
        <v>838</v>
      </c>
      <c r="Y2867">
        <v>1125</v>
      </c>
      <c r="Z2867">
        <v>1125</v>
      </c>
      <c r="AA2867" t="str">
        <f t="shared" si="747"/>
        <v>06/08/2016</v>
      </c>
    </row>
    <row r="2868" spans="1:27" x14ac:dyDescent="0.3">
      <c r="A2868" t="str">
        <f t="shared" si="749"/>
        <v>048314</v>
      </c>
      <c r="B2868" t="str">
        <f t="shared" si="755"/>
        <v>070417</v>
      </c>
      <c r="C2868" t="s">
        <v>2462</v>
      </c>
      <c r="D2868" t="s">
        <v>3839</v>
      </c>
      <c r="E2868" t="s">
        <v>3840</v>
      </c>
      <c r="F2868" t="s">
        <v>3841</v>
      </c>
      <c r="G2868" t="s">
        <v>3842</v>
      </c>
      <c r="H2868" t="str">
        <f t="shared" si="746"/>
        <v>048314</v>
      </c>
      <c r="I2868" t="s">
        <v>833</v>
      </c>
      <c r="J2868" t="str">
        <f t="shared" si="758"/>
        <v>2015-07-01 00:00:00.0</v>
      </c>
      <c r="K2868" t="s">
        <v>834</v>
      </c>
      <c r="L2868" t="s">
        <v>0</v>
      </c>
      <c r="M2868" t="str">
        <f t="shared" si="753"/>
        <v>048314</v>
      </c>
      <c r="N2868">
        <v>1</v>
      </c>
      <c r="O2868">
        <v>1</v>
      </c>
      <c r="P2868" t="str">
        <f>"07"</f>
        <v>07</v>
      </c>
      <c r="Q2868" t="s">
        <v>835</v>
      </c>
      <c r="S2868" t="s">
        <v>836</v>
      </c>
      <c r="T2868" t="s">
        <v>836</v>
      </c>
      <c r="U2868" t="str">
        <f t="shared" si="756"/>
        <v>2500-12-31 00:00:00.0</v>
      </c>
      <c r="V2868" t="s">
        <v>837</v>
      </c>
      <c r="W2868" t="str">
        <f t="shared" si="757"/>
        <v>048314-070417-**-**</v>
      </c>
      <c r="X2868" t="s">
        <v>838</v>
      </c>
      <c r="Y2868">
        <v>1125</v>
      </c>
      <c r="Z2868">
        <v>1125</v>
      </c>
      <c r="AA2868" t="str">
        <f t="shared" si="747"/>
        <v>06/08/2016</v>
      </c>
    </row>
    <row r="2869" spans="1:27" x14ac:dyDescent="0.3">
      <c r="A2869" t="str">
        <f t="shared" si="749"/>
        <v>048314</v>
      </c>
      <c r="B2869" t="str">
        <f t="shared" si="755"/>
        <v>070417</v>
      </c>
      <c r="C2869" t="s">
        <v>2322</v>
      </c>
      <c r="D2869" t="s">
        <v>3839</v>
      </c>
      <c r="E2869" t="s">
        <v>3840</v>
      </c>
      <c r="F2869" t="s">
        <v>3841</v>
      </c>
      <c r="G2869" t="s">
        <v>3842</v>
      </c>
      <c r="H2869" t="str">
        <f t="shared" si="746"/>
        <v>048314</v>
      </c>
      <c r="I2869" t="s">
        <v>833</v>
      </c>
      <c r="J2869" t="str">
        <f t="shared" si="758"/>
        <v>2015-07-01 00:00:00.0</v>
      </c>
      <c r="K2869" t="s">
        <v>834</v>
      </c>
      <c r="L2869" t="s">
        <v>0</v>
      </c>
      <c r="M2869" t="str">
        <f t="shared" si="753"/>
        <v>048314</v>
      </c>
      <c r="N2869">
        <v>1</v>
      </c>
      <c r="O2869">
        <v>1</v>
      </c>
      <c r="P2869" t="str">
        <f>"07"</f>
        <v>07</v>
      </c>
      <c r="Q2869" t="s">
        <v>835</v>
      </c>
      <c r="S2869" t="s">
        <v>836</v>
      </c>
      <c r="T2869" t="s">
        <v>836</v>
      </c>
      <c r="U2869" t="str">
        <f t="shared" si="756"/>
        <v>2500-12-31 00:00:00.0</v>
      </c>
      <c r="V2869" t="s">
        <v>837</v>
      </c>
      <c r="W2869" t="str">
        <f t="shared" si="757"/>
        <v>048314-070417-**-**</v>
      </c>
      <c r="X2869" t="s">
        <v>838</v>
      </c>
      <c r="Y2869">
        <v>1125</v>
      </c>
      <c r="Z2869">
        <v>1125</v>
      </c>
      <c r="AA2869" t="str">
        <f t="shared" si="747"/>
        <v>06/08/2016</v>
      </c>
    </row>
    <row r="2870" spans="1:27" x14ac:dyDescent="0.3">
      <c r="A2870" t="str">
        <f t="shared" si="749"/>
        <v>048314</v>
      </c>
      <c r="B2870" t="str">
        <f t="shared" si="755"/>
        <v>070417</v>
      </c>
      <c r="C2870" t="s">
        <v>1963</v>
      </c>
      <c r="D2870" t="s">
        <v>3839</v>
      </c>
      <c r="E2870" t="s">
        <v>3840</v>
      </c>
      <c r="F2870" t="s">
        <v>3841</v>
      </c>
      <c r="G2870" t="s">
        <v>3842</v>
      </c>
      <c r="H2870" t="str">
        <f t="shared" si="746"/>
        <v>048314</v>
      </c>
      <c r="I2870" t="s">
        <v>833</v>
      </c>
      <c r="J2870" t="str">
        <f t="shared" si="758"/>
        <v>2015-07-01 00:00:00.0</v>
      </c>
      <c r="K2870" t="s">
        <v>834</v>
      </c>
      <c r="L2870" t="s">
        <v>0</v>
      </c>
      <c r="M2870" t="str">
        <f t="shared" si="753"/>
        <v>048314</v>
      </c>
      <c r="N2870">
        <v>1</v>
      </c>
      <c r="O2870">
        <v>1</v>
      </c>
      <c r="P2870" t="str">
        <f>"09"</f>
        <v>09</v>
      </c>
      <c r="Q2870" t="s">
        <v>835</v>
      </c>
      <c r="S2870" t="s">
        <v>836</v>
      </c>
      <c r="T2870" t="s">
        <v>836</v>
      </c>
      <c r="U2870" t="str">
        <f t="shared" si="756"/>
        <v>2500-12-31 00:00:00.0</v>
      </c>
      <c r="V2870" t="s">
        <v>837</v>
      </c>
      <c r="W2870" t="str">
        <f>"048314-004796-**-**"</f>
        <v>048314-004796-**-**</v>
      </c>
      <c r="X2870" t="s">
        <v>838</v>
      </c>
      <c r="Y2870">
        <v>1254.5</v>
      </c>
      <c r="Z2870">
        <v>1254.5</v>
      </c>
      <c r="AA2870" t="str">
        <f t="shared" si="747"/>
        <v>06/08/2016</v>
      </c>
    </row>
    <row r="2871" spans="1:27" x14ac:dyDescent="0.3">
      <c r="A2871" t="str">
        <f t="shared" si="749"/>
        <v>048314</v>
      </c>
      <c r="B2871" t="str">
        <f t="shared" si="755"/>
        <v>070417</v>
      </c>
      <c r="C2871" t="s">
        <v>2377</v>
      </c>
      <c r="D2871" t="s">
        <v>3839</v>
      </c>
      <c r="E2871" t="s">
        <v>3840</v>
      </c>
      <c r="F2871" t="s">
        <v>3841</v>
      </c>
      <c r="G2871" t="s">
        <v>3842</v>
      </c>
      <c r="H2871" t="str">
        <f t="shared" si="746"/>
        <v>048314</v>
      </c>
      <c r="I2871" t="s">
        <v>833</v>
      </c>
      <c r="J2871" t="str">
        <f t="shared" si="758"/>
        <v>2015-07-01 00:00:00.0</v>
      </c>
      <c r="K2871" t="s">
        <v>834</v>
      </c>
      <c r="L2871" t="s">
        <v>0</v>
      </c>
      <c r="M2871" t="str">
        <f t="shared" si="753"/>
        <v>048314</v>
      </c>
      <c r="N2871">
        <v>1</v>
      </c>
      <c r="O2871">
        <v>1</v>
      </c>
      <c r="P2871" t="str">
        <f>"07"</f>
        <v>07</v>
      </c>
      <c r="Q2871" t="s">
        <v>835</v>
      </c>
      <c r="S2871" t="s">
        <v>836</v>
      </c>
      <c r="T2871" t="s">
        <v>836</v>
      </c>
      <c r="U2871" t="str">
        <f t="shared" si="756"/>
        <v>2500-12-31 00:00:00.0</v>
      </c>
      <c r="V2871" t="s">
        <v>837</v>
      </c>
      <c r="W2871" t="str">
        <f>"048314-070417-**-**"</f>
        <v>048314-070417-**-**</v>
      </c>
      <c r="X2871" t="s">
        <v>838</v>
      </c>
      <c r="Y2871">
        <v>1125</v>
      </c>
      <c r="Z2871">
        <v>1125</v>
      </c>
      <c r="AA2871" t="str">
        <f t="shared" si="747"/>
        <v>06/08/2016</v>
      </c>
    </row>
    <row r="2872" spans="1:27" x14ac:dyDescent="0.3">
      <c r="A2872" t="str">
        <f t="shared" si="749"/>
        <v>048314</v>
      </c>
      <c r="B2872" t="str">
        <f t="shared" si="755"/>
        <v>070417</v>
      </c>
      <c r="C2872" t="s">
        <v>2323</v>
      </c>
      <c r="D2872" t="s">
        <v>3839</v>
      </c>
      <c r="E2872" t="s">
        <v>3840</v>
      </c>
      <c r="F2872" t="s">
        <v>3841</v>
      </c>
      <c r="G2872" t="s">
        <v>3842</v>
      </c>
      <c r="H2872" t="str">
        <f t="shared" ref="H2872:H2901" si="759">"048314"</f>
        <v>048314</v>
      </c>
      <c r="I2872" t="s">
        <v>833</v>
      </c>
      <c r="J2872" t="str">
        <f t="shared" si="758"/>
        <v>2015-07-01 00:00:00.0</v>
      </c>
      <c r="K2872" t="s">
        <v>834</v>
      </c>
      <c r="L2872" t="s">
        <v>0</v>
      </c>
      <c r="M2872" t="str">
        <f t="shared" si="753"/>
        <v>048314</v>
      </c>
      <c r="N2872">
        <v>1</v>
      </c>
      <c r="O2872">
        <v>1</v>
      </c>
      <c r="P2872" t="str">
        <f>"07"</f>
        <v>07</v>
      </c>
      <c r="Q2872" t="s">
        <v>835</v>
      </c>
      <c r="S2872" t="s">
        <v>836</v>
      </c>
      <c r="T2872" t="s">
        <v>836</v>
      </c>
      <c r="U2872" t="str">
        <f t="shared" si="756"/>
        <v>2500-12-31 00:00:00.0</v>
      </c>
      <c r="V2872" t="s">
        <v>837</v>
      </c>
      <c r="W2872" t="str">
        <f>"048314-070417-**-**"</f>
        <v>048314-070417-**-**</v>
      </c>
      <c r="X2872" t="s">
        <v>838</v>
      </c>
      <c r="Y2872">
        <v>1125</v>
      </c>
      <c r="Z2872">
        <v>1125</v>
      </c>
      <c r="AA2872" t="str">
        <f t="shared" ref="AA2872:AA2901" si="760">"06/08/2016"</f>
        <v>06/08/2016</v>
      </c>
    </row>
    <row r="2873" spans="1:27" x14ac:dyDescent="0.3">
      <c r="A2873" t="str">
        <f t="shared" si="749"/>
        <v>048314</v>
      </c>
      <c r="B2873" t="str">
        <f t="shared" si="755"/>
        <v>070417</v>
      </c>
      <c r="C2873" t="s">
        <v>2726</v>
      </c>
      <c r="D2873" t="s">
        <v>3839</v>
      </c>
      <c r="E2873" t="s">
        <v>3840</v>
      </c>
      <c r="F2873" t="s">
        <v>3841</v>
      </c>
      <c r="G2873" t="s">
        <v>3842</v>
      </c>
      <c r="H2873" t="str">
        <f t="shared" si="759"/>
        <v>048314</v>
      </c>
      <c r="I2873" t="s">
        <v>833</v>
      </c>
      <c r="J2873" t="str">
        <f t="shared" si="758"/>
        <v>2015-07-01 00:00:00.0</v>
      </c>
      <c r="K2873" t="s">
        <v>834</v>
      </c>
      <c r="L2873" t="s">
        <v>0</v>
      </c>
      <c r="M2873" t="str">
        <f t="shared" si="753"/>
        <v>048314</v>
      </c>
      <c r="N2873">
        <v>1</v>
      </c>
      <c r="O2873">
        <v>1</v>
      </c>
      <c r="P2873" t="str">
        <f>"06"</f>
        <v>06</v>
      </c>
      <c r="Q2873" t="s">
        <v>835</v>
      </c>
      <c r="S2873" t="s">
        <v>836</v>
      </c>
      <c r="T2873" t="s">
        <v>836</v>
      </c>
      <c r="U2873" t="str">
        <f t="shared" si="756"/>
        <v>2500-12-31 00:00:00.0</v>
      </c>
      <c r="V2873" t="s">
        <v>837</v>
      </c>
      <c r="W2873" t="str">
        <f>"048314-070417-**-**"</f>
        <v>048314-070417-**-**</v>
      </c>
      <c r="X2873" t="s">
        <v>838</v>
      </c>
      <c r="Y2873">
        <v>1125</v>
      </c>
      <c r="Z2873">
        <v>1125</v>
      </c>
      <c r="AA2873" t="str">
        <f t="shared" si="760"/>
        <v>06/08/2016</v>
      </c>
    </row>
    <row r="2874" spans="1:27" x14ac:dyDescent="0.3">
      <c r="A2874" t="str">
        <f t="shared" si="749"/>
        <v>048314</v>
      </c>
      <c r="B2874" t="str">
        <f t="shared" si="755"/>
        <v>070417</v>
      </c>
      <c r="C2874" t="s">
        <v>2727</v>
      </c>
      <c r="D2874" t="s">
        <v>3839</v>
      </c>
      <c r="E2874" t="s">
        <v>3840</v>
      </c>
      <c r="F2874" t="s">
        <v>3841</v>
      </c>
      <c r="G2874" t="s">
        <v>3842</v>
      </c>
      <c r="H2874" t="str">
        <f t="shared" si="759"/>
        <v>048314</v>
      </c>
      <c r="I2874" t="s">
        <v>833</v>
      </c>
      <c r="J2874" t="str">
        <f t="shared" si="758"/>
        <v>2015-07-01 00:00:00.0</v>
      </c>
      <c r="K2874" t="s">
        <v>834</v>
      </c>
      <c r="L2874" t="s">
        <v>0</v>
      </c>
      <c r="M2874" t="str">
        <f t="shared" si="753"/>
        <v>048314</v>
      </c>
      <c r="N2874">
        <v>1</v>
      </c>
      <c r="O2874">
        <v>1</v>
      </c>
      <c r="P2874" t="str">
        <f>"06"</f>
        <v>06</v>
      </c>
      <c r="Q2874" t="s">
        <v>835</v>
      </c>
      <c r="S2874" t="s">
        <v>836</v>
      </c>
      <c r="T2874" t="s">
        <v>836</v>
      </c>
      <c r="U2874" t="str">
        <f t="shared" si="756"/>
        <v>2500-12-31 00:00:00.0</v>
      </c>
      <c r="V2874" t="s">
        <v>837</v>
      </c>
      <c r="W2874" t="str">
        <f>"048314-070417-**-**"</f>
        <v>048314-070417-**-**</v>
      </c>
      <c r="X2874" t="s">
        <v>838</v>
      </c>
      <c r="Y2874">
        <v>1125</v>
      </c>
      <c r="Z2874">
        <v>1125</v>
      </c>
      <c r="AA2874" t="str">
        <f t="shared" si="760"/>
        <v>06/08/2016</v>
      </c>
    </row>
    <row r="2875" spans="1:27" x14ac:dyDescent="0.3">
      <c r="A2875" t="str">
        <f t="shared" si="749"/>
        <v>048314</v>
      </c>
      <c r="B2875" t="str">
        <f t="shared" si="755"/>
        <v>070417</v>
      </c>
      <c r="C2875" t="s">
        <v>1899</v>
      </c>
      <c r="D2875" t="s">
        <v>3839</v>
      </c>
      <c r="E2875" t="s">
        <v>3840</v>
      </c>
      <c r="F2875" t="s">
        <v>3841</v>
      </c>
      <c r="G2875" t="s">
        <v>3842</v>
      </c>
      <c r="H2875" t="str">
        <f t="shared" si="759"/>
        <v>048314</v>
      </c>
      <c r="I2875" t="s">
        <v>833</v>
      </c>
      <c r="J2875" t="str">
        <f t="shared" si="758"/>
        <v>2015-07-01 00:00:00.0</v>
      </c>
      <c r="K2875" t="s">
        <v>834</v>
      </c>
      <c r="L2875" t="s">
        <v>0</v>
      </c>
      <c r="M2875" t="str">
        <f t="shared" si="753"/>
        <v>048314</v>
      </c>
      <c r="N2875">
        <v>1</v>
      </c>
      <c r="O2875">
        <v>1</v>
      </c>
      <c r="P2875" t="str">
        <f>"09"</f>
        <v>09</v>
      </c>
      <c r="Q2875" t="s">
        <v>835</v>
      </c>
      <c r="S2875" t="s">
        <v>836</v>
      </c>
      <c r="T2875" t="s">
        <v>836</v>
      </c>
      <c r="U2875" t="str">
        <f t="shared" si="756"/>
        <v>2500-12-31 00:00:00.0</v>
      </c>
      <c r="V2875" t="s">
        <v>837</v>
      </c>
      <c r="W2875" t="str">
        <f>"048314-004796-**-**"</f>
        <v>048314-004796-**-**</v>
      </c>
      <c r="X2875" t="s">
        <v>838</v>
      </c>
      <c r="Y2875">
        <v>1254.5</v>
      </c>
      <c r="Z2875">
        <v>1254.5</v>
      </c>
      <c r="AA2875" t="str">
        <f t="shared" si="760"/>
        <v>06/08/2016</v>
      </c>
    </row>
    <row r="2876" spans="1:27" x14ac:dyDescent="0.3">
      <c r="A2876" t="str">
        <f t="shared" si="749"/>
        <v>048314</v>
      </c>
      <c r="B2876" t="str">
        <f t="shared" si="755"/>
        <v>070417</v>
      </c>
      <c r="C2876" t="s">
        <v>1984</v>
      </c>
      <c r="D2876" t="s">
        <v>3839</v>
      </c>
      <c r="E2876" t="s">
        <v>3840</v>
      </c>
      <c r="F2876" t="s">
        <v>3841</v>
      </c>
      <c r="G2876" t="s">
        <v>3842</v>
      </c>
      <c r="H2876" t="str">
        <f t="shared" si="759"/>
        <v>048314</v>
      </c>
      <c r="I2876" t="s">
        <v>833</v>
      </c>
      <c r="J2876" t="str">
        <f t="shared" si="758"/>
        <v>2015-07-01 00:00:00.0</v>
      </c>
      <c r="K2876" t="s">
        <v>834</v>
      </c>
      <c r="L2876" t="s">
        <v>0</v>
      </c>
      <c r="M2876" t="str">
        <f t="shared" si="753"/>
        <v>048314</v>
      </c>
      <c r="N2876">
        <v>1</v>
      </c>
      <c r="O2876">
        <v>1</v>
      </c>
      <c r="P2876" t="str">
        <f>"08"</f>
        <v>08</v>
      </c>
      <c r="Q2876" t="s">
        <v>835</v>
      </c>
      <c r="S2876" t="s">
        <v>836</v>
      </c>
      <c r="T2876" t="s">
        <v>836</v>
      </c>
      <c r="U2876" t="str">
        <f t="shared" si="756"/>
        <v>2500-12-31 00:00:00.0</v>
      </c>
      <c r="V2876" t="s">
        <v>837</v>
      </c>
      <c r="W2876" t="str">
        <f>"048314-070417-**-**"</f>
        <v>048314-070417-**-**</v>
      </c>
      <c r="X2876" t="s">
        <v>838</v>
      </c>
      <c r="Y2876">
        <v>1125</v>
      </c>
      <c r="Z2876">
        <v>1125</v>
      </c>
      <c r="AA2876" t="str">
        <f t="shared" si="760"/>
        <v>06/08/2016</v>
      </c>
    </row>
    <row r="2877" spans="1:27" x14ac:dyDescent="0.3">
      <c r="A2877" t="str">
        <f t="shared" si="749"/>
        <v>048314</v>
      </c>
      <c r="B2877" t="str">
        <f t="shared" si="755"/>
        <v>070417</v>
      </c>
      <c r="C2877" t="s">
        <v>1834</v>
      </c>
      <c r="D2877" t="s">
        <v>3839</v>
      </c>
      <c r="E2877" t="s">
        <v>3840</v>
      </c>
      <c r="F2877" t="s">
        <v>3841</v>
      </c>
      <c r="G2877" t="s">
        <v>3842</v>
      </c>
      <c r="H2877" t="str">
        <f t="shared" si="759"/>
        <v>048314</v>
      </c>
      <c r="I2877" t="s">
        <v>833</v>
      </c>
      <c r="J2877" t="str">
        <f t="shared" si="758"/>
        <v>2015-07-01 00:00:00.0</v>
      </c>
      <c r="K2877" t="s">
        <v>834</v>
      </c>
      <c r="L2877" t="s">
        <v>0</v>
      </c>
      <c r="M2877" t="str">
        <f t="shared" si="753"/>
        <v>048314</v>
      </c>
      <c r="N2877">
        <v>1</v>
      </c>
      <c r="O2877">
        <v>1</v>
      </c>
      <c r="P2877" t="str">
        <f>"09"</f>
        <v>09</v>
      </c>
      <c r="Q2877" t="s">
        <v>835</v>
      </c>
      <c r="S2877" t="s">
        <v>836</v>
      </c>
      <c r="T2877" t="s">
        <v>836</v>
      </c>
      <c r="U2877" t="str">
        <f t="shared" si="756"/>
        <v>2500-12-31 00:00:00.0</v>
      </c>
      <c r="V2877" t="s">
        <v>837</v>
      </c>
      <c r="W2877" t="str">
        <f>"048314-004796-**-**"</f>
        <v>048314-004796-**-**</v>
      </c>
      <c r="X2877" t="s">
        <v>838</v>
      </c>
      <c r="Y2877">
        <v>1254.5</v>
      </c>
      <c r="Z2877">
        <v>1254.5</v>
      </c>
      <c r="AA2877" t="str">
        <f t="shared" si="760"/>
        <v>06/08/2016</v>
      </c>
    </row>
    <row r="2878" spans="1:27" x14ac:dyDescent="0.3">
      <c r="A2878" t="str">
        <f t="shared" si="749"/>
        <v>048314</v>
      </c>
      <c r="B2878" t="str">
        <f t="shared" si="755"/>
        <v>070417</v>
      </c>
      <c r="C2878" t="s">
        <v>970</v>
      </c>
      <c r="D2878" t="s">
        <v>3839</v>
      </c>
      <c r="E2878" t="s">
        <v>3840</v>
      </c>
      <c r="F2878" t="s">
        <v>3841</v>
      </c>
      <c r="G2878" t="s">
        <v>3842</v>
      </c>
      <c r="H2878" t="str">
        <f t="shared" si="759"/>
        <v>048314</v>
      </c>
      <c r="I2878" t="s">
        <v>833</v>
      </c>
      <c r="J2878" t="str">
        <f t="shared" si="758"/>
        <v>2015-07-01 00:00:00.0</v>
      </c>
      <c r="K2878" t="s">
        <v>834</v>
      </c>
      <c r="L2878" t="s">
        <v>0</v>
      </c>
      <c r="M2878" t="str">
        <f t="shared" si="753"/>
        <v>048314</v>
      </c>
      <c r="N2878">
        <v>1</v>
      </c>
      <c r="O2878">
        <v>1</v>
      </c>
      <c r="P2878" t="str">
        <f>"09"</f>
        <v>09</v>
      </c>
      <c r="Q2878" t="s">
        <v>835</v>
      </c>
      <c r="S2878" t="s">
        <v>836</v>
      </c>
      <c r="T2878" t="s">
        <v>836</v>
      </c>
      <c r="U2878" t="str">
        <f t="shared" si="756"/>
        <v>2500-12-31 00:00:00.0</v>
      </c>
      <c r="V2878" t="s">
        <v>837</v>
      </c>
      <c r="W2878" t="str">
        <f>"048314-004796-**-**"</f>
        <v>048314-004796-**-**</v>
      </c>
      <c r="X2878" t="s">
        <v>838</v>
      </c>
      <c r="Y2878">
        <v>1254.5</v>
      </c>
      <c r="Z2878">
        <v>1254.5</v>
      </c>
      <c r="AA2878" t="str">
        <f t="shared" si="760"/>
        <v>06/08/2016</v>
      </c>
    </row>
    <row r="2879" spans="1:27" x14ac:dyDescent="0.3">
      <c r="A2879" t="str">
        <f t="shared" si="749"/>
        <v>048314</v>
      </c>
      <c r="B2879" t="str">
        <f t="shared" si="755"/>
        <v>070417</v>
      </c>
      <c r="C2879" t="s">
        <v>2506</v>
      </c>
      <c r="D2879" t="s">
        <v>3839</v>
      </c>
      <c r="E2879" t="s">
        <v>3840</v>
      </c>
      <c r="F2879" t="s">
        <v>3841</v>
      </c>
      <c r="G2879" t="s">
        <v>3842</v>
      </c>
      <c r="H2879" t="str">
        <f t="shared" si="759"/>
        <v>048314</v>
      </c>
      <c r="I2879" t="s">
        <v>833</v>
      </c>
      <c r="J2879" t="str">
        <f t="shared" si="758"/>
        <v>2015-07-01 00:00:00.0</v>
      </c>
      <c r="K2879" t="s">
        <v>834</v>
      </c>
      <c r="L2879" t="s">
        <v>0</v>
      </c>
      <c r="M2879" t="str">
        <f t="shared" si="753"/>
        <v>048314</v>
      </c>
      <c r="N2879">
        <v>1</v>
      </c>
      <c r="O2879">
        <v>1</v>
      </c>
      <c r="P2879" t="str">
        <f>"09"</f>
        <v>09</v>
      </c>
      <c r="Q2879" t="s">
        <v>835</v>
      </c>
      <c r="S2879" t="s">
        <v>836</v>
      </c>
      <c r="T2879" t="s">
        <v>836</v>
      </c>
      <c r="U2879" t="str">
        <f t="shared" si="756"/>
        <v>2500-12-31 00:00:00.0</v>
      </c>
      <c r="V2879" t="s">
        <v>837</v>
      </c>
      <c r="W2879" t="str">
        <f>"048314-004796-**-**"</f>
        <v>048314-004796-**-**</v>
      </c>
      <c r="X2879" t="s">
        <v>838</v>
      </c>
      <c r="Y2879">
        <v>1254.5</v>
      </c>
      <c r="Z2879">
        <v>1254.5</v>
      </c>
      <c r="AA2879" t="str">
        <f t="shared" si="760"/>
        <v>06/08/2016</v>
      </c>
    </row>
    <row r="2880" spans="1:27" x14ac:dyDescent="0.3">
      <c r="A2880" t="str">
        <f t="shared" si="749"/>
        <v>048314</v>
      </c>
      <c r="B2880" t="str">
        <f t="shared" si="755"/>
        <v>070417</v>
      </c>
      <c r="C2880" t="s">
        <v>916</v>
      </c>
      <c r="D2880" t="s">
        <v>3839</v>
      </c>
      <c r="E2880" t="s">
        <v>3840</v>
      </c>
      <c r="F2880" t="s">
        <v>3841</v>
      </c>
      <c r="G2880" t="s">
        <v>3842</v>
      </c>
      <c r="H2880" t="str">
        <f t="shared" si="759"/>
        <v>048314</v>
      </c>
      <c r="I2880" t="s">
        <v>833</v>
      </c>
      <c r="J2880" t="str">
        <f t="shared" si="758"/>
        <v>2015-07-01 00:00:00.0</v>
      </c>
      <c r="K2880" t="s">
        <v>834</v>
      </c>
      <c r="L2880" t="s">
        <v>0</v>
      </c>
      <c r="M2880" t="str">
        <f t="shared" si="753"/>
        <v>048314</v>
      </c>
      <c r="N2880">
        <v>1</v>
      </c>
      <c r="O2880">
        <v>1</v>
      </c>
      <c r="P2880" t="str">
        <f>"07"</f>
        <v>07</v>
      </c>
      <c r="Q2880" t="s">
        <v>835</v>
      </c>
      <c r="S2880" t="s">
        <v>836</v>
      </c>
      <c r="T2880" t="s">
        <v>836</v>
      </c>
      <c r="U2880" t="str">
        <f t="shared" si="756"/>
        <v>2500-12-31 00:00:00.0</v>
      </c>
      <c r="V2880" t="s">
        <v>837</v>
      </c>
      <c r="W2880" t="str">
        <f>"048314-070417-**-**"</f>
        <v>048314-070417-**-**</v>
      </c>
      <c r="X2880" t="s">
        <v>838</v>
      </c>
      <c r="Y2880">
        <v>1125</v>
      </c>
      <c r="Z2880">
        <v>1125</v>
      </c>
      <c r="AA2880" t="str">
        <f t="shared" si="760"/>
        <v>06/08/2016</v>
      </c>
    </row>
    <row r="2881" spans="1:27" x14ac:dyDescent="0.3">
      <c r="A2881" t="str">
        <f t="shared" si="749"/>
        <v>048314</v>
      </c>
      <c r="B2881" t="str">
        <f t="shared" si="755"/>
        <v>070417</v>
      </c>
      <c r="C2881" t="s">
        <v>2057</v>
      </c>
      <c r="D2881" t="s">
        <v>3839</v>
      </c>
      <c r="E2881" t="s">
        <v>3840</v>
      </c>
      <c r="F2881" t="s">
        <v>3841</v>
      </c>
      <c r="G2881" t="s">
        <v>3842</v>
      </c>
      <c r="H2881" t="str">
        <f t="shared" si="759"/>
        <v>048314</v>
      </c>
      <c r="I2881" t="s">
        <v>833</v>
      </c>
      <c r="J2881" t="str">
        <f t="shared" si="758"/>
        <v>2015-07-01 00:00:00.0</v>
      </c>
      <c r="K2881" t="s">
        <v>834</v>
      </c>
      <c r="L2881" t="s">
        <v>0</v>
      </c>
      <c r="M2881" t="str">
        <f t="shared" si="753"/>
        <v>048314</v>
      </c>
      <c r="N2881">
        <v>1</v>
      </c>
      <c r="O2881">
        <v>1</v>
      </c>
      <c r="P2881" t="str">
        <f>"09"</f>
        <v>09</v>
      </c>
      <c r="Q2881" t="s">
        <v>835</v>
      </c>
      <c r="S2881" t="s">
        <v>836</v>
      </c>
      <c r="T2881" t="s">
        <v>836</v>
      </c>
      <c r="U2881" t="str">
        <f t="shared" si="756"/>
        <v>2500-12-31 00:00:00.0</v>
      </c>
      <c r="V2881" t="s">
        <v>837</v>
      </c>
      <c r="W2881" t="str">
        <f>"048314-004796-**-**"</f>
        <v>048314-004796-**-**</v>
      </c>
      <c r="X2881" t="s">
        <v>838</v>
      </c>
      <c r="Y2881">
        <v>1254.5</v>
      </c>
      <c r="Z2881">
        <v>1254.5</v>
      </c>
      <c r="AA2881" t="str">
        <f t="shared" si="760"/>
        <v>06/08/2016</v>
      </c>
    </row>
    <row r="2882" spans="1:27" x14ac:dyDescent="0.3">
      <c r="A2882" t="str">
        <f t="shared" ref="A2882:A2945" si="761">"048314"</f>
        <v>048314</v>
      </c>
      <c r="B2882" t="str">
        <f t="shared" si="755"/>
        <v>070417</v>
      </c>
      <c r="C2882" t="s">
        <v>2378</v>
      </c>
      <c r="D2882" t="s">
        <v>3839</v>
      </c>
      <c r="E2882" t="s">
        <v>3840</v>
      </c>
      <c r="F2882" t="s">
        <v>3841</v>
      </c>
      <c r="G2882" t="s">
        <v>3842</v>
      </c>
      <c r="H2882" t="str">
        <f t="shared" si="759"/>
        <v>048314</v>
      </c>
      <c r="I2882" t="s">
        <v>833</v>
      </c>
      <c r="J2882" t="str">
        <f t="shared" si="758"/>
        <v>2015-07-01 00:00:00.0</v>
      </c>
      <c r="K2882" t="s">
        <v>834</v>
      </c>
      <c r="L2882" t="s">
        <v>0</v>
      </c>
      <c r="M2882" t="str">
        <f t="shared" si="753"/>
        <v>048314</v>
      </c>
      <c r="N2882">
        <v>1</v>
      </c>
      <c r="O2882">
        <v>1</v>
      </c>
      <c r="P2882" t="str">
        <f>"08"</f>
        <v>08</v>
      </c>
      <c r="Q2882" t="s">
        <v>835</v>
      </c>
      <c r="S2882" t="s">
        <v>836</v>
      </c>
      <c r="T2882" t="s">
        <v>836</v>
      </c>
      <c r="U2882" t="str">
        <f t="shared" si="756"/>
        <v>2500-12-31 00:00:00.0</v>
      </c>
      <c r="V2882" t="s">
        <v>837</v>
      </c>
      <c r="W2882" t="str">
        <f t="shared" ref="W2882:W2892" si="762">"048314-070417-**-**"</f>
        <v>048314-070417-**-**</v>
      </c>
      <c r="X2882" t="s">
        <v>838</v>
      </c>
      <c r="Y2882">
        <v>1125</v>
      </c>
      <c r="Z2882">
        <v>1125</v>
      </c>
      <c r="AA2882" t="str">
        <f t="shared" si="760"/>
        <v>06/08/2016</v>
      </c>
    </row>
    <row r="2883" spans="1:27" x14ac:dyDescent="0.3">
      <c r="A2883" t="str">
        <f t="shared" si="761"/>
        <v>048314</v>
      </c>
      <c r="B2883" t="str">
        <f t="shared" si="755"/>
        <v>070417</v>
      </c>
      <c r="C2883" t="s">
        <v>2920</v>
      </c>
      <c r="D2883" t="s">
        <v>3839</v>
      </c>
      <c r="E2883" t="s">
        <v>3840</v>
      </c>
      <c r="F2883" t="s">
        <v>3841</v>
      </c>
      <c r="G2883" t="s">
        <v>3842</v>
      </c>
      <c r="H2883" t="str">
        <f t="shared" si="759"/>
        <v>048314</v>
      </c>
      <c r="I2883" t="s">
        <v>833</v>
      </c>
      <c r="J2883" t="str">
        <f t="shared" si="758"/>
        <v>2015-07-01 00:00:00.0</v>
      </c>
      <c r="K2883" t="s">
        <v>834</v>
      </c>
      <c r="L2883" t="s">
        <v>0</v>
      </c>
      <c r="M2883" t="str">
        <f t="shared" si="753"/>
        <v>048314</v>
      </c>
      <c r="N2883">
        <v>1</v>
      </c>
      <c r="O2883">
        <v>1</v>
      </c>
      <c r="P2883" t="str">
        <f>"06"</f>
        <v>06</v>
      </c>
      <c r="Q2883" t="s">
        <v>835</v>
      </c>
      <c r="S2883" t="s">
        <v>836</v>
      </c>
      <c r="T2883" t="s">
        <v>836</v>
      </c>
      <c r="U2883" t="str">
        <f t="shared" si="756"/>
        <v>2500-12-31 00:00:00.0</v>
      </c>
      <c r="V2883" t="s">
        <v>837</v>
      </c>
      <c r="W2883" t="str">
        <f t="shared" si="762"/>
        <v>048314-070417-**-**</v>
      </c>
      <c r="X2883" t="s">
        <v>838</v>
      </c>
      <c r="Y2883">
        <v>1125</v>
      </c>
      <c r="Z2883">
        <v>1125</v>
      </c>
      <c r="AA2883" t="str">
        <f t="shared" si="760"/>
        <v>06/08/2016</v>
      </c>
    </row>
    <row r="2884" spans="1:27" x14ac:dyDescent="0.3">
      <c r="A2884" t="str">
        <f t="shared" si="761"/>
        <v>048314</v>
      </c>
      <c r="B2884" t="str">
        <f t="shared" si="755"/>
        <v>070417</v>
      </c>
      <c r="C2884" t="s">
        <v>2728</v>
      </c>
      <c r="D2884" t="s">
        <v>3839</v>
      </c>
      <c r="E2884" t="s">
        <v>3840</v>
      </c>
      <c r="F2884" t="s">
        <v>3841</v>
      </c>
      <c r="G2884" t="s">
        <v>3842</v>
      </c>
      <c r="H2884" t="str">
        <f t="shared" si="759"/>
        <v>048314</v>
      </c>
      <c r="I2884" t="s">
        <v>833</v>
      </c>
      <c r="J2884" t="str">
        <f t="shared" si="758"/>
        <v>2015-07-01 00:00:00.0</v>
      </c>
      <c r="K2884" t="s">
        <v>834</v>
      </c>
      <c r="L2884" t="s">
        <v>0</v>
      </c>
      <c r="M2884" t="str">
        <f t="shared" si="753"/>
        <v>048314</v>
      </c>
      <c r="N2884">
        <v>1</v>
      </c>
      <c r="O2884">
        <v>1</v>
      </c>
      <c r="P2884" t="str">
        <f>"06"</f>
        <v>06</v>
      </c>
      <c r="Q2884" t="s">
        <v>835</v>
      </c>
      <c r="S2884" t="s">
        <v>836</v>
      </c>
      <c r="T2884" t="s">
        <v>836</v>
      </c>
      <c r="U2884" t="str">
        <f t="shared" si="756"/>
        <v>2500-12-31 00:00:00.0</v>
      </c>
      <c r="V2884" t="s">
        <v>837</v>
      </c>
      <c r="W2884" t="str">
        <f t="shared" si="762"/>
        <v>048314-070417-**-**</v>
      </c>
      <c r="X2884" t="s">
        <v>838</v>
      </c>
      <c r="Y2884">
        <v>1125</v>
      </c>
      <c r="Z2884">
        <v>1125</v>
      </c>
      <c r="AA2884" t="str">
        <f t="shared" si="760"/>
        <v>06/08/2016</v>
      </c>
    </row>
    <row r="2885" spans="1:27" x14ac:dyDescent="0.3">
      <c r="A2885" t="str">
        <f t="shared" si="761"/>
        <v>048314</v>
      </c>
      <c r="B2885" t="str">
        <f t="shared" si="755"/>
        <v>070417</v>
      </c>
      <c r="C2885" t="s">
        <v>2729</v>
      </c>
      <c r="D2885" t="s">
        <v>3839</v>
      </c>
      <c r="E2885" t="s">
        <v>3840</v>
      </c>
      <c r="F2885" t="s">
        <v>3841</v>
      </c>
      <c r="G2885" t="s">
        <v>3842</v>
      </c>
      <c r="H2885" t="str">
        <f t="shared" si="759"/>
        <v>048314</v>
      </c>
      <c r="I2885" t="s">
        <v>833</v>
      </c>
      <c r="J2885" t="str">
        <f t="shared" si="758"/>
        <v>2015-07-01 00:00:00.0</v>
      </c>
      <c r="K2885" t="s">
        <v>834</v>
      </c>
      <c r="L2885" t="s">
        <v>0</v>
      </c>
      <c r="M2885" t="str">
        <f t="shared" si="753"/>
        <v>048314</v>
      </c>
      <c r="N2885">
        <v>1</v>
      </c>
      <c r="O2885">
        <v>1</v>
      </c>
      <c r="P2885" t="str">
        <f>"06"</f>
        <v>06</v>
      </c>
      <c r="Q2885" t="s">
        <v>835</v>
      </c>
      <c r="S2885" t="s">
        <v>836</v>
      </c>
      <c r="T2885" t="s">
        <v>836</v>
      </c>
      <c r="U2885" t="str">
        <f t="shared" si="756"/>
        <v>2500-12-31 00:00:00.0</v>
      </c>
      <c r="V2885" t="s">
        <v>837</v>
      </c>
      <c r="W2885" t="str">
        <f t="shared" si="762"/>
        <v>048314-070417-**-**</v>
      </c>
      <c r="X2885" t="s">
        <v>838</v>
      </c>
      <c r="Y2885">
        <v>1125</v>
      </c>
      <c r="Z2885">
        <v>1125</v>
      </c>
      <c r="AA2885" t="str">
        <f t="shared" si="760"/>
        <v>06/08/2016</v>
      </c>
    </row>
    <row r="2886" spans="1:27" x14ac:dyDescent="0.3">
      <c r="A2886" t="str">
        <f t="shared" si="761"/>
        <v>048314</v>
      </c>
      <c r="B2886" t="str">
        <f t="shared" si="755"/>
        <v>070417</v>
      </c>
      <c r="C2886" t="s">
        <v>3580</v>
      </c>
      <c r="D2886" t="s">
        <v>3839</v>
      </c>
      <c r="E2886" t="s">
        <v>3840</v>
      </c>
      <c r="F2886" t="s">
        <v>3841</v>
      </c>
      <c r="G2886" t="s">
        <v>3842</v>
      </c>
      <c r="H2886" t="str">
        <f t="shared" si="759"/>
        <v>048314</v>
      </c>
      <c r="I2886" t="s">
        <v>833</v>
      </c>
      <c r="J2886" t="str">
        <f t="shared" si="758"/>
        <v>2015-07-01 00:00:00.0</v>
      </c>
      <c r="K2886" t="s">
        <v>834</v>
      </c>
      <c r="L2886" t="s">
        <v>0</v>
      </c>
      <c r="M2886" t="str">
        <f t="shared" si="753"/>
        <v>048314</v>
      </c>
      <c r="N2886">
        <v>1</v>
      </c>
      <c r="O2886">
        <v>1</v>
      </c>
      <c r="P2886" t="str">
        <f>"06"</f>
        <v>06</v>
      </c>
      <c r="Q2886" t="s">
        <v>835</v>
      </c>
      <c r="S2886" t="s">
        <v>836</v>
      </c>
      <c r="T2886" t="s">
        <v>836</v>
      </c>
      <c r="U2886" t="str">
        <f t="shared" si="756"/>
        <v>2500-12-31 00:00:00.0</v>
      </c>
      <c r="V2886" t="s">
        <v>837</v>
      </c>
      <c r="W2886" t="str">
        <f t="shared" si="762"/>
        <v>048314-070417-**-**</v>
      </c>
      <c r="X2886" t="s">
        <v>838</v>
      </c>
      <c r="Y2886">
        <v>1125</v>
      </c>
      <c r="Z2886">
        <v>1125</v>
      </c>
      <c r="AA2886" t="str">
        <f t="shared" si="760"/>
        <v>06/08/2016</v>
      </c>
    </row>
    <row r="2887" spans="1:27" x14ac:dyDescent="0.3">
      <c r="A2887" t="str">
        <f t="shared" si="761"/>
        <v>048314</v>
      </c>
      <c r="B2887" t="str">
        <f t="shared" si="755"/>
        <v>070417</v>
      </c>
      <c r="C2887" t="s">
        <v>2730</v>
      </c>
      <c r="D2887" t="s">
        <v>3839</v>
      </c>
      <c r="E2887" t="s">
        <v>3840</v>
      </c>
      <c r="F2887" t="s">
        <v>3841</v>
      </c>
      <c r="G2887" t="s">
        <v>3842</v>
      </c>
      <c r="H2887" t="str">
        <f t="shared" si="759"/>
        <v>048314</v>
      </c>
      <c r="I2887" t="s">
        <v>833</v>
      </c>
      <c r="J2887" t="str">
        <f t="shared" si="758"/>
        <v>2015-07-01 00:00:00.0</v>
      </c>
      <c r="K2887" t="s">
        <v>834</v>
      </c>
      <c r="L2887" t="s">
        <v>0</v>
      </c>
      <c r="M2887" t="str">
        <f t="shared" si="753"/>
        <v>048314</v>
      </c>
      <c r="N2887">
        <v>1</v>
      </c>
      <c r="O2887">
        <v>1</v>
      </c>
      <c r="P2887" t="str">
        <f>"07"</f>
        <v>07</v>
      </c>
      <c r="Q2887" t="s">
        <v>835</v>
      </c>
      <c r="S2887" t="s">
        <v>836</v>
      </c>
      <c r="T2887" t="s">
        <v>836</v>
      </c>
      <c r="U2887" t="str">
        <f t="shared" si="756"/>
        <v>2500-12-31 00:00:00.0</v>
      </c>
      <c r="V2887" t="s">
        <v>837</v>
      </c>
      <c r="W2887" t="str">
        <f t="shared" si="762"/>
        <v>048314-070417-**-**</v>
      </c>
      <c r="X2887" t="s">
        <v>838</v>
      </c>
      <c r="Y2887">
        <v>1125</v>
      </c>
      <c r="Z2887">
        <v>1125</v>
      </c>
      <c r="AA2887" t="str">
        <f t="shared" si="760"/>
        <v>06/08/2016</v>
      </c>
    </row>
    <row r="2888" spans="1:27" x14ac:dyDescent="0.3">
      <c r="A2888" t="str">
        <f t="shared" si="761"/>
        <v>048314</v>
      </c>
      <c r="B2888" t="str">
        <f t="shared" si="755"/>
        <v>070417</v>
      </c>
      <c r="C2888" t="s">
        <v>2532</v>
      </c>
      <c r="D2888" t="s">
        <v>3839</v>
      </c>
      <c r="E2888" t="s">
        <v>3840</v>
      </c>
      <c r="F2888" t="s">
        <v>3841</v>
      </c>
      <c r="G2888" t="s">
        <v>3842</v>
      </c>
      <c r="H2888" t="str">
        <f t="shared" si="759"/>
        <v>048314</v>
      </c>
      <c r="I2888" t="s">
        <v>833</v>
      </c>
      <c r="J2888" t="str">
        <f t="shared" si="758"/>
        <v>2015-07-01 00:00:00.0</v>
      </c>
      <c r="K2888" t="s">
        <v>834</v>
      </c>
      <c r="L2888" t="s">
        <v>0</v>
      </c>
      <c r="M2888" t="str">
        <f t="shared" si="753"/>
        <v>048314</v>
      </c>
      <c r="N2888">
        <v>1</v>
      </c>
      <c r="O2888">
        <v>1</v>
      </c>
      <c r="P2888" t="str">
        <f>"07"</f>
        <v>07</v>
      </c>
      <c r="Q2888" t="s">
        <v>835</v>
      </c>
      <c r="S2888" t="s">
        <v>860</v>
      </c>
      <c r="T2888" t="s">
        <v>836</v>
      </c>
      <c r="U2888" t="str">
        <f t="shared" si="756"/>
        <v>2500-12-31 00:00:00.0</v>
      </c>
      <c r="V2888" t="s">
        <v>837</v>
      </c>
      <c r="W2888" t="str">
        <f t="shared" si="762"/>
        <v>048314-070417-**-**</v>
      </c>
      <c r="X2888" t="s">
        <v>838</v>
      </c>
      <c r="Y2888">
        <v>1125</v>
      </c>
      <c r="Z2888">
        <v>1125</v>
      </c>
      <c r="AA2888" t="str">
        <f t="shared" si="760"/>
        <v>06/08/2016</v>
      </c>
    </row>
    <row r="2889" spans="1:27" x14ac:dyDescent="0.3">
      <c r="A2889" t="str">
        <f t="shared" si="761"/>
        <v>048314</v>
      </c>
      <c r="B2889" t="str">
        <f t="shared" si="755"/>
        <v>070417</v>
      </c>
      <c r="C2889" t="s">
        <v>2167</v>
      </c>
      <c r="D2889" t="s">
        <v>3839</v>
      </c>
      <c r="E2889" t="s">
        <v>3840</v>
      </c>
      <c r="F2889" t="s">
        <v>3841</v>
      </c>
      <c r="G2889" t="s">
        <v>3842</v>
      </c>
      <c r="H2889" t="str">
        <f t="shared" si="759"/>
        <v>048314</v>
      </c>
      <c r="I2889" t="s">
        <v>833</v>
      </c>
      <c r="J2889" t="str">
        <f t="shared" si="758"/>
        <v>2015-07-01 00:00:00.0</v>
      </c>
      <c r="K2889" t="s">
        <v>834</v>
      </c>
      <c r="L2889" t="s">
        <v>0</v>
      </c>
      <c r="M2889" t="str">
        <f t="shared" si="753"/>
        <v>048314</v>
      </c>
      <c r="N2889">
        <v>1</v>
      </c>
      <c r="O2889">
        <v>1</v>
      </c>
      <c r="P2889" t="str">
        <f>"08"</f>
        <v>08</v>
      </c>
      <c r="Q2889" t="s">
        <v>835</v>
      </c>
      <c r="S2889" t="s">
        <v>836</v>
      </c>
      <c r="T2889" t="s">
        <v>836</v>
      </c>
      <c r="U2889" t="str">
        <f t="shared" si="756"/>
        <v>2500-12-31 00:00:00.0</v>
      </c>
      <c r="V2889" t="s">
        <v>837</v>
      </c>
      <c r="W2889" t="str">
        <f t="shared" si="762"/>
        <v>048314-070417-**-**</v>
      </c>
      <c r="X2889" t="s">
        <v>838</v>
      </c>
      <c r="Y2889">
        <v>1125</v>
      </c>
      <c r="Z2889">
        <v>1125</v>
      </c>
      <c r="AA2889" t="str">
        <f t="shared" si="760"/>
        <v>06/08/2016</v>
      </c>
    </row>
    <row r="2890" spans="1:27" x14ac:dyDescent="0.3">
      <c r="A2890" t="str">
        <f t="shared" si="761"/>
        <v>048314</v>
      </c>
      <c r="B2890" t="str">
        <f t="shared" si="755"/>
        <v>070417</v>
      </c>
      <c r="C2890" t="s">
        <v>3149</v>
      </c>
      <c r="D2890" t="s">
        <v>3839</v>
      </c>
      <c r="E2890" t="s">
        <v>3840</v>
      </c>
      <c r="F2890" t="s">
        <v>3841</v>
      </c>
      <c r="G2890" t="s">
        <v>3842</v>
      </c>
      <c r="H2890" t="str">
        <f t="shared" si="759"/>
        <v>048314</v>
      </c>
      <c r="I2890" t="s">
        <v>833</v>
      </c>
      <c r="J2890" t="str">
        <f t="shared" si="758"/>
        <v>2015-07-01 00:00:00.0</v>
      </c>
      <c r="K2890" t="s">
        <v>834</v>
      </c>
      <c r="L2890" t="s">
        <v>0</v>
      </c>
      <c r="M2890" t="str">
        <f t="shared" si="753"/>
        <v>048314</v>
      </c>
      <c r="N2890">
        <v>1</v>
      </c>
      <c r="O2890">
        <v>1</v>
      </c>
      <c r="P2890" t="str">
        <f>"06"</f>
        <v>06</v>
      </c>
      <c r="Q2890" t="s">
        <v>835</v>
      </c>
      <c r="S2890" t="s">
        <v>836</v>
      </c>
      <c r="T2890" t="s">
        <v>836</v>
      </c>
      <c r="U2890" t="str">
        <f t="shared" si="756"/>
        <v>2500-12-31 00:00:00.0</v>
      </c>
      <c r="V2890" t="s">
        <v>837</v>
      </c>
      <c r="W2890" t="str">
        <f t="shared" si="762"/>
        <v>048314-070417-**-**</v>
      </c>
      <c r="X2890" t="s">
        <v>838</v>
      </c>
      <c r="Y2890">
        <v>1125</v>
      </c>
      <c r="Z2890">
        <v>1125</v>
      </c>
      <c r="AA2890" t="str">
        <f t="shared" si="760"/>
        <v>06/08/2016</v>
      </c>
    </row>
    <row r="2891" spans="1:27" x14ac:dyDescent="0.3">
      <c r="A2891" t="str">
        <f t="shared" si="761"/>
        <v>048314</v>
      </c>
      <c r="B2891" t="str">
        <f t="shared" si="755"/>
        <v>070417</v>
      </c>
      <c r="C2891" t="s">
        <v>2191</v>
      </c>
      <c r="D2891" t="s">
        <v>3839</v>
      </c>
      <c r="E2891" t="s">
        <v>3840</v>
      </c>
      <c r="F2891" t="s">
        <v>3841</v>
      </c>
      <c r="G2891" t="s">
        <v>3842</v>
      </c>
      <c r="H2891" t="str">
        <f t="shared" si="759"/>
        <v>048314</v>
      </c>
      <c r="I2891" t="s">
        <v>833</v>
      </c>
      <c r="J2891" t="str">
        <f t="shared" si="758"/>
        <v>2015-07-01 00:00:00.0</v>
      </c>
      <c r="K2891" t="s">
        <v>834</v>
      </c>
      <c r="L2891" t="s">
        <v>0</v>
      </c>
      <c r="M2891" t="str">
        <f t="shared" si="753"/>
        <v>048314</v>
      </c>
      <c r="N2891">
        <v>1</v>
      </c>
      <c r="O2891">
        <v>1</v>
      </c>
      <c r="P2891" t="str">
        <f>"08"</f>
        <v>08</v>
      </c>
      <c r="Q2891" t="s">
        <v>835</v>
      </c>
      <c r="S2891" t="s">
        <v>836</v>
      </c>
      <c r="T2891" t="s">
        <v>836</v>
      </c>
      <c r="U2891" t="str">
        <f t="shared" si="756"/>
        <v>2500-12-31 00:00:00.0</v>
      </c>
      <c r="V2891" t="s">
        <v>837</v>
      </c>
      <c r="W2891" t="str">
        <f t="shared" si="762"/>
        <v>048314-070417-**-**</v>
      </c>
      <c r="X2891" t="s">
        <v>838</v>
      </c>
      <c r="Y2891">
        <v>1125</v>
      </c>
      <c r="Z2891">
        <v>1125</v>
      </c>
      <c r="AA2891" t="str">
        <f t="shared" si="760"/>
        <v>06/08/2016</v>
      </c>
    </row>
    <row r="2892" spans="1:27" x14ac:dyDescent="0.3">
      <c r="A2892" t="str">
        <f t="shared" si="761"/>
        <v>048314</v>
      </c>
      <c r="B2892" t="str">
        <f t="shared" si="755"/>
        <v>070417</v>
      </c>
      <c r="C2892" t="s">
        <v>3642</v>
      </c>
      <c r="D2892" t="s">
        <v>3839</v>
      </c>
      <c r="E2892" t="s">
        <v>3840</v>
      </c>
      <c r="F2892" t="s">
        <v>3841</v>
      </c>
      <c r="G2892" t="s">
        <v>3842</v>
      </c>
      <c r="H2892" t="str">
        <f t="shared" si="759"/>
        <v>048314</v>
      </c>
      <c r="I2892" t="s">
        <v>833</v>
      </c>
      <c r="J2892" t="str">
        <f t="shared" si="758"/>
        <v>2015-07-01 00:00:00.0</v>
      </c>
      <c r="K2892" t="s">
        <v>834</v>
      </c>
      <c r="L2892" t="s">
        <v>0</v>
      </c>
      <c r="M2892" t="str">
        <f t="shared" si="753"/>
        <v>048314</v>
      </c>
      <c r="N2892">
        <v>1</v>
      </c>
      <c r="O2892">
        <v>1</v>
      </c>
      <c r="P2892" t="str">
        <f>"06"</f>
        <v>06</v>
      </c>
      <c r="Q2892" t="s">
        <v>835</v>
      </c>
      <c r="S2892" t="s">
        <v>836</v>
      </c>
      <c r="T2892" t="s">
        <v>836</v>
      </c>
      <c r="U2892" t="str">
        <f t="shared" si="756"/>
        <v>2500-12-31 00:00:00.0</v>
      </c>
      <c r="V2892" t="s">
        <v>837</v>
      </c>
      <c r="W2892" t="str">
        <f t="shared" si="762"/>
        <v>048314-070417-**-**</v>
      </c>
      <c r="X2892" t="s">
        <v>838</v>
      </c>
      <c r="Y2892">
        <v>1125</v>
      </c>
      <c r="Z2892">
        <v>1125</v>
      </c>
      <c r="AA2892" t="str">
        <f t="shared" si="760"/>
        <v>06/08/2016</v>
      </c>
    </row>
    <row r="2893" spans="1:27" x14ac:dyDescent="0.3">
      <c r="A2893" t="str">
        <f t="shared" si="761"/>
        <v>048314</v>
      </c>
      <c r="B2893" t="str">
        <f t="shared" si="755"/>
        <v>070417</v>
      </c>
      <c r="C2893" t="s">
        <v>1985</v>
      </c>
      <c r="D2893" t="s">
        <v>3839</v>
      </c>
      <c r="E2893" t="s">
        <v>3840</v>
      </c>
      <c r="F2893" t="s">
        <v>3841</v>
      </c>
      <c r="G2893" t="s">
        <v>3842</v>
      </c>
      <c r="H2893" t="str">
        <f t="shared" si="759"/>
        <v>048314</v>
      </c>
      <c r="I2893" t="s">
        <v>833</v>
      </c>
      <c r="J2893" t="str">
        <f t="shared" si="758"/>
        <v>2015-07-01 00:00:00.0</v>
      </c>
      <c r="K2893" t="s">
        <v>834</v>
      </c>
      <c r="L2893" t="s">
        <v>0</v>
      </c>
      <c r="M2893" t="str">
        <f t="shared" si="753"/>
        <v>048314</v>
      </c>
      <c r="N2893">
        <v>1</v>
      </c>
      <c r="O2893">
        <v>1</v>
      </c>
      <c r="P2893" t="str">
        <f>"09"</f>
        <v>09</v>
      </c>
      <c r="Q2893" t="s">
        <v>835</v>
      </c>
      <c r="S2893" t="s">
        <v>836</v>
      </c>
      <c r="T2893" t="s">
        <v>836</v>
      </c>
      <c r="U2893" t="str">
        <f t="shared" si="756"/>
        <v>2500-12-31 00:00:00.0</v>
      </c>
      <c r="V2893" t="s">
        <v>837</v>
      </c>
      <c r="W2893" t="str">
        <f>"048314-004796-**-**"</f>
        <v>048314-004796-**-**</v>
      </c>
      <c r="X2893" t="s">
        <v>838</v>
      </c>
      <c r="Y2893">
        <v>1254.5</v>
      </c>
      <c r="Z2893">
        <v>1254.5</v>
      </c>
      <c r="AA2893" t="str">
        <f t="shared" si="760"/>
        <v>06/08/2016</v>
      </c>
    </row>
    <row r="2894" spans="1:27" x14ac:dyDescent="0.3">
      <c r="A2894" t="str">
        <f t="shared" si="761"/>
        <v>048314</v>
      </c>
      <c r="B2894" t="str">
        <f t="shared" si="755"/>
        <v>070417</v>
      </c>
      <c r="C2894" t="s">
        <v>1900</v>
      </c>
      <c r="D2894" t="s">
        <v>3839</v>
      </c>
      <c r="E2894" t="s">
        <v>3840</v>
      </c>
      <c r="F2894" t="s">
        <v>3841</v>
      </c>
      <c r="G2894" t="s">
        <v>3842</v>
      </c>
      <c r="H2894" t="str">
        <f t="shared" si="759"/>
        <v>048314</v>
      </c>
      <c r="I2894" t="s">
        <v>833</v>
      </c>
      <c r="J2894" t="str">
        <f t="shared" si="758"/>
        <v>2015-07-01 00:00:00.0</v>
      </c>
      <c r="K2894" t="s">
        <v>834</v>
      </c>
      <c r="L2894" t="s">
        <v>0</v>
      </c>
      <c r="M2894" t="str">
        <f t="shared" si="753"/>
        <v>048314</v>
      </c>
      <c r="N2894">
        <v>1</v>
      </c>
      <c r="O2894">
        <v>1</v>
      </c>
      <c r="P2894" t="str">
        <f>"09"</f>
        <v>09</v>
      </c>
      <c r="Q2894" t="s">
        <v>835</v>
      </c>
      <c r="S2894" t="s">
        <v>836</v>
      </c>
      <c r="T2894" t="s">
        <v>836</v>
      </c>
      <c r="U2894" t="str">
        <f t="shared" si="756"/>
        <v>2500-12-31 00:00:00.0</v>
      </c>
      <c r="V2894" t="s">
        <v>837</v>
      </c>
      <c r="W2894" t="str">
        <f>"048314-004796-**-**"</f>
        <v>048314-004796-**-**</v>
      </c>
      <c r="X2894" t="s">
        <v>838</v>
      </c>
      <c r="Y2894">
        <v>1254.5</v>
      </c>
      <c r="Z2894">
        <v>1254.5</v>
      </c>
      <c r="AA2894" t="str">
        <f t="shared" si="760"/>
        <v>06/08/2016</v>
      </c>
    </row>
    <row r="2895" spans="1:27" x14ac:dyDescent="0.3">
      <c r="A2895" t="str">
        <f t="shared" si="761"/>
        <v>048314</v>
      </c>
      <c r="B2895" t="str">
        <f t="shared" si="755"/>
        <v>070417</v>
      </c>
      <c r="C2895" t="s">
        <v>3074</v>
      </c>
      <c r="D2895" t="s">
        <v>3839</v>
      </c>
      <c r="E2895" t="s">
        <v>3840</v>
      </c>
      <c r="F2895" t="s">
        <v>3841</v>
      </c>
      <c r="G2895" t="s">
        <v>3842</v>
      </c>
      <c r="H2895" t="str">
        <f t="shared" si="759"/>
        <v>048314</v>
      </c>
      <c r="I2895" t="s">
        <v>833</v>
      </c>
      <c r="J2895" t="str">
        <f t="shared" si="758"/>
        <v>2015-07-01 00:00:00.0</v>
      </c>
      <c r="K2895" t="s">
        <v>834</v>
      </c>
      <c r="L2895" t="s">
        <v>0</v>
      </c>
      <c r="M2895" t="str">
        <f t="shared" si="753"/>
        <v>048314</v>
      </c>
      <c r="N2895">
        <v>1</v>
      </c>
      <c r="O2895">
        <v>1</v>
      </c>
      <c r="P2895" t="str">
        <f>"06"</f>
        <v>06</v>
      </c>
      <c r="Q2895" t="s">
        <v>835</v>
      </c>
      <c r="S2895" t="s">
        <v>836</v>
      </c>
      <c r="T2895" t="s">
        <v>836</v>
      </c>
      <c r="U2895" t="str">
        <f t="shared" si="756"/>
        <v>2500-12-31 00:00:00.0</v>
      </c>
      <c r="V2895" t="s">
        <v>837</v>
      </c>
      <c r="W2895" t="str">
        <f t="shared" ref="W2895:W2901" si="763">"048314-070417-**-**"</f>
        <v>048314-070417-**-**</v>
      </c>
      <c r="X2895" t="s">
        <v>838</v>
      </c>
      <c r="Y2895">
        <v>1125</v>
      </c>
      <c r="Z2895">
        <v>1125</v>
      </c>
      <c r="AA2895" t="str">
        <f t="shared" si="760"/>
        <v>06/08/2016</v>
      </c>
    </row>
    <row r="2896" spans="1:27" x14ac:dyDescent="0.3">
      <c r="A2896" t="str">
        <f t="shared" si="761"/>
        <v>048314</v>
      </c>
      <c r="B2896" t="str">
        <f t="shared" si="755"/>
        <v>070417</v>
      </c>
      <c r="C2896" t="s">
        <v>1458</v>
      </c>
      <c r="D2896" t="s">
        <v>3839</v>
      </c>
      <c r="E2896" t="s">
        <v>3840</v>
      </c>
      <c r="F2896" t="s">
        <v>3841</v>
      </c>
      <c r="G2896" t="s">
        <v>3842</v>
      </c>
      <c r="H2896" t="str">
        <f t="shared" si="759"/>
        <v>048314</v>
      </c>
      <c r="I2896" t="s">
        <v>833</v>
      </c>
      <c r="J2896" t="str">
        <f t="shared" si="758"/>
        <v>2015-07-01 00:00:00.0</v>
      </c>
      <c r="K2896" t="s">
        <v>834</v>
      </c>
      <c r="L2896" t="s">
        <v>0</v>
      </c>
      <c r="M2896" t="str">
        <f t="shared" si="753"/>
        <v>048314</v>
      </c>
      <c r="N2896">
        <v>1</v>
      </c>
      <c r="O2896">
        <v>1</v>
      </c>
      <c r="P2896" t="str">
        <f>"08"</f>
        <v>08</v>
      </c>
      <c r="Q2896" t="str">
        <f>"01"</f>
        <v>01</v>
      </c>
      <c r="R2896" t="str">
        <f>"5"</f>
        <v>5</v>
      </c>
      <c r="S2896" t="s">
        <v>836</v>
      </c>
      <c r="T2896" t="s">
        <v>836</v>
      </c>
      <c r="U2896" t="str">
        <f t="shared" si="756"/>
        <v>2500-12-31 00:00:00.0</v>
      </c>
      <c r="V2896" t="s">
        <v>837</v>
      </c>
      <c r="W2896" t="str">
        <f t="shared" si="763"/>
        <v>048314-070417-**-**</v>
      </c>
      <c r="X2896" t="s">
        <v>838</v>
      </c>
      <c r="Y2896">
        <v>1125</v>
      </c>
      <c r="Z2896">
        <v>1125</v>
      </c>
      <c r="AA2896" t="str">
        <f t="shared" si="760"/>
        <v>06/08/2016</v>
      </c>
    </row>
    <row r="2897" spans="1:27" x14ac:dyDescent="0.3">
      <c r="A2897" t="str">
        <f t="shared" si="761"/>
        <v>048314</v>
      </c>
      <c r="B2897" t="str">
        <f t="shared" si="755"/>
        <v>070417</v>
      </c>
      <c r="C2897" t="s">
        <v>3138</v>
      </c>
      <c r="D2897" t="s">
        <v>3839</v>
      </c>
      <c r="E2897" t="s">
        <v>3840</v>
      </c>
      <c r="F2897" t="s">
        <v>3841</v>
      </c>
      <c r="G2897" t="s">
        <v>3842</v>
      </c>
      <c r="H2897" t="str">
        <f t="shared" si="759"/>
        <v>048314</v>
      </c>
      <c r="I2897" t="s">
        <v>833</v>
      </c>
      <c r="J2897" t="str">
        <f t="shared" si="758"/>
        <v>2015-07-01 00:00:00.0</v>
      </c>
      <c r="K2897" t="s">
        <v>834</v>
      </c>
      <c r="L2897" t="s">
        <v>0</v>
      </c>
      <c r="M2897" t="str">
        <f t="shared" si="753"/>
        <v>048314</v>
      </c>
      <c r="N2897">
        <v>1</v>
      </c>
      <c r="O2897">
        <v>1</v>
      </c>
      <c r="P2897" t="str">
        <f>"08"</f>
        <v>08</v>
      </c>
      <c r="Q2897" t="s">
        <v>835</v>
      </c>
      <c r="S2897" t="s">
        <v>836</v>
      </c>
      <c r="T2897" t="s">
        <v>836</v>
      </c>
      <c r="U2897" t="str">
        <f t="shared" si="756"/>
        <v>2500-12-31 00:00:00.0</v>
      </c>
      <c r="V2897" t="s">
        <v>837</v>
      </c>
      <c r="W2897" t="str">
        <f t="shared" si="763"/>
        <v>048314-070417-**-**</v>
      </c>
      <c r="X2897" t="s">
        <v>838</v>
      </c>
      <c r="Y2897">
        <v>1125</v>
      </c>
      <c r="Z2897">
        <v>1125</v>
      </c>
      <c r="AA2897" t="str">
        <f t="shared" si="760"/>
        <v>06/08/2016</v>
      </c>
    </row>
    <row r="2898" spans="1:27" x14ac:dyDescent="0.3">
      <c r="A2898" t="str">
        <f t="shared" si="761"/>
        <v>048314</v>
      </c>
      <c r="B2898" t="str">
        <f t="shared" si="755"/>
        <v>070417</v>
      </c>
      <c r="C2898" t="s">
        <v>2379</v>
      </c>
      <c r="D2898" t="s">
        <v>3839</v>
      </c>
      <c r="E2898" t="s">
        <v>3840</v>
      </c>
      <c r="F2898" t="s">
        <v>3841</v>
      </c>
      <c r="G2898" t="s">
        <v>3842</v>
      </c>
      <c r="H2898" t="str">
        <f t="shared" si="759"/>
        <v>048314</v>
      </c>
      <c r="I2898" t="s">
        <v>833</v>
      </c>
      <c r="J2898" t="str">
        <f t="shared" si="758"/>
        <v>2015-07-01 00:00:00.0</v>
      </c>
      <c r="K2898" t="s">
        <v>834</v>
      </c>
      <c r="L2898" t="s">
        <v>0</v>
      </c>
      <c r="M2898" t="str">
        <f t="shared" si="753"/>
        <v>048314</v>
      </c>
      <c r="N2898">
        <v>1</v>
      </c>
      <c r="O2898">
        <v>1</v>
      </c>
      <c r="P2898" t="str">
        <f>"07"</f>
        <v>07</v>
      </c>
      <c r="Q2898" t="s">
        <v>835</v>
      </c>
      <c r="S2898" t="s">
        <v>836</v>
      </c>
      <c r="T2898" t="s">
        <v>836</v>
      </c>
      <c r="U2898" t="str">
        <f t="shared" si="756"/>
        <v>2500-12-31 00:00:00.0</v>
      </c>
      <c r="V2898" t="s">
        <v>837</v>
      </c>
      <c r="W2898" t="str">
        <f t="shared" si="763"/>
        <v>048314-070417-**-**</v>
      </c>
      <c r="X2898" t="s">
        <v>838</v>
      </c>
      <c r="Y2898">
        <v>1125</v>
      </c>
      <c r="Z2898">
        <v>1125</v>
      </c>
      <c r="AA2898" t="str">
        <f t="shared" si="760"/>
        <v>06/08/2016</v>
      </c>
    </row>
    <row r="2899" spans="1:27" x14ac:dyDescent="0.3">
      <c r="A2899" t="str">
        <f t="shared" si="761"/>
        <v>048314</v>
      </c>
      <c r="B2899" t="str">
        <f t="shared" si="755"/>
        <v>070417</v>
      </c>
      <c r="C2899" t="s">
        <v>2589</v>
      </c>
      <c r="D2899" t="s">
        <v>3839</v>
      </c>
      <c r="E2899" t="s">
        <v>3840</v>
      </c>
      <c r="F2899" t="s">
        <v>3841</v>
      </c>
      <c r="G2899" t="s">
        <v>3842</v>
      </c>
      <c r="H2899" t="str">
        <f t="shared" si="759"/>
        <v>048314</v>
      </c>
      <c r="I2899" t="s">
        <v>833</v>
      </c>
      <c r="J2899" t="str">
        <f t="shared" si="758"/>
        <v>2015-07-01 00:00:00.0</v>
      </c>
      <c r="K2899" t="s">
        <v>834</v>
      </c>
      <c r="L2899" t="s">
        <v>0</v>
      </c>
      <c r="M2899" t="str">
        <f t="shared" si="753"/>
        <v>048314</v>
      </c>
      <c r="N2899">
        <v>1</v>
      </c>
      <c r="O2899">
        <v>1</v>
      </c>
      <c r="P2899" t="str">
        <f>"06"</f>
        <v>06</v>
      </c>
      <c r="Q2899" t="s">
        <v>835</v>
      </c>
      <c r="S2899" t="s">
        <v>836</v>
      </c>
      <c r="T2899" t="s">
        <v>836</v>
      </c>
      <c r="U2899" t="str">
        <f t="shared" si="756"/>
        <v>2500-12-31 00:00:00.0</v>
      </c>
      <c r="V2899" t="s">
        <v>837</v>
      </c>
      <c r="W2899" t="str">
        <f t="shared" si="763"/>
        <v>048314-070417-**-**</v>
      </c>
      <c r="X2899" t="s">
        <v>838</v>
      </c>
      <c r="Y2899">
        <v>1125</v>
      </c>
      <c r="Z2899">
        <v>1125</v>
      </c>
      <c r="AA2899" t="str">
        <f t="shared" si="760"/>
        <v>06/08/2016</v>
      </c>
    </row>
    <row r="2900" spans="1:27" x14ac:dyDescent="0.3">
      <c r="A2900" t="str">
        <f t="shared" si="761"/>
        <v>048314</v>
      </c>
      <c r="B2900" t="str">
        <f t="shared" si="755"/>
        <v>070417</v>
      </c>
      <c r="C2900" t="s">
        <v>2152</v>
      </c>
      <c r="D2900" t="s">
        <v>3839</v>
      </c>
      <c r="E2900" t="s">
        <v>3840</v>
      </c>
      <c r="F2900" t="s">
        <v>3841</v>
      </c>
      <c r="G2900" t="s">
        <v>3842</v>
      </c>
      <c r="H2900" t="str">
        <f t="shared" si="759"/>
        <v>048314</v>
      </c>
      <c r="I2900" t="s">
        <v>833</v>
      </c>
      <c r="J2900" t="str">
        <f t="shared" si="758"/>
        <v>2015-07-01 00:00:00.0</v>
      </c>
      <c r="K2900" t="s">
        <v>834</v>
      </c>
      <c r="L2900" t="s">
        <v>0</v>
      </c>
      <c r="M2900" t="str">
        <f t="shared" si="753"/>
        <v>048314</v>
      </c>
      <c r="N2900">
        <v>1</v>
      </c>
      <c r="O2900">
        <v>1</v>
      </c>
      <c r="P2900" t="str">
        <f>"08"</f>
        <v>08</v>
      </c>
      <c r="Q2900" t="s">
        <v>835</v>
      </c>
      <c r="S2900" t="s">
        <v>836</v>
      </c>
      <c r="T2900" t="s">
        <v>836</v>
      </c>
      <c r="U2900" t="str">
        <f t="shared" si="756"/>
        <v>2500-12-31 00:00:00.0</v>
      </c>
      <c r="V2900" t="s">
        <v>837</v>
      </c>
      <c r="W2900" t="str">
        <f t="shared" si="763"/>
        <v>048314-070417-**-**</v>
      </c>
      <c r="X2900" t="s">
        <v>838</v>
      </c>
      <c r="Y2900">
        <v>1125</v>
      </c>
      <c r="Z2900">
        <v>1125</v>
      </c>
      <c r="AA2900" t="str">
        <f t="shared" si="760"/>
        <v>06/08/2016</v>
      </c>
    </row>
    <row r="2901" spans="1:27" x14ac:dyDescent="0.3">
      <c r="A2901" t="str">
        <f t="shared" si="761"/>
        <v>048314</v>
      </c>
      <c r="B2901" t="str">
        <f t="shared" si="755"/>
        <v>070417</v>
      </c>
      <c r="C2901" t="s">
        <v>2463</v>
      </c>
      <c r="D2901" t="s">
        <v>3839</v>
      </c>
      <c r="E2901" t="s">
        <v>3840</v>
      </c>
      <c r="F2901" t="s">
        <v>3841</v>
      </c>
      <c r="G2901" t="s">
        <v>3842</v>
      </c>
      <c r="H2901" t="str">
        <f t="shared" si="759"/>
        <v>048314</v>
      </c>
      <c r="I2901" t="s">
        <v>833</v>
      </c>
      <c r="J2901" t="str">
        <f t="shared" si="758"/>
        <v>2015-07-01 00:00:00.0</v>
      </c>
      <c r="K2901" t="s">
        <v>834</v>
      </c>
      <c r="L2901" t="s">
        <v>0</v>
      </c>
      <c r="M2901" t="str">
        <f t="shared" si="753"/>
        <v>048314</v>
      </c>
      <c r="N2901">
        <v>1</v>
      </c>
      <c r="O2901">
        <v>1</v>
      </c>
      <c r="P2901" t="str">
        <f>"07"</f>
        <v>07</v>
      </c>
      <c r="Q2901" t="str">
        <f>"10"</f>
        <v>10</v>
      </c>
      <c r="R2901" t="str">
        <f>"2"</f>
        <v>2</v>
      </c>
      <c r="S2901" t="s">
        <v>836</v>
      </c>
      <c r="T2901" t="s">
        <v>836</v>
      </c>
      <c r="U2901" t="str">
        <f t="shared" si="756"/>
        <v>2500-12-31 00:00:00.0</v>
      </c>
      <c r="V2901" t="s">
        <v>837</v>
      </c>
      <c r="W2901" t="str">
        <f t="shared" si="763"/>
        <v>048314-070417-**-**</v>
      </c>
      <c r="X2901" t="s">
        <v>838</v>
      </c>
      <c r="Y2901">
        <v>1125</v>
      </c>
      <c r="Z2901">
        <v>1125</v>
      </c>
      <c r="AA2901" t="str">
        <f t="shared" si="760"/>
        <v>06/08/2016</v>
      </c>
    </row>
    <row r="2902" spans="1:27" x14ac:dyDescent="0.3">
      <c r="A2902" t="str">
        <f t="shared" si="761"/>
        <v>048314</v>
      </c>
      <c r="B2902" t="str">
        <f t="shared" si="755"/>
        <v>070417</v>
      </c>
      <c r="C2902" t="s">
        <v>2186</v>
      </c>
      <c r="D2902" t="s">
        <v>3839</v>
      </c>
      <c r="E2902" t="s">
        <v>3840</v>
      </c>
      <c r="F2902" t="s">
        <v>3841</v>
      </c>
      <c r="G2902" t="s">
        <v>3842</v>
      </c>
      <c r="H2902" t="str">
        <f>"048298"</f>
        <v>048298</v>
      </c>
      <c r="I2902" t="s">
        <v>833</v>
      </c>
      <c r="J2902" t="str">
        <f>"2015-08-24 00:00:00.0"</f>
        <v>2015-08-24 00:00:00.0</v>
      </c>
      <c r="K2902" t="s">
        <v>834</v>
      </c>
      <c r="L2902" t="s">
        <v>1</v>
      </c>
      <c r="M2902" t="str">
        <f t="shared" si="753"/>
        <v>048314</v>
      </c>
      <c r="N2902">
        <v>1</v>
      </c>
      <c r="O2902">
        <v>1</v>
      </c>
      <c r="P2902" t="str">
        <f>"09"</f>
        <v>09</v>
      </c>
      <c r="Q2902" t="s">
        <v>835</v>
      </c>
      <c r="S2902" t="s">
        <v>860</v>
      </c>
      <c r="T2902" t="s">
        <v>836</v>
      </c>
      <c r="U2902" t="str">
        <f t="shared" si="756"/>
        <v>2500-12-31 00:00:00.0</v>
      </c>
      <c r="V2902" t="s">
        <v>837</v>
      </c>
      <c r="W2902" t="str">
        <f>"048298-011791-**-**"</f>
        <v>048298-011791-**-**</v>
      </c>
      <c r="X2902" t="s">
        <v>838</v>
      </c>
      <c r="Y2902">
        <v>1163.5</v>
      </c>
      <c r="Z2902">
        <v>1163.5</v>
      </c>
      <c r="AA2902" t="str">
        <f>"06/15/2016"</f>
        <v>06/15/2016</v>
      </c>
    </row>
    <row r="2903" spans="1:27" x14ac:dyDescent="0.3">
      <c r="A2903" t="str">
        <f t="shared" si="761"/>
        <v>048314</v>
      </c>
      <c r="B2903" t="str">
        <f t="shared" si="755"/>
        <v>070417</v>
      </c>
      <c r="C2903" t="s">
        <v>1901</v>
      </c>
      <c r="D2903" t="s">
        <v>3839</v>
      </c>
      <c r="E2903" t="s">
        <v>3840</v>
      </c>
      <c r="F2903" t="s">
        <v>3841</v>
      </c>
      <c r="G2903" t="s">
        <v>3842</v>
      </c>
      <c r="H2903" t="str">
        <f>"048314"</f>
        <v>048314</v>
      </c>
      <c r="I2903" t="s">
        <v>833</v>
      </c>
      <c r="J2903" t="str">
        <f>"2015-07-01 00:00:00.0"</f>
        <v>2015-07-01 00:00:00.0</v>
      </c>
      <c r="K2903" t="s">
        <v>834</v>
      </c>
      <c r="L2903" t="s">
        <v>0</v>
      </c>
      <c r="M2903" t="str">
        <f t="shared" ref="M2903:M2966" si="764">"048314"</f>
        <v>048314</v>
      </c>
      <c r="N2903">
        <v>1</v>
      </c>
      <c r="O2903">
        <v>1</v>
      </c>
      <c r="P2903" t="str">
        <f>"09"</f>
        <v>09</v>
      </c>
      <c r="Q2903" t="s">
        <v>835</v>
      </c>
      <c r="S2903" t="s">
        <v>836</v>
      </c>
      <c r="T2903" t="s">
        <v>836</v>
      </c>
      <c r="U2903" t="str">
        <f t="shared" si="756"/>
        <v>2500-12-31 00:00:00.0</v>
      </c>
      <c r="V2903" t="s">
        <v>837</v>
      </c>
      <c r="W2903" t="str">
        <f>"048314-004796-**-**"</f>
        <v>048314-004796-**-**</v>
      </c>
      <c r="X2903" t="s">
        <v>838</v>
      </c>
      <c r="Y2903">
        <v>1254.5</v>
      </c>
      <c r="Z2903">
        <v>1254.5</v>
      </c>
      <c r="AA2903" t="str">
        <f>"06/08/2016"</f>
        <v>06/08/2016</v>
      </c>
    </row>
    <row r="2904" spans="1:27" x14ac:dyDescent="0.3">
      <c r="A2904" t="str">
        <f t="shared" si="761"/>
        <v>048314</v>
      </c>
      <c r="B2904" t="str">
        <f t="shared" si="755"/>
        <v>070417</v>
      </c>
      <c r="C2904" t="s">
        <v>1902</v>
      </c>
      <c r="D2904" t="s">
        <v>3839</v>
      </c>
      <c r="E2904" t="s">
        <v>3840</v>
      </c>
      <c r="F2904" t="s">
        <v>3841</v>
      </c>
      <c r="G2904" t="s">
        <v>3842</v>
      </c>
      <c r="H2904" t="str">
        <f>"048314"</f>
        <v>048314</v>
      </c>
      <c r="I2904" t="s">
        <v>833</v>
      </c>
      <c r="J2904" t="str">
        <f>"2015-07-01 00:00:00.0"</f>
        <v>2015-07-01 00:00:00.0</v>
      </c>
      <c r="K2904" t="s">
        <v>834</v>
      </c>
      <c r="L2904" t="s">
        <v>0</v>
      </c>
      <c r="M2904" t="str">
        <f t="shared" si="764"/>
        <v>048314</v>
      </c>
      <c r="N2904">
        <v>1</v>
      </c>
      <c r="O2904">
        <v>1</v>
      </c>
      <c r="P2904" t="str">
        <f>"09"</f>
        <v>09</v>
      </c>
      <c r="Q2904" t="s">
        <v>835</v>
      </c>
      <c r="S2904" t="s">
        <v>836</v>
      </c>
      <c r="T2904" t="s">
        <v>836</v>
      </c>
      <c r="U2904" t="str">
        <f t="shared" si="756"/>
        <v>2500-12-31 00:00:00.0</v>
      </c>
      <c r="V2904" t="s">
        <v>837</v>
      </c>
      <c r="W2904" t="str">
        <f>"048314-004796-**-**"</f>
        <v>048314-004796-**-**</v>
      </c>
      <c r="X2904" t="s">
        <v>838</v>
      </c>
      <c r="Y2904">
        <v>1254.5</v>
      </c>
      <c r="Z2904">
        <v>1254.5</v>
      </c>
      <c r="AA2904" t="str">
        <f>"06/08/2016"</f>
        <v>06/08/2016</v>
      </c>
    </row>
    <row r="2905" spans="1:27" x14ac:dyDescent="0.3">
      <c r="A2905" t="str">
        <f t="shared" si="761"/>
        <v>048314</v>
      </c>
      <c r="B2905" t="str">
        <f t="shared" si="755"/>
        <v>070417</v>
      </c>
      <c r="C2905" t="s">
        <v>1622</v>
      </c>
      <c r="D2905" t="s">
        <v>3839</v>
      </c>
      <c r="E2905" t="s">
        <v>3840</v>
      </c>
      <c r="F2905" t="s">
        <v>3841</v>
      </c>
      <c r="G2905" t="s">
        <v>3842</v>
      </c>
      <c r="H2905" t="str">
        <f>"045328"</f>
        <v>045328</v>
      </c>
      <c r="I2905" t="s">
        <v>833</v>
      </c>
      <c r="J2905" t="str">
        <f>"2015-08-17 00:00:00.0"</f>
        <v>2015-08-17 00:00:00.0</v>
      </c>
      <c r="K2905" t="s">
        <v>834</v>
      </c>
      <c r="L2905" t="s">
        <v>1</v>
      </c>
      <c r="M2905" t="str">
        <f t="shared" si="764"/>
        <v>048314</v>
      </c>
      <c r="N2905">
        <v>0.40617399999999998</v>
      </c>
      <c r="O2905">
        <v>0.40617399999999998</v>
      </c>
      <c r="P2905" t="str">
        <f>"09"</f>
        <v>09</v>
      </c>
      <c r="Q2905" t="s">
        <v>835</v>
      </c>
      <c r="S2905" t="s">
        <v>836</v>
      </c>
      <c r="T2905" t="s">
        <v>836</v>
      </c>
      <c r="U2905" t="str">
        <f>"2015-12-10 00:00:00.0"</f>
        <v>2015-12-10 00:00:00.0</v>
      </c>
      <c r="V2905" t="s">
        <v>837</v>
      </c>
      <c r="W2905" t="str">
        <f>"045328-007062-**-**"</f>
        <v>045328-007062-**-**</v>
      </c>
      <c r="X2905" t="s">
        <v>838</v>
      </c>
      <c r="Y2905">
        <v>500</v>
      </c>
      <c r="Z2905">
        <v>1231</v>
      </c>
      <c r="AA2905" t="str">
        <f>"06/04/2016"</f>
        <v>06/04/2016</v>
      </c>
    </row>
    <row r="2906" spans="1:27" x14ac:dyDescent="0.3">
      <c r="A2906" t="str">
        <f t="shared" si="761"/>
        <v>048314</v>
      </c>
      <c r="B2906" t="str">
        <f t="shared" si="755"/>
        <v>070417</v>
      </c>
      <c r="C2906" t="s">
        <v>2581</v>
      </c>
      <c r="D2906" t="s">
        <v>3839</v>
      </c>
      <c r="E2906" t="s">
        <v>3840</v>
      </c>
      <c r="F2906" t="s">
        <v>3841</v>
      </c>
      <c r="G2906" t="s">
        <v>3842</v>
      </c>
      <c r="H2906" t="str">
        <f>"048314"</f>
        <v>048314</v>
      </c>
      <c r="I2906" t="s">
        <v>833</v>
      </c>
      <c r="J2906" t="str">
        <f>"2015-07-01 00:00:00.0"</f>
        <v>2015-07-01 00:00:00.0</v>
      </c>
      <c r="K2906" t="s">
        <v>834</v>
      </c>
      <c r="L2906" t="s">
        <v>0</v>
      </c>
      <c r="M2906" t="str">
        <f t="shared" si="764"/>
        <v>048314</v>
      </c>
      <c r="N2906">
        <v>1</v>
      </c>
      <c r="O2906">
        <v>1</v>
      </c>
      <c r="P2906" t="str">
        <f>"06"</f>
        <v>06</v>
      </c>
      <c r="Q2906" t="s">
        <v>835</v>
      </c>
      <c r="S2906" t="s">
        <v>836</v>
      </c>
      <c r="T2906" t="s">
        <v>836</v>
      </c>
      <c r="U2906" t="str">
        <f t="shared" ref="U2906:U2911" si="765">"2500-12-31 00:00:00.0"</f>
        <v>2500-12-31 00:00:00.0</v>
      </c>
      <c r="V2906" t="s">
        <v>837</v>
      </c>
      <c r="W2906" t="str">
        <f>"048314-070417-**-**"</f>
        <v>048314-070417-**-**</v>
      </c>
      <c r="X2906" t="s">
        <v>838</v>
      </c>
      <c r="Y2906">
        <v>1125</v>
      </c>
      <c r="Z2906">
        <v>1125</v>
      </c>
      <c r="AA2906" t="str">
        <f>"06/08/2016"</f>
        <v>06/08/2016</v>
      </c>
    </row>
    <row r="2907" spans="1:27" x14ac:dyDescent="0.3">
      <c r="A2907" t="str">
        <f t="shared" si="761"/>
        <v>048314</v>
      </c>
      <c r="B2907" t="str">
        <f t="shared" si="755"/>
        <v>070417</v>
      </c>
      <c r="C2907" t="s">
        <v>2928</v>
      </c>
      <c r="D2907" t="s">
        <v>3839</v>
      </c>
      <c r="E2907" t="s">
        <v>3840</v>
      </c>
      <c r="F2907" t="s">
        <v>3841</v>
      </c>
      <c r="G2907" t="s">
        <v>3842</v>
      </c>
      <c r="H2907" t="str">
        <f>"048314"</f>
        <v>048314</v>
      </c>
      <c r="I2907" t="s">
        <v>833</v>
      </c>
      <c r="J2907" t="str">
        <f>"2015-07-01 00:00:00.0"</f>
        <v>2015-07-01 00:00:00.0</v>
      </c>
      <c r="K2907" t="s">
        <v>834</v>
      </c>
      <c r="L2907" t="s">
        <v>0</v>
      </c>
      <c r="M2907" t="str">
        <f t="shared" si="764"/>
        <v>048314</v>
      </c>
      <c r="N2907">
        <v>1</v>
      </c>
      <c r="O2907">
        <v>1</v>
      </c>
      <c r="P2907" t="str">
        <f>"06"</f>
        <v>06</v>
      </c>
      <c r="Q2907" t="s">
        <v>835</v>
      </c>
      <c r="S2907" t="s">
        <v>836</v>
      </c>
      <c r="T2907" t="s">
        <v>836</v>
      </c>
      <c r="U2907" t="str">
        <f t="shared" si="765"/>
        <v>2500-12-31 00:00:00.0</v>
      </c>
      <c r="V2907" t="s">
        <v>837</v>
      </c>
      <c r="W2907" t="str">
        <f>"048314-070417-**-**"</f>
        <v>048314-070417-**-**</v>
      </c>
      <c r="X2907" t="s">
        <v>838</v>
      </c>
      <c r="Y2907">
        <v>1125</v>
      </c>
      <c r="Z2907">
        <v>1125</v>
      </c>
      <c r="AA2907" t="str">
        <f>"06/08/2016"</f>
        <v>06/08/2016</v>
      </c>
    </row>
    <row r="2908" spans="1:27" x14ac:dyDescent="0.3">
      <c r="A2908" t="str">
        <f t="shared" si="761"/>
        <v>048314</v>
      </c>
      <c r="B2908" t="str">
        <f t="shared" si="755"/>
        <v>070417</v>
      </c>
      <c r="C2908" t="s">
        <v>2380</v>
      </c>
      <c r="D2908" t="s">
        <v>3839</v>
      </c>
      <c r="E2908" t="s">
        <v>3840</v>
      </c>
      <c r="F2908" t="s">
        <v>3841</v>
      </c>
      <c r="G2908" t="s">
        <v>3842</v>
      </c>
      <c r="H2908" t="str">
        <f>"048314"</f>
        <v>048314</v>
      </c>
      <c r="I2908" t="s">
        <v>833</v>
      </c>
      <c r="J2908" t="str">
        <f>"2015-07-01 00:00:00.0"</f>
        <v>2015-07-01 00:00:00.0</v>
      </c>
      <c r="K2908" t="s">
        <v>834</v>
      </c>
      <c r="L2908" t="s">
        <v>0</v>
      </c>
      <c r="M2908" t="str">
        <f t="shared" si="764"/>
        <v>048314</v>
      </c>
      <c r="N2908">
        <v>1</v>
      </c>
      <c r="O2908">
        <v>1</v>
      </c>
      <c r="P2908" t="str">
        <f>"08"</f>
        <v>08</v>
      </c>
      <c r="Q2908" t="s">
        <v>835</v>
      </c>
      <c r="S2908" t="s">
        <v>836</v>
      </c>
      <c r="T2908" t="s">
        <v>836</v>
      </c>
      <c r="U2908" t="str">
        <f t="shared" si="765"/>
        <v>2500-12-31 00:00:00.0</v>
      </c>
      <c r="V2908" t="s">
        <v>837</v>
      </c>
      <c r="W2908" t="str">
        <f>"048314-070417-**-**"</f>
        <v>048314-070417-**-**</v>
      </c>
      <c r="X2908" t="s">
        <v>838</v>
      </c>
      <c r="Y2908">
        <v>1125</v>
      </c>
      <c r="Z2908">
        <v>1125</v>
      </c>
      <c r="AA2908" t="str">
        <f>"06/08/2016"</f>
        <v>06/08/2016</v>
      </c>
    </row>
    <row r="2909" spans="1:27" x14ac:dyDescent="0.3">
      <c r="A2909" t="str">
        <f t="shared" si="761"/>
        <v>048314</v>
      </c>
      <c r="B2909" t="str">
        <f t="shared" si="755"/>
        <v>070417</v>
      </c>
      <c r="C2909" t="s">
        <v>2574</v>
      </c>
      <c r="D2909" t="s">
        <v>3839</v>
      </c>
      <c r="E2909" t="s">
        <v>3840</v>
      </c>
      <c r="F2909" t="s">
        <v>3841</v>
      </c>
      <c r="G2909" t="s">
        <v>3842</v>
      </c>
      <c r="H2909" t="str">
        <f>"048363"</f>
        <v>048363</v>
      </c>
      <c r="I2909" t="s">
        <v>833</v>
      </c>
      <c r="J2909" t="str">
        <f>"2015-08-03 00:00:00.0"</f>
        <v>2015-08-03 00:00:00.0</v>
      </c>
      <c r="K2909" t="s">
        <v>834</v>
      </c>
      <c r="L2909" t="s">
        <v>1</v>
      </c>
      <c r="M2909" t="str">
        <f t="shared" si="764"/>
        <v>048314</v>
      </c>
      <c r="N2909">
        <v>1</v>
      </c>
      <c r="O2909">
        <v>1</v>
      </c>
      <c r="P2909" t="str">
        <f>"06"</f>
        <v>06</v>
      </c>
      <c r="Q2909" t="s">
        <v>835</v>
      </c>
      <c r="S2909" t="s">
        <v>836</v>
      </c>
      <c r="T2909" t="s">
        <v>836</v>
      </c>
      <c r="U2909" t="str">
        <f t="shared" si="765"/>
        <v>2500-12-31 00:00:00.0</v>
      </c>
      <c r="V2909" t="s">
        <v>837</v>
      </c>
      <c r="W2909" t="str">
        <f>"048363-014522-**-**"</f>
        <v>048363-014522-**-**</v>
      </c>
      <c r="X2909" t="s">
        <v>838</v>
      </c>
      <c r="Y2909">
        <v>1127</v>
      </c>
      <c r="Z2909">
        <v>1127</v>
      </c>
      <c r="AA2909" t="str">
        <f>"06/15/2016"</f>
        <v>06/15/2016</v>
      </c>
    </row>
    <row r="2910" spans="1:27" x14ac:dyDescent="0.3">
      <c r="A2910" t="str">
        <f t="shared" si="761"/>
        <v>048314</v>
      </c>
      <c r="B2910" t="str">
        <f t="shared" si="755"/>
        <v>070417</v>
      </c>
      <c r="C2910" t="s">
        <v>2262</v>
      </c>
      <c r="D2910" t="s">
        <v>3839</v>
      </c>
      <c r="E2910" t="s">
        <v>3840</v>
      </c>
      <c r="F2910" t="s">
        <v>3841</v>
      </c>
      <c r="G2910" t="s">
        <v>3842</v>
      </c>
      <c r="H2910" t="str">
        <f t="shared" ref="H2910:H2921" si="766">"048314"</f>
        <v>048314</v>
      </c>
      <c r="I2910" t="s">
        <v>833</v>
      </c>
      <c r="J2910" t="str">
        <f>"2015-07-01 00:00:00.0"</f>
        <v>2015-07-01 00:00:00.0</v>
      </c>
      <c r="K2910" t="s">
        <v>834</v>
      </c>
      <c r="L2910" t="s">
        <v>0</v>
      </c>
      <c r="M2910" t="str">
        <f t="shared" si="764"/>
        <v>048314</v>
      </c>
      <c r="N2910">
        <v>1</v>
      </c>
      <c r="O2910">
        <v>1</v>
      </c>
      <c r="P2910" t="str">
        <f>"08"</f>
        <v>08</v>
      </c>
      <c r="Q2910" t="s">
        <v>835</v>
      </c>
      <c r="S2910" t="s">
        <v>836</v>
      </c>
      <c r="T2910" t="s">
        <v>836</v>
      </c>
      <c r="U2910" t="str">
        <f t="shared" si="765"/>
        <v>2500-12-31 00:00:00.0</v>
      </c>
      <c r="V2910" t="s">
        <v>837</v>
      </c>
      <c r="W2910" t="str">
        <f>"048314-070417-**-**"</f>
        <v>048314-070417-**-**</v>
      </c>
      <c r="X2910" t="s">
        <v>838</v>
      </c>
      <c r="Y2910">
        <v>1125</v>
      </c>
      <c r="Z2910">
        <v>1125</v>
      </c>
      <c r="AA2910" t="str">
        <f t="shared" ref="AA2910:AA2921" si="767">"06/08/2016"</f>
        <v>06/08/2016</v>
      </c>
    </row>
    <row r="2911" spans="1:27" x14ac:dyDescent="0.3">
      <c r="A2911" t="str">
        <f t="shared" si="761"/>
        <v>048314</v>
      </c>
      <c r="B2911" t="str">
        <f t="shared" si="755"/>
        <v>070417</v>
      </c>
      <c r="C2911" t="s">
        <v>2787</v>
      </c>
      <c r="D2911" t="s">
        <v>3839</v>
      </c>
      <c r="E2911" t="s">
        <v>3840</v>
      </c>
      <c r="F2911" t="s">
        <v>3841</v>
      </c>
      <c r="G2911" t="s">
        <v>3842</v>
      </c>
      <c r="H2911" t="str">
        <f t="shared" si="766"/>
        <v>048314</v>
      </c>
      <c r="I2911" t="s">
        <v>833</v>
      </c>
      <c r="J2911" t="str">
        <f>"2015-08-01 00:00:00.0"</f>
        <v>2015-08-01 00:00:00.0</v>
      </c>
      <c r="K2911" t="s">
        <v>834</v>
      </c>
      <c r="L2911" t="s">
        <v>0</v>
      </c>
      <c r="M2911" t="str">
        <f t="shared" si="764"/>
        <v>048314</v>
      </c>
      <c r="N2911">
        <v>1</v>
      </c>
      <c r="O2911">
        <v>1</v>
      </c>
      <c r="P2911" t="str">
        <f>"07"</f>
        <v>07</v>
      </c>
      <c r="Q2911" t="s">
        <v>835</v>
      </c>
      <c r="S2911" t="s">
        <v>836</v>
      </c>
      <c r="T2911" t="s">
        <v>836</v>
      </c>
      <c r="U2911" t="str">
        <f t="shared" si="765"/>
        <v>2500-12-31 00:00:00.0</v>
      </c>
      <c r="V2911" t="s">
        <v>837</v>
      </c>
      <c r="W2911" t="str">
        <f>"048314-070417-**-**"</f>
        <v>048314-070417-**-**</v>
      </c>
      <c r="X2911" t="s">
        <v>838</v>
      </c>
      <c r="Y2911">
        <v>1125</v>
      </c>
      <c r="Z2911">
        <v>1125</v>
      </c>
      <c r="AA2911" t="str">
        <f t="shared" si="767"/>
        <v>06/08/2016</v>
      </c>
    </row>
    <row r="2912" spans="1:27" x14ac:dyDescent="0.3">
      <c r="A2912" t="str">
        <f t="shared" si="761"/>
        <v>048314</v>
      </c>
      <c r="B2912" t="str">
        <f t="shared" si="755"/>
        <v>070417</v>
      </c>
      <c r="C2912" t="s">
        <v>1848</v>
      </c>
      <c r="D2912" t="s">
        <v>3839</v>
      </c>
      <c r="E2912" t="s">
        <v>3840</v>
      </c>
      <c r="F2912" t="s">
        <v>3841</v>
      </c>
      <c r="G2912" t="s">
        <v>3842</v>
      </c>
      <c r="H2912" t="str">
        <f t="shared" si="766"/>
        <v>048314</v>
      </c>
      <c r="I2912" t="s">
        <v>833</v>
      </c>
      <c r="J2912" t="str">
        <f t="shared" ref="J2912:J2941" si="768">"2015-07-01 00:00:00.0"</f>
        <v>2015-07-01 00:00:00.0</v>
      </c>
      <c r="K2912" t="s">
        <v>834</v>
      </c>
      <c r="L2912" t="s">
        <v>0</v>
      </c>
      <c r="M2912" t="str">
        <f t="shared" si="764"/>
        <v>048314</v>
      </c>
      <c r="N2912">
        <v>0.63730600000000004</v>
      </c>
      <c r="O2912">
        <v>0.63730600000000004</v>
      </c>
      <c r="P2912" t="str">
        <f>"09"</f>
        <v>09</v>
      </c>
      <c r="Q2912" t="s">
        <v>835</v>
      </c>
      <c r="S2912" t="s">
        <v>836</v>
      </c>
      <c r="T2912" t="s">
        <v>836</v>
      </c>
      <c r="U2912" t="str">
        <f>"2016-02-29 00:00:00.0"</f>
        <v>2016-02-29 00:00:00.0</v>
      </c>
      <c r="V2912" t="s">
        <v>837</v>
      </c>
      <c r="W2912" t="str">
        <f>"048314-004796-**-**"</f>
        <v>048314-004796-**-**</v>
      </c>
      <c r="X2912" t="s">
        <v>838</v>
      </c>
      <c r="Y2912">
        <v>799.5</v>
      </c>
      <c r="Z2912">
        <v>1254.5</v>
      </c>
      <c r="AA2912" t="str">
        <f t="shared" si="767"/>
        <v>06/08/2016</v>
      </c>
    </row>
    <row r="2913" spans="1:27" x14ac:dyDescent="0.3">
      <c r="A2913" t="str">
        <f t="shared" si="761"/>
        <v>048314</v>
      </c>
      <c r="B2913" t="str">
        <f t="shared" si="755"/>
        <v>070417</v>
      </c>
      <c r="C2913" t="s">
        <v>3420</v>
      </c>
      <c r="D2913" t="s">
        <v>3839</v>
      </c>
      <c r="E2913" t="s">
        <v>3840</v>
      </c>
      <c r="F2913" t="s">
        <v>3841</v>
      </c>
      <c r="G2913" t="s">
        <v>3842</v>
      </c>
      <c r="H2913" t="str">
        <f t="shared" si="766"/>
        <v>048314</v>
      </c>
      <c r="I2913" t="s">
        <v>833</v>
      </c>
      <c r="J2913" t="str">
        <f t="shared" si="768"/>
        <v>2015-07-01 00:00:00.0</v>
      </c>
      <c r="K2913" t="s">
        <v>834</v>
      </c>
      <c r="L2913" t="s">
        <v>0</v>
      </c>
      <c r="M2913" t="str">
        <f t="shared" si="764"/>
        <v>048314</v>
      </c>
      <c r="N2913">
        <v>1</v>
      </c>
      <c r="O2913">
        <v>1</v>
      </c>
      <c r="P2913" t="str">
        <f>"09"</f>
        <v>09</v>
      </c>
      <c r="Q2913" t="s">
        <v>835</v>
      </c>
      <c r="S2913" t="s">
        <v>836</v>
      </c>
      <c r="T2913" t="s">
        <v>836</v>
      </c>
      <c r="U2913" t="str">
        <f>"2500-12-31 00:00:00.0"</f>
        <v>2500-12-31 00:00:00.0</v>
      </c>
      <c r="V2913" t="s">
        <v>837</v>
      </c>
      <c r="W2913" t="str">
        <f>"048314-004796-**-**"</f>
        <v>048314-004796-**-**</v>
      </c>
      <c r="X2913" t="s">
        <v>838</v>
      </c>
      <c r="Y2913">
        <v>1254.5</v>
      </c>
      <c r="Z2913">
        <v>1254.5</v>
      </c>
      <c r="AA2913" t="str">
        <f t="shared" si="767"/>
        <v>06/08/2016</v>
      </c>
    </row>
    <row r="2914" spans="1:27" x14ac:dyDescent="0.3">
      <c r="A2914" t="str">
        <f t="shared" si="761"/>
        <v>048314</v>
      </c>
      <c r="B2914" t="str">
        <f t="shared" si="755"/>
        <v>070417</v>
      </c>
      <c r="C2914" t="s">
        <v>2732</v>
      </c>
      <c r="D2914" t="s">
        <v>3839</v>
      </c>
      <c r="E2914" t="s">
        <v>3840</v>
      </c>
      <c r="F2914" t="s">
        <v>3841</v>
      </c>
      <c r="G2914" t="s">
        <v>3842</v>
      </c>
      <c r="H2914" t="str">
        <f t="shared" si="766"/>
        <v>048314</v>
      </c>
      <c r="I2914" t="s">
        <v>833</v>
      </c>
      <c r="J2914" t="str">
        <f t="shared" si="768"/>
        <v>2015-07-01 00:00:00.0</v>
      </c>
      <c r="K2914" t="s">
        <v>834</v>
      </c>
      <c r="L2914" t="s">
        <v>0</v>
      </c>
      <c r="M2914" t="str">
        <f t="shared" si="764"/>
        <v>048314</v>
      </c>
      <c r="N2914">
        <v>0.63333300000000003</v>
      </c>
      <c r="O2914">
        <v>0.63333300000000003</v>
      </c>
      <c r="P2914" t="str">
        <f>"06"</f>
        <v>06</v>
      </c>
      <c r="Q2914" t="str">
        <f>"10"</f>
        <v>10</v>
      </c>
      <c r="R2914" t="str">
        <f>"2"</f>
        <v>2</v>
      </c>
      <c r="S2914" t="s">
        <v>860</v>
      </c>
      <c r="T2914" t="s">
        <v>836</v>
      </c>
      <c r="U2914" t="str">
        <f>"2016-02-29 00:00:00.0"</f>
        <v>2016-02-29 00:00:00.0</v>
      </c>
      <c r="V2914" t="s">
        <v>837</v>
      </c>
      <c r="W2914" t="str">
        <f>"048314-070417-**-**"</f>
        <v>048314-070417-**-**</v>
      </c>
      <c r="X2914" t="s">
        <v>838</v>
      </c>
      <c r="Y2914">
        <v>712.5</v>
      </c>
      <c r="Z2914">
        <v>1125</v>
      </c>
      <c r="AA2914" t="str">
        <f t="shared" si="767"/>
        <v>06/08/2016</v>
      </c>
    </row>
    <row r="2915" spans="1:27" x14ac:dyDescent="0.3">
      <c r="A2915" t="str">
        <f t="shared" si="761"/>
        <v>048314</v>
      </c>
      <c r="B2915" t="str">
        <f t="shared" si="755"/>
        <v>070417</v>
      </c>
      <c r="C2915" t="s">
        <v>2929</v>
      </c>
      <c r="D2915" t="s">
        <v>3839</v>
      </c>
      <c r="E2915" t="s">
        <v>3840</v>
      </c>
      <c r="F2915" t="s">
        <v>3841</v>
      </c>
      <c r="G2915" t="s">
        <v>3842</v>
      </c>
      <c r="H2915" t="str">
        <f t="shared" si="766"/>
        <v>048314</v>
      </c>
      <c r="I2915" t="s">
        <v>833</v>
      </c>
      <c r="J2915" t="str">
        <f t="shared" si="768"/>
        <v>2015-07-01 00:00:00.0</v>
      </c>
      <c r="K2915" t="s">
        <v>834</v>
      </c>
      <c r="L2915" t="s">
        <v>0</v>
      </c>
      <c r="M2915" t="str">
        <f t="shared" si="764"/>
        <v>048314</v>
      </c>
      <c r="N2915">
        <v>1</v>
      </c>
      <c r="O2915">
        <v>1</v>
      </c>
      <c r="P2915" t="str">
        <f>"06"</f>
        <v>06</v>
      </c>
      <c r="Q2915" t="s">
        <v>835</v>
      </c>
      <c r="S2915" t="s">
        <v>836</v>
      </c>
      <c r="T2915" t="s">
        <v>836</v>
      </c>
      <c r="U2915" t="str">
        <f t="shared" ref="U2915:U2940" si="769">"2500-12-31 00:00:00.0"</f>
        <v>2500-12-31 00:00:00.0</v>
      </c>
      <c r="V2915" t="s">
        <v>837</v>
      </c>
      <c r="W2915" t="str">
        <f>"048314-070417-**-**"</f>
        <v>048314-070417-**-**</v>
      </c>
      <c r="X2915" t="s">
        <v>838</v>
      </c>
      <c r="Y2915">
        <v>1125</v>
      </c>
      <c r="Z2915">
        <v>1125</v>
      </c>
      <c r="AA2915" t="str">
        <f t="shared" si="767"/>
        <v>06/08/2016</v>
      </c>
    </row>
    <row r="2916" spans="1:27" x14ac:dyDescent="0.3">
      <c r="A2916" t="str">
        <f t="shared" si="761"/>
        <v>048314</v>
      </c>
      <c r="B2916" t="str">
        <f t="shared" ref="B2916:B2979" si="770">"070417"</f>
        <v>070417</v>
      </c>
      <c r="C2916" t="s">
        <v>1964</v>
      </c>
      <c r="D2916" t="s">
        <v>3839</v>
      </c>
      <c r="E2916" t="s">
        <v>3840</v>
      </c>
      <c r="F2916" t="s">
        <v>3841</v>
      </c>
      <c r="G2916" t="s">
        <v>3842</v>
      </c>
      <c r="H2916" t="str">
        <f t="shared" si="766"/>
        <v>048314</v>
      </c>
      <c r="I2916" t="s">
        <v>833</v>
      </c>
      <c r="J2916" t="str">
        <f t="shared" si="768"/>
        <v>2015-07-01 00:00:00.0</v>
      </c>
      <c r="K2916" t="s">
        <v>834</v>
      </c>
      <c r="L2916" t="s">
        <v>0</v>
      </c>
      <c r="M2916" t="str">
        <f t="shared" si="764"/>
        <v>048314</v>
      </c>
      <c r="N2916">
        <v>1</v>
      </c>
      <c r="O2916">
        <v>1</v>
      </c>
      <c r="P2916" t="str">
        <f>"09"</f>
        <v>09</v>
      </c>
      <c r="Q2916" t="s">
        <v>835</v>
      </c>
      <c r="S2916" t="s">
        <v>836</v>
      </c>
      <c r="T2916" t="s">
        <v>836</v>
      </c>
      <c r="U2916" t="str">
        <f t="shared" si="769"/>
        <v>2500-12-31 00:00:00.0</v>
      </c>
      <c r="V2916" t="s">
        <v>837</v>
      </c>
      <c r="W2916" t="str">
        <f>"048314-004796-**-**"</f>
        <v>048314-004796-**-**</v>
      </c>
      <c r="X2916" t="s">
        <v>838</v>
      </c>
      <c r="Y2916">
        <v>1254.5</v>
      </c>
      <c r="Z2916">
        <v>1254.5</v>
      </c>
      <c r="AA2916" t="str">
        <f t="shared" si="767"/>
        <v>06/08/2016</v>
      </c>
    </row>
    <row r="2917" spans="1:27" x14ac:dyDescent="0.3">
      <c r="A2917" t="str">
        <f t="shared" si="761"/>
        <v>048314</v>
      </c>
      <c r="B2917" t="str">
        <f t="shared" si="770"/>
        <v>070417</v>
      </c>
      <c r="C2917" t="s">
        <v>2153</v>
      </c>
      <c r="D2917" t="s">
        <v>3839</v>
      </c>
      <c r="E2917" t="s">
        <v>3840</v>
      </c>
      <c r="F2917" t="s">
        <v>3841</v>
      </c>
      <c r="G2917" t="s">
        <v>3842</v>
      </c>
      <c r="H2917" t="str">
        <f t="shared" si="766"/>
        <v>048314</v>
      </c>
      <c r="I2917" t="s">
        <v>833</v>
      </c>
      <c r="J2917" t="str">
        <f t="shared" si="768"/>
        <v>2015-07-01 00:00:00.0</v>
      </c>
      <c r="K2917" t="s">
        <v>834</v>
      </c>
      <c r="L2917" t="s">
        <v>0</v>
      </c>
      <c r="M2917" t="str">
        <f t="shared" si="764"/>
        <v>048314</v>
      </c>
      <c r="N2917">
        <v>1</v>
      </c>
      <c r="O2917">
        <v>1</v>
      </c>
      <c r="P2917" t="str">
        <f>"08"</f>
        <v>08</v>
      </c>
      <c r="Q2917" t="s">
        <v>835</v>
      </c>
      <c r="S2917" t="s">
        <v>836</v>
      </c>
      <c r="T2917" t="s">
        <v>836</v>
      </c>
      <c r="U2917" t="str">
        <f t="shared" si="769"/>
        <v>2500-12-31 00:00:00.0</v>
      </c>
      <c r="V2917" t="s">
        <v>837</v>
      </c>
      <c r="W2917" t="str">
        <f>"048314-070417-**-**"</f>
        <v>048314-070417-**-**</v>
      </c>
      <c r="X2917" t="s">
        <v>838</v>
      </c>
      <c r="Y2917">
        <v>1125</v>
      </c>
      <c r="Z2917">
        <v>1125</v>
      </c>
      <c r="AA2917" t="str">
        <f t="shared" si="767"/>
        <v>06/08/2016</v>
      </c>
    </row>
    <row r="2918" spans="1:27" x14ac:dyDescent="0.3">
      <c r="A2918" t="str">
        <f t="shared" si="761"/>
        <v>048314</v>
      </c>
      <c r="B2918" t="str">
        <f t="shared" si="770"/>
        <v>070417</v>
      </c>
      <c r="C2918" t="s">
        <v>1903</v>
      </c>
      <c r="D2918" t="s">
        <v>3839</v>
      </c>
      <c r="E2918" t="s">
        <v>3840</v>
      </c>
      <c r="F2918" t="s">
        <v>3841</v>
      </c>
      <c r="G2918" t="s">
        <v>3842</v>
      </c>
      <c r="H2918" t="str">
        <f t="shared" si="766"/>
        <v>048314</v>
      </c>
      <c r="I2918" t="s">
        <v>833</v>
      </c>
      <c r="J2918" t="str">
        <f t="shared" si="768"/>
        <v>2015-07-01 00:00:00.0</v>
      </c>
      <c r="K2918" t="s">
        <v>834</v>
      </c>
      <c r="L2918" t="s">
        <v>0</v>
      </c>
      <c r="M2918" t="str">
        <f t="shared" si="764"/>
        <v>048314</v>
      </c>
      <c r="N2918">
        <v>1</v>
      </c>
      <c r="O2918">
        <v>1</v>
      </c>
      <c r="P2918" t="str">
        <f>"09"</f>
        <v>09</v>
      </c>
      <c r="Q2918" t="s">
        <v>835</v>
      </c>
      <c r="S2918" t="s">
        <v>836</v>
      </c>
      <c r="T2918" t="s">
        <v>836</v>
      </c>
      <c r="U2918" t="str">
        <f t="shared" si="769"/>
        <v>2500-12-31 00:00:00.0</v>
      </c>
      <c r="V2918" t="s">
        <v>837</v>
      </c>
      <c r="W2918" t="str">
        <f>"048314-004796-**-**"</f>
        <v>048314-004796-**-**</v>
      </c>
      <c r="X2918" t="s">
        <v>838</v>
      </c>
      <c r="Y2918">
        <v>1254.5</v>
      </c>
      <c r="Z2918">
        <v>1254.5</v>
      </c>
      <c r="AA2918" t="str">
        <f t="shared" si="767"/>
        <v>06/08/2016</v>
      </c>
    </row>
    <row r="2919" spans="1:27" x14ac:dyDescent="0.3">
      <c r="A2919" t="str">
        <f t="shared" si="761"/>
        <v>048314</v>
      </c>
      <c r="B2919" t="str">
        <f t="shared" si="770"/>
        <v>070417</v>
      </c>
      <c r="C2919" t="s">
        <v>2187</v>
      </c>
      <c r="D2919" t="s">
        <v>3839</v>
      </c>
      <c r="E2919" t="s">
        <v>3840</v>
      </c>
      <c r="F2919" t="s">
        <v>3841</v>
      </c>
      <c r="G2919" t="s">
        <v>3842</v>
      </c>
      <c r="H2919" t="str">
        <f t="shared" si="766"/>
        <v>048314</v>
      </c>
      <c r="I2919" t="s">
        <v>833</v>
      </c>
      <c r="J2919" t="str">
        <f t="shared" si="768"/>
        <v>2015-07-01 00:00:00.0</v>
      </c>
      <c r="K2919" t="s">
        <v>834</v>
      </c>
      <c r="L2919" t="s">
        <v>0</v>
      </c>
      <c r="M2919" t="str">
        <f t="shared" si="764"/>
        <v>048314</v>
      </c>
      <c r="N2919">
        <v>1</v>
      </c>
      <c r="O2919">
        <v>1</v>
      </c>
      <c r="P2919" t="str">
        <f>"09"</f>
        <v>09</v>
      </c>
      <c r="Q2919" t="s">
        <v>835</v>
      </c>
      <c r="S2919" t="s">
        <v>836</v>
      </c>
      <c r="T2919" t="s">
        <v>836</v>
      </c>
      <c r="U2919" t="str">
        <f t="shared" si="769"/>
        <v>2500-12-31 00:00:00.0</v>
      </c>
      <c r="V2919" t="s">
        <v>837</v>
      </c>
      <c r="W2919" t="str">
        <f>"048314-004796-**-**"</f>
        <v>048314-004796-**-**</v>
      </c>
      <c r="X2919" t="s">
        <v>838</v>
      </c>
      <c r="Y2919">
        <v>1254.5</v>
      </c>
      <c r="Z2919">
        <v>1254.5</v>
      </c>
      <c r="AA2919" t="str">
        <f t="shared" si="767"/>
        <v>06/08/2016</v>
      </c>
    </row>
    <row r="2920" spans="1:27" x14ac:dyDescent="0.3">
      <c r="A2920" t="str">
        <f t="shared" si="761"/>
        <v>048314</v>
      </c>
      <c r="B2920" t="str">
        <f t="shared" si="770"/>
        <v>070417</v>
      </c>
      <c r="C2920" t="s">
        <v>2733</v>
      </c>
      <c r="D2920" t="s">
        <v>3839</v>
      </c>
      <c r="E2920" t="s">
        <v>3840</v>
      </c>
      <c r="F2920" t="s">
        <v>3841</v>
      </c>
      <c r="G2920" t="s">
        <v>3842</v>
      </c>
      <c r="H2920" t="str">
        <f t="shared" si="766"/>
        <v>048314</v>
      </c>
      <c r="I2920" t="s">
        <v>833</v>
      </c>
      <c r="J2920" t="str">
        <f t="shared" si="768"/>
        <v>2015-07-01 00:00:00.0</v>
      </c>
      <c r="K2920" t="s">
        <v>834</v>
      </c>
      <c r="L2920" t="s">
        <v>0</v>
      </c>
      <c r="M2920" t="str">
        <f t="shared" si="764"/>
        <v>048314</v>
      </c>
      <c r="N2920">
        <v>1</v>
      </c>
      <c r="O2920">
        <v>1</v>
      </c>
      <c r="P2920" t="str">
        <f>"07"</f>
        <v>07</v>
      </c>
      <c r="Q2920" t="s">
        <v>835</v>
      </c>
      <c r="S2920" t="s">
        <v>836</v>
      </c>
      <c r="T2920" t="s">
        <v>836</v>
      </c>
      <c r="U2920" t="str">
        <f t="shared" si="769"/>
        <v>2500-12-31 00:00:00.0</v>
      </c>
      <c r="V2920" t="s">
        <v>837</v>
      </c>
      <c r="W2920" t="str">
        <f>"048314-070417-**-**"</f>
        <v>048314-070417-**-**</v>
      </c>
      <c r="X2920" t="s">
        <v>838</v>
      </c>
      <c r="Y2920">
        <v>1125</v>
      </c>
      <c r="Z2920">
        <v>1125</v>
      </c>
      <c r="AA2920" t="str">
        <f t="shared" si="767"/>
        <v>06/08/2016</v>
      </c>
    </row>
    <row r="2921" spans="1:27" x14ac:dyDescent="0.3">
      <c r="A2921" t="str">
        <f t="shared" si="761"/>
        <v>048314</v>
      </c>
      <c r="B2921" t="str">
        <f t="shared" si="770"/>
        <v>070417</v>
      </c>
      <c r="C2921" t="s">
        <v>2321</v>
      </c>
      <c r="D2921" t="s">
        <v>3839</v>
      </c>
      <c r="E2921" t="s">
        <v>3840</v>
      </c>
      <c r="F2921" t="s">
        <v>3841</v>
      </c>
      <c r="G2921" t="s">
        <v>3842</v>
      </c>
      <c r="H2921" t="str">
        <f t="shared" si="766"/>
        <v>048314</v>
      </c>
      <c r="I2921" t="s">
        <v>833</v>
      </c>
      <c r="J2921" t="str">
        <f t="shared" si="768"/>
        <v>2015-07-01 00:00:00.0</v>
      </c>
      <c r="K2921" t="s">
        <v>834</v>
      </c>
      <c r="L2921" t="s">
        <v>0</v>
      </c>
      <c r="M2921" t="str">
        <f t="shared" si="764"/>
        <v>048314</v>
      </c>
      <c r="N2921">
        <v>1</v>
      </c>
      <c r="O2921">
        <v>1</v>
      </c>
      <c r="P2921" t="str">
        <f>"07"</f>
        <v>07</v>
      </c>
      <c r="Q2921" t="s">
        <v>835</v>
      </c>
      <c r="S2921" t="s">
        <v>836</v>
      </c>
      <c r="T2921" t="s">
        <v>836</v>
      </c>
      <c r="U2921" t="str">
        <f t="shared" si="769"/>
        <v>2500-12-31 00:00:00.0</v>
      </c>
      <c r="V2921" t="s">
        <v>837</v>
      </c>
      <c r="W2921" t="str">
        <f>"048314-070417-**-**"</f>
        <v>048314-070417-**-**</v>
      </c>
      <c r="X2921" t="s">
        <v>838</v>
      </c>
      <c r="Y2921">
        <v>1125</v>
      </c>
      <c r="Z2921">
        <v>1125</v>
      </c>
      <c r="AA2921" t="str">
        <f t="shared" si="767"/>
        <v>06/08/2016</v>
      </c>
    </row>
    <row r="2922" spans="1:27" x14ac:dyDescent="0.3">
      <c r="A2922" t="str">
        <f t="shared" si="761"/>
        <v>048314</v>
      </c>
      <c r="B2922" t="str">
        <f t="shared" si="770"/>
        <v>070417</v>
      </c>
      <c r="C2922" t="s">
        <v>2528</v>
      </c>
      <c r="D2922" t="s">
        <v>3839</v>
      </c>
      <c r="E2922" t="s">
        <v>3840</v>
      </c>
      <c r="F2922" t="s">
        <v>3841</v>
      </c>
      <c r="G2922" t="s">
        <v>3842</v>
      </c>
      <c r="H2922" t="str">
        <f>"048363"</f>
        <v>048363</v>
      </c>
      <c r="I2922" t="s">
        <v>833</v>
      </c>
      <c r="J2922" t="str">
        <f t="shared" si="768"/>
        <v>2015-07-01 00:00:00.0</v>
      </c>
      <c r="K2922" t="s">
        <v>834</v>
      </c>
      <c r="L2922" t="s">
        <v>1</v>
      </c>
      <c r="M2922" t="str">
        <f t="shared" si="764"/>
        <v>048314</v>
      </c>
      <c r="N2922">
        <v>1</v>
      </c>
      <c r="O2922">
        <v>1</v>
      </c>
      <c r="P2922" t="str">
        <f>"07"</f>
        <v>07</v>
      </c>
      <c r="Q2922" t="s">
        <v>835</v>
      </c>
      <c r="S2922" t="s">
        <v>836</v>
      </c>
      <c r="T2922" t="s">
        <v>836</v>
      </c>
      <c r="U2922" t="str">
        <f t="shared" si="769"/>
        <v>2500-12-31 00:00:00.0</v>
      </c>
      <c r="V2922" t="s">
        <v>837</v>
      </c>
      <c r="W2922" t="str">
        <f>"048363-014522-**-**"</f>
        <v>048363-014522-**-**</v>
      </c>
      <c r="X2922" t="s">
        <v>838</v>
      </c>
      <c r="Y2922">
        <v>1127</v>
      </c>
      <c r="Z2922">
        <v>1127</v>
      </c>
      <c r="AA2922" t="str">
        <f>"06/15/2016"</f>
        <v>06/15/2016</v>
      </c>
    </row>
    <row r="2923" spans="1:27" x14ac:dyDescent="0.3">
      <c r="A2923" t="str">
        <f t="shared" si="761"/>
        <v>048314</v>
      </c>
      <c r="B2923" t="str">
        <f t="shared" si="770"/>
        <v>070417</v>
      </c>
      <c r="C2923" t="s">
        <v>2279</v>
      </c>
      <c r="D2923" t="s">
        <v>3839</v>
      </c>
      <c r="E2923" t="s">
        <v>3840</v>
      </c>
      <c r="F2923" t="s">
        <v>3841</v>
      </c>
      <c r="G2923" t="s">
        <v>3842</v>
      </c>
      <c r="H2923" t="str">
        <f t="shared" ref="H2923:H2945" si="771">"048314"</f>
        <v>048314</v>
      </c>
      <c r="I2923" t="s">
        <v>833</v>
      </c>
      <c r="J2923" t="str">
        <f t="shared" si="768"/>
        <v>2015-07-01 00:00:00.0</v>
      </c>
      <c r="K2923" t="s">
        <v>834</v>
      </c>
      <c r="L2923" t="s">
        <v>0</v>
      </c>
      <c r="M2923" t="str">
        <f t="shared" si="764"/>
        <v>048314</v>
      </c>
      <c r="N2923">
        <v>1</v>
      </c>
      <c r="O2923">
        <v>1</v>
      </c>
      <c r="P2923" t="str">
        <f>"09"</f>
        <v>09</v>
      </c>
      <c r="Q2923" t="s">
        <v>835</v>
      </c>
      <c r="S2923" t="s">
        <v>836</v>
      </c>
      <c r="T2923" t="s">
        <v>836</v>
      </c>
      <c r="U2923" t="str">
        <f t="shared" si="769"/>
        <v>2500-12-31 00:00:00.0</v>
      </c>
      <c r="V2923" t="s">
        <v>837</v>
      </c>
      <c r="W2923" t="str">
        <f>"048314-004796-**-**"</f>
        <v>048314-004796-**-**</v>
      </c>
      <c r="X2923" t="s">
        <v>838</v>
      </c>
      <c r="Y2923">
        <v>1254.5</v>
      </c>
      <c r="Z2923">
        <v>1254.5</v>
      </c>
      <c r="AA2923" t="str">
        <f t="shared" ref="AA2923:AA2945" si="772">"06/08/2016"</f>
        <v>06/08/2016</v>
      </c>
    </row>
    <row r="2924" spans="1:27" x14ac:dyDescent="0.3">
      <c r="A2924" t="str">
        <f t="shared" si="761"/>
        <v>048314</v>
      </c>
      <c r="B2924" t="str">
        <f t="shared" si="770"/>
        <v>070417</v>
      </c>
      <c r="C2924" t="s">
        <v>2154</v>
      </c>
      <c r="D2924" t="s">
        <v>3839</v>
      </c>
      <c r="E2924" t="s">
        <v>3840</v>
      </c>
      <c r="F2924" t="s">
        <v>3841</v>
      </c>
      <c r="G2924" t="s">
        <v>3842</v>
      </c>
      <c r="H2924" t="str">
        <f t="shared" si="771"/>
        <v>048314</v>
      </c>
      <c r="I2924" t="s">
        <v>833</v>
      </c>
      <c r="J2924" t="str">
        <f t="shared" si="768"/>
        <v>2015-07-01 00:00:00.0</v>
      </c>
      <c r="K2924" t="s">
        <v>834</v>
      </c>
      <c r="L2924" t="s">
        <v>0</v>
      </c>
      <c r="M2924" t="str">
        <f t="shared" si="764"/>
        <v>048314</v>
      </c>
      <c r="N2924">
        <v>1</v>
      </c>
      <c r="O2924">
        <v>1</v>
      </c>
      <c r="P2924" t="str">
        <f>"08"</f>
        <v>08</v>
      </c>
      <c r="Q2924" t="s">
        <v>835</v>
      </c>
      <c r="S2924" t="s">
        <v>836</v>
      </c>
      <c r="T2924" t="s">
        <v>836</v>
      </c>
      <c r="U2924" t="str">
        <f t="shared" si="769"/>
        <v>2500-12-31 00:00:00.0</v>
      </c>
      <c r="V2924" t="s">
        <v>837</v>
      </c>
      <c r="W2924" t="str">
        <f>"048314-070417-**-**"</f>
        <v>048314-070417-**-**</v>
      </c>
      <c r="X2924" t="s">
        <v>838</v>
      </c>
      <c r="Y2924">
        <v>1125</v>
      </c>
      <c r="Z2924">
        <v>1125</v>
      </c>
      <c r="AA2924" t="str">
        <f t="shared" si="772"/>
        <v>06/08/2016</v>
      </c>
    </row>
    <row r="2925" spans="1:27" x14ac:dyDescent="0.3">
      <c r="A2925" t="str">
        <f t="shared" si="761"/>
        <v>048314</v>
      </c>
      <c r="B2925" t="str">
        <f t="shared" si="770"/>
        <v>070417</v>
      </c>
      <c r="C2925" t="s">
        <v>2219</v>
      </c>
      <c r="D2925" t="s">
        <v>3839</v>
      </c>
      <c r="E2925" t="s">
        <v>3840</v>
      </c>
      <c r="F2925" t="s">
        <v>3841</v>
      </c>
      <c r="G2925" t="s">
        <v>3842</v>
      </c>
      <c r="H2925" t="str">
        <f t="shared" si="771"/>
        <v>048314</v>
      </c>
      <c r="I2925" t="s">
        <v>833</v>
      </c>
      <c r="J2925" t="str">
        <f t="shared" si="768"/>
        <v>2015-07-01 00:00:00.0</v>
      </c>
      <c r="K2925" t="s">
        <v>834</v>
      </c>
      <c r="L2925" t="s">
        <v>0</v>
      </c>
      <c r="M2925" t="str">
        <f t="shared" si="764"/>
        <v>048314</v>
      </c>
      <c r="N2925">
        <v>1</v>
      </c>
      <c r="O2925">
        <v>1</v>
      </c>
      <c r="P2925" t="str">
        <f>"09"</f>
        <v>09</v>
      </c>
      <c r="Q2925" t="s">
        <v>835</v>
      </c>
      <c r="S2925" t="s">
        <v>836</v>
      </c>
      <c r="T2925" t="s">
        <v>836</v>
      </c>
      <c r="U2925" t="str">
        <f t="shared" si="769"/>
        <v>2500-12-31 00:00:00.0</v>
      </c>
      <c r="V2925" t="s">
        <v>837</v>
      </c>
      <c r="W2925" t="str">
        <f>"048314-004796-**-**"</f>
        <v>048314-004796-**-**</v>
      </c>
      <c r="X2925" t="s">
        <v>838</v>
      </c>
      <c r="Y2925">
        <v>1254.5</v>
      </c>
      <c r="Z2925">
        <v>1254.5</v>
      </c>
      <c r="AA2925" t="str">
        <f t="shared" si="772"/>
        <v>06/08/2016</v>
      </c>
    </row>
    <row r="2926" spans="1:27" x14ac:dyDescent="0.3">
      <c r="A2926" t="str">
        <f t="shared" si="761"/>
        <v>048314</v>
      </c>
      <c r="B2926" t="str">
        <f t="shared" si="770"/>
        <v>070417</v>
      </c>
      <c r="C2926" t="s">
        <v>2932</v>
      </c>
      <c r="D2926" t="s">
        <v>3839</v>
      </c>
      <c r="E2926" t="s">
        <v>3840</v>
      </c>
      <c r="F2926" t="s">
        <v>3841</v>
      </c>
      <c r="G2926" t="s">
        <v>3842</v>
      </c>
      <c r="H2926" t="str">
        <f t="shared" si="771"/>
        <v>048314</v>
      </c>
      <c r="I2926" t="s">
        <v>833</v>
      </c>
      <c r="J2926" t="str">
        <f t="shared" si="768"/>
        <v>2015-07-01 00:00:00.0</v>
      </c>
      <c r="K2926" t="s">
        <v>834</v>
      </c>
      <c r="L2926" t="s">
        <v>0</v>
      </c>
      <c r="M2926" t="str">
        <f t="shared" si="764"/>
        <v>048314</v>
      </c>
      <c r="N2926">
        <v>1</v>
      </c>
      <c r="O2926">
        <v>1</v>
      </c>
      <c r="P2926" t="str">
        <f>"06"</f>
        <v>06</v>
      </c>
      <c r="Q2926" t="s">
        <v>835</v>
      </c>
      <c r="S2926" t="s">
        <v>836</v>
      </c>
      <c r="T2926" t="s">
        <v>836</v>
      </c>
      <c r="U2926" t="str">
        <f t="shared" si="769"/>
        <v>2500-12-31 00:00:00.0</v>
      </c>
      <c r="V2926" t="s">
        <v>837</v>
      </c>
      <c r="W2926" t="str">
        <f>"048314-070417-**-**"</f>
        <v>048314-070417-**-**</v>
      </c>
      <c r="X2926" t="s">
        <v>838</v>
      </c>
      <c r="Y2926">
        <v>1125</v>
      </c>
      <c r="Z2926">
        <v>1125</v>
      </c>
      <c r="AA2926" t="str">
        <f t="shared" si="772"/>
        <v>06/08/2016</v>
      </c>
    </row>
    <row r="2927" spans="1:27" x14ac:dyDescent="0.3">
      <c r="A2927" t="str">
        <f t="shared" si="761"/>
        <v>048314</v>
      </c>
      <c r="B2927" t="str">
        <f t="shared" si="770"/>
        <v>070417</v>
      </c>
      <c r="C2927" t="s">
        <v>2155</v>
      </c>
      <c r="D2927" t="s">
        <v>3839</v>
      </c>
      <c r="E2927" t="s">
        <v>3840</v>
      </c>
      <c r="F2927" t="s">
        <v>3841</v>
      </c>
      <c r="G2927" t="s">
        <v>3842</v>
      </c>
      <c r="H2927" t="str">
        <f t="shared" si="771"/>
        <v>048314</v>
      </c>
      <c r="I2927" t="s">
        <v>833</v>
      </c>
      <c r="J2927" t="str">
        <f t="shared" si="768"/>
        <v>2015-07-01 00:00:00.0</v>
      </c>
      <c r="K2927" t="s">
        <v>834</v>
      </c>
      <c r="L2927" t="s">
        <v>0</v>
      </c>
      <c r="M2927" t="str">
        <f t="shared" si="764"/>
        <v>048314</v>
      </c>
      <c r="N2927">
        <v>1</v>
      </c>
      <c r="O2927">
        <v>1</v>
      </c>
      <c r="P2927" t="str">
        <f>"08"</f>
        <v>08</v>
      </c>
      <c r="Q2927" t="s">
        <v>835</v>
      </c>
      <c r="S2927" t="s">
        <v>836</v>
      </c>
      <c r="T2927" t="s">
        <v>836</v>
      </c>
      <c r="U2927" t="str">
        <f t="shared" si="769"/>
        <v>2500-12-31 00:00:00.0</v>
      </c>
      <c r="V2927" t="s">
        <v>837</v>
      </c>
      <c r="W2927" t="str">
        <f>"048314-070417-**-**"</f>
        <v>048314-070417-**-**</v>
      </c>
      <c r="X2927" t="s">
        <v>838</v>
      </c>
      <c r="Y2927">
        <v>1125</v>
      </c>
      <c r="Z2927">
        <v>1125</v>
      </c>
      <c r="AA2927" t="str">
        <f t="shared" si="772"/>
        <v>06/08/2016</v>
      </c>
    </row>
    <row r="2928" spans="1:27" x14ac:dyDescent="0.3">
      <c r="A2928" t="str">
        <f t="shared" si="761"/>
        <v>048314</v>
      </c>
      <c r="B2928" t="str">
        <f t="shared" si="770"/>
        <v>070417</v>
      </c>
      <c r="C2928" t="s">
        <v>2156</v>
      </c>
      <c r="D2928" t="s">
        <v>3839</v>
      </c>
      <c r="E2928" t="s">
        <v>3840</v>
      </c>
      <c r="F2928" t="s">
        <v>3841</v>
      </c>
      <c r="G2928" t="s">
        <v>3842</v>
      </c>
      <c r="H2928" t="str">
        <f t="shared" si="771"/>
        <v>048314</v>
      </c>
      <c r="I2928" t="s">
        <v>833</v>
      </c>
      <c r="J2928" t="str">
        <f t="shared" si="768"/>
        <v>2015-07-01 00:00:00.0</v>
      </c>
      <c r="K2928" t="s">
        <v>834</v>
      </c>
      <c r="L2928" t="s">
        <v>0</v>
      </c>
      <c r="M2928" t="str">
        <f t="shared" si="764"/>
        <v>048314</v>
      </c>
      <c r="N2928">
        <v>1</v>
      </c>
      <c r="O2928">
        <v>1</v>
      </c>
      <c r="P2928" t="str">
        <f>"08"</f>
        <v>08</v>
      </c>
      <c r="Q2928" t="s">
        <v>835</v>
      </c>
      <c r="S2928" t="s">
        <v>836</v>
      </c>
      <c r="T2928" t="s">
        <v>836</v>
      </c>
      <c r="U2928" t="str">
        <f t="shared" si="769"/>
        <v>2500-12-31 00:00:00.0</v>
      </c>
      <c r="V2928" t="s">
        <v>837</v>
      </c>
      <c r="W2928" t="str">
        <f>"048314-070417-**-**"</f>
        <v>048314-070417-**-**</v>
      </c>
      <c r="X2928" t="s">
        <v>838</v>
      </c>
      <c r="Y2928">
        <v>1125</v>
      </c>
      <c r="Z2928">
        <v>1125</v>
      </c>
      <c r="AA2928" t="str">
        <f t="shared" si="772"/>
        <v>06/08/2016</v>
      </c>
    </row>
    <row r="2929" spans="1:27" x14ac:dyDescent="0.3">
      <c r="A2929" t="str">
        <f t="shared" si="761"/>
        <v>048314</v>
      </c>
      <c r="B2929" t="str">
        <f t="shared" si="770"/>
        <v>070417</v>
      </c>
      <c r="C2929" t="s">
        <v>2157</v>
      </c>
      <c r="D2929" t="s">
        <v>3839</v>
      </c>
      <c r="E2929" t="s">
        <v>3840</v>
      </c>
      <c r="F2929" t="s">
        <v>3841</v>
      </c>
      <c r="G2929" t="s">
        <v>3842</v>
      </c>
      <c r="H2929" t="str">
        <f t="shared" si="771"/>
        <v>048314</v>
      </c>
      <c r="I2929" t="s">
        <v>833</v>
      </c>
      <c r="J2929" t="str">
        <f t="shared" si="768"/>
        <v>2015-07-01 00:00:00.0</v>
      </c>
      <c r="K2929" t="s">
        <v>834</v>
      </c>
      <c r="L2929" t="s">
        <v>0</v>
      </c>
      <c r="M2929" t="str">
        <f t="shared" si="764"/>
        <v>048314</v>
      </c>
      <c r="N2929">
        <v>1</v>
      </c>
      <c r="O2929">
        <v>1</v>
      </c>
      <c r="P2929" t="str">
        <f>"08"</f>
        <v>08</v>
      </c>
      <c r="Q2929" t="s">
        <v>835</v>
      </c>
      <c r="S2929" t="s">
        <v>836</v>
      </c>
      <c r="T2929" t="s">
        <v>836</v>
      </c>
      <c r="U2929" t="str">
        <f t="shared" si="769"/>
        <v>2500-12-31 00:00:00.0</v>
      </c>
      <c r="V2929" t="s">
        <v>837</v>
      </c>
      <c r="W2929" t="str">
        <f>"048314-070417-**-**"</f>
        <v>048314-070417-**-**</v>
      </c>
      <c r="X2929" t="s">
        <v>838</v>
      </c>
      <c r="Y2929">
        <v>1125</v>
      </c>
      <c r="Z2929">
        <v>1125</v>
      </c>
      <c r="AA2929" t="str">
        <f t="shared" si="772"/>
        <v>06/08/2016</v>
      </c>
    </row>
    <row r="2930" spans="1:27" x14ac:dyDescent="0.3">
      <c r="A2930" t="str">
        <f t="shared" si="761"/>
        <v>048314</v>
      </c>
      <c r="B2930" t="str">
        <f t="shared" si="770"/>
        <v>070417</v>
      </c>
      <c r="C2930" t="s">
        <v>1904</v>
      </c>
      <c r="D2930" t="s">
        <v>3839</v>
      </c>
      <c r="E2930" t="s">
        <v>3840</v>
      </c>
      <c r="F2930" t="s">
        <v>3841</v>
      </c>
      <c r="G2930" t="s">
        <v>3842</v>
      </c>
      <c r="H2930" t="str">
        <f t="shared" si="771"/>
        <v>048314</v>
      </c>
      <c r="I2930" t="s">
        <v>833</v>
      </c>
      <c r="J2930" t="str">
        <f t="shared" si="768"/>
        <v>2015-07-01 00:00:00.0</v>
      </c>
      <c r="K2930" t="s">
        <v>834</v>
      </c>
      <c r="L2930" t="s">
        <v>0</v>
      </c>
      <c r="M2930" t="str">
        <f t="shared" si="764"/>
        <v>048314</v>
      </c>
      <c r="N2930">
        <v>1</v>
      </c>
      <c r="O2930">
        <v>1</v>
      </c>
      <c r="P2930" t="str">
        <f>"09"</f>
        <v>09</v>
      </c>
      <c r="Q2930" t="s">
        <v>835</v>
      </c>
      <c r="S2930" t="s">
        <v>836</v>
      </c>
      <c r="T2930" t="s">
        <v>836</v>
      </c>
      <c r="U2930" t="str">
        <f t="shared" si="769"/>
        <v>2500-12-31 00:00:00.0</v>
      </c>
      <c r="V2930" t="s">
        <v>837</v>
      </c>
      <c r="W2930" t="str">
        <f>"048314-004796-**-**"</f>
        <v>048314-004796-**-**</v>
      </c>
      <c r="X2930" t="s">
        <v>838</v>
      </c>
      <c r="Y2930">
        <v>1254.5</v>
      </c>
      <c r="Z2930">
        <v>1254.5</v>
      </c>
      <c r="AA2930" t="str">
        <f t="shared" si="772"/>
        <v>06/08/2016</v>
      </c>
    </row>
    <row r="2931" spans="1:27" x14ac:dyDescent="0.3">
      <c r="A2931" t="str">
        <f t="shared" si="761"/>
        <v>048314</v>
      </c>
      <c r="B2931" t="str">
        <f t="shared" si="770"/>
        <v>070417</v>
      </c>
      <c r="C2931" t="s">
        <v>2158</v>
      </c>
      <c r="D2931" t="s">
        <v>3839</v>
      </c>
      <c r="E2931" t="s">
        <v>3840</v>
      </c>
      <c r="F2931" t="s">
        <v>3841</v>
      </c>
      <c r="G2931" t="s">
        <v>3842</v>
      </c>
      <c r="H2931" t="str">
        <f t="shared" si="771"/>
        <v>048314</v>
      </c>
      <c r="I2931" t="s">
        <v>833</v>
      </c>
      <c r="J2931" t="str">
        <f t="shared" si="768"/>
        <v>2015-07-01 00:00:00.0</v>
      </c>
      <c r="K2931" t="s">
        <v>834</v>
      </c>
      <c r="L2931" t="s">
        <v>0</v>
      </c>
      <c r="M2931" t="str">
        <f t="shared" si="764"/>
        <v>048314</v>
      </c>
      <c r="N2931">
        <v>1</v>
      </c>
      <c r="O2931">
        <v>1</v>
      </c>
      <c r="P2931" t="str">
        <f>"08"</f>
        <v>08</v>
      </c>
      <c r="Q2931" t="s">
        <v>835</v>
      </c>
      <c r="S2931" t="s">
        <v>836</v>
      </c>
      <c r="T2931" t="s">
        <v>836</v>
      </c>
      <c r="U2931" t="str">
        <f t="shared" si="769"/>
        <v>2500-12-31 00:00:00.0</v>
      </c>
      <c r="V2931" t="s">
        <v>837</v>
      </c>
      <c r="W2931" t="str">
        <f>"048314-070417-**-**"</f>
        <v>048314-070417-**-**</v>
      </c>
      <c r="X2931" t="s">
        <v>838</v>
      </c>
      <c r="Y2931">
        <v>1125</v>
      </c>
      <c r="Z2931">
        <v>1125</v>
      </c>
      <c r="AA2931" t="str">
        <f t="shared" si="772"/>
        <v>06/08/2016</v>
      </c>
    </row>
    <row r="2932" spans="1:27" x14ac:dyDescent="0.3">
      <c r="A2932" t="str">
        <f t="shared" si="761"/>
        <v>048314</v>
      </c>
      <c r="B2932" t="str">
        <f t="shared" si="770"/>
        <v>070417</v>
      </c>
      <c r="C2932" t="s">
        <v>1030</v>
      </c>
      <c r="D2932" t="s">
        <v>3839</v>
      </c>
      <c r="E2932" t="s">
        <v>3840</v>
      </c>
      <c r="F2932" t="s">
        <v>3841</v>
      </c>
      <c r="G2932" t="s">
        <v>3842</v>
      </c>
      <c r="H2932" t="str">
        <f t="shared" si="771"/>
        <v>048314</v>
      </c>
      <c r="I2932" t="s">
        <v>833</v>
      </c>
      <c r="J2932" t="str">
        <f t="shared" si="768"/>
        <v>2015-07-01 00:00:00.0</v>
      </c>
      <c r="K2932" t="s">
        <v>834</v>
      </c>
      <c r="L2932" t="s">
        <v>0</v>
      </c>
      <c r="M2932" t="str">
        <f t="shared" si="764"/>
        <v>048314</v>
      </c>
      <c r="N2932">
        <v>1</v>
      </c>
      <c r="O2932">
        <v>1</v>
      </c>
      <c r="P2932" t="str">
        <f>"07"</f>
        <v>07</v>
      </c>
      <c r="Q2932" t="s">
        <v>835</v>
      </c>
      <c r="S2932" t="s">
        <v>860</v>
      </c>
      <c r="T2932" t="s">
        <v>836</v>
      </c>
      <c r="U2932" t="str">
        <f t="shared" si="769"/>
        <v>2500-12-31 00:00:00.0</v>
      </c>
      <c r="V2932" t="s">
        <v>837</v>
      </c>
      <c r="W2932" t="str">
        <f>"048314-070417-**-**"</f>
        <v>048314-070417-**-**</v>
      </c>
      <c r="X2932" t="s">
        <v>838</v>
      </c>
      <c r="Y2932">
        <v>1125</v>
      </c>
      <c r="Z2932">
        <v>1125</v>
      </c>
      <c r="AA2932" t="str">
        <f t="shared" si="772"/>
        <v>06/08/2016</v>
      </c>
    </row>
    <row r="2933" spans="1:27" x14ac:dyDescent="0.3">
      <c r="A2933" t="str">
        <f t="shared" si="761"/>
        <v>048314</v>
      </c>
      <c r="B2933" t="str">
        <f t="shared" si="770"/>
        <v>070417</v>
      </c>
      <c r="C2933" t="s">
        <v>2381</v>
      </c>
      <c r="D2933" t="s">
        <v>3839</v>
      </c>
      <c r="E2933" t="s">
        <v>3840</v>
      </c>
      <c r="F2933" t="s">
        <v>3841</v>
      </c>
      <c r="G2933" t="s">
        <v>3842</v>
      </c>
      <c r="H2933" t="str">
        <f t="shared" si="771"/>
        <v>048314</v>
      </c>
      <c r="I2933" t="s">
        <v>833</v>
      </c>
      <c r="J2933" t="str">
        <f t="shared" si="768"/>
        <v>2015-07-01 00:00:00.0</v>
      </c>
      <c r="K2933" t="s">
        <v>834</v>
      </c>
      <c r="L2933" t="s">
        <v>0</v>
      </c>
      <c r="M2933" t="str">
        <f t="shared" si="764"/>
        <v>048314</v>
      </c>
      <c r="N2933">
        <v>1</v>
      </c>
      <c r="O2933">
        <v>1</v>
      </c>
      <c r="P2933" t="str">
        <f>"07"</f>
        <v>07</v>
      </c>
      <c r="Q2933" t="s">
        <v>835</v>
      </c>
      <c r="S2933" t="s">
        <v>836</v>
      </c>
      <c r="T2933" t="s">
        <v>836</v>
      </c>
      <c r="U2933" t="str">
        <f t="shared" si="769"/>
        <v>2500-12-31 00:00:00.0</v>
      </c>
      <c r="V2933" t="s">
        <v>837</v>
      </c>
      <c r="W2933" t="str">
        <f>"048314-070417-**-**"</f>
        <v>048314-070417-**-**</v>
      </c>
      <c r="X2933" t="s">
        <v>838</v>
      </c>
      <c r="Y2933">
        <v>1125</v>
      </c>
      <c r="Z2933">
        <v>1125</v>
      </c>
      <c r="AA2933" t="str">
        <f t="shared" si="772"/>
        <v>06/08/2016</v>
      </c>
    </row>
    <row r="2934" spans="1:27" x14ac:dyDescent="0.3">
      <c r="A2934" t="str">
        <f t="shared" si="761"/>
        <v>048314</v>
      </c>
      <c r="B2934" t="str">
        <f t="shared" si="770"/>
        <v>070417</v>
      </c>
      <c r="C2934" t="s">
        <v>2263</v>
      </c>
      <c r="D2934" t="s">
        <v>3839</v>
      </c>
      <c r="E2934" t="s">
        <v>3840</v>
      </c>
      <c r="F2934" t="s">
        <v>3841</v>
      </c>
      <c r="G2934" t="s">
        <v>3842</v>
      </c>
      <c r="H2934" t="str">
        <f t="shared" si="771"/>
        <v>048314</v>
      </c>
      <c r="I2934" t="s">
        <v>833</v>
      </c>
      <c r="J2934" t="str">
        <f t="shared" si="768"/>
        <v>2015-07-01 00:00:00.0</v>
      </c>
      <c r="K2934" t="s">
        <v>834</v>
      </c>
      <c r="L2934" t="s">
        <v>0</v>
      </c>
      <c r="M2934" t="str">
        <f t="shared" si="764"/>
        <v>048314</v>
      </c>
      <c r="N2934">
        <v>1</v>
      </c>
      <c r="O2934">
        <v>1</v>
      </c>
      <c r="P2934" t="str">
        <f>"09"</f>
        <v>09</v>
      </c>
      <c r="Q2934" t="s">
        <v>835</v>
      </c>
      <c r="S2934" t="s">
        <v>836</v>
      </c>
      <c r="T2934" t="s">
        <v>836</v>
      </c>
      <c r="U2934" t="str">
        <f t="shared" si="769"/>
        <v>2500-12-31 00:00:00.0</v>
      </c>
      <c r="V2934" t="s">
        <v>837</v>
      </c>
      <c r="W2934" t="str">
        <f>"048314-004796-**-**"</f>
        <v>048314-004796-**-**</v>
      </c>
      <c r="X2934" t="s">
        <v>838</v>
      </c>
      <c r="Y2934">
        <v>1254.5</v>
      </c>
      <c r="Z2934">
        <v>1254.5</v>
      </c>
      <c r="AA2934" t="str">
        <f t="shared" si="772"/>
        <v>06/08/2016</v>
      </c>
    </row>
    <row r="2935" spans="1:27" x14ac:dyDescent="0.3">
      <c r="A2935" t="str">
        <f t="shared" si="761"/>
        <v>048314</v>
      </c>
      <c r="B2935" t="str">
        <f t="shared" si="770"/>
        <v>070417</v>
      </c>
      <c r="C2935" t="s">
        <v>1404</v>
      </c>
      <c r="D2935" t="s">
        <v>3839</v>
      </c>
      <c r="E2935" t="s">
        <v>3840</v>
      </c>
      <c r="F2935" t="s">
        <v>3841</v>
      </c>
      <c r="G2935" t="s">
        <v>3842</v>
      </c>
      <c r="H2935" t="str">
        <f t="shared" si="771"/>
        <v>048314</v>
      </c>
      <c r="I2935" t="s">
        <v>833</v>
      </c>
      <c r="J2935" t="str">
        <f t="shared" si="768"/>
        <v>2015-07-01 00:00:00.0</v>
      </c>
      <c r="K2935" t="s">
        <v>834</v>
      </c>
      <c r="L2935" t="s">
        <v>0</v>
      </c>
      <c r="M2935" t="str">
        <f t="shared" si="764"/>
        <v>048314</v>
      </c>
      <c r="N2935">
        <v>1</v>
      </c>
      <c r="O2935">
        <v>1</v>
      </c>
      <c r="P2935" t="str">
        <f>"09"</f>
        <v>09</v>
      </c>
      <c r="Q2935" t="s">
        <v>835</v>
      </c>
      <c r="S2935" t="s">
        <v>836</v>
      </c>
      <c r="T2935" t="s">
        <v>836</v>
      </c>
      <c r="U2935" t="str">
        <f t="shared" si="769"/>
        <v>2500-12-31 00:00:00.0</v>
      </c>
      <c r="V2935" t="s">
        <v>837</v>
      </c>
      <c r="W2935" t="str">
        <f>"048314-004796-**-**"</f>
        <v>048314-004796-**-**</v>
      </c>
      <c r="X2935" t="s">
        <v>838</v>
      </c>
      <c r="Y2935">
        <v>1254.5</v>
      </c>
      <c r="Z2935">
        <v>1254.5</v>
      </c>
      <c r="AA2935" t="str">
        <f t="shared" si="772"/>
        <v>06/08/2016</v>
      </c>
    </row>
    <row r="2936" spans="1:27" x14ac:dyDescent="0.3">
      <c r="A2936" t="str">
        <f t="shared" si="761"/>
        <v>048314</v>
      </c>
      <c r="B2936" t="str">
        <f t="shared" si="770"/>
        <v>070417</v>
      </c>
      <c r="C2936" t="s">
        <v>881</v>
      </c>
      <c r="D2936" t="s">
        <v>3839</v>
      </c>
      <c r="E2936" t="s">
        <v>3840</v>
      </c>
      <c r="F2936" t="s">
        <v>3841</v>
      </c>
      <c r="G2936" t="s">
        <v>3842</v>
      </c>
      <c r="H2936" t="str">
        <f t="shared" si="771"/>
        <v>048314</v>
      </c>
      <c r="I2936" t="s">
        <v>833</v>
      </c>
      <c r="J2936" t="str">
        <f t="shared" si="768"/>
        <v>2015-07-01 00:00:00.0</v>
      </c>
      <c r="K2936" t="s">
        <v>834</v>
      </c>
      <c r="L2936" t="s">
        <v>0</v>
      </c>
      <c r="M2936" t="str">
        <f t="shared" si="764"/>
        <v>048314</v>
      </c>
      <c r="N2936">
        <v>1</v>
      </c>
      <c r="O2936">
        <v>1</v>
      </c>
      <c r="P2936" t="str">
        <f>"06"</f>
        <v>06</v>
      </c>
      <c r="Q2936" t="s">
        <v>835</v>
      </c>
      <c r="S2936" t="s">
        <v>860</v>
      </c>
      <c r="T2936" t="s">
        <v>836</v>
      </c>
      <c r="U2936" t="str">
        <f t="shared" si="769"/>
        <v>2500-12-31 00:00:00.0</v>
      </c>
      <c r="V2936" t="s">
        <v>837</v>
      </c>
      <c r="W2936" t="str">
        <f>"048314-070417-**-**"</f>
        <v>048314-070417-**-**</v>
      </c>
      <c r="X2936" t="s">
        <v>838</v>
      </c>
      <c r="Y2936">
        <v>1125</v>
      </c>
      <c r="Z2936">
        <v>1125</v>
      </c>
      <c r="AA2936" t="str">
        <f t="shared" si="772"/>
        <v>06/08/2016</v>
      </c>
    </row>
    <row r="2937" spans="1:27" x14ac:dyDescent="0.3">
      <c r="A2937" t="str">
        <f t="shared" si="761"/>
        <v>048314</v>
      </c>
      <c r="B2937" t="str">
        <f t="shared" si="770"/>
        <v>070417</v>
      </c>
      <c r="C2937" t="s">
        <v>2159</v>
      </c>
      <c r="D2937" t="s">
        <v>3839</v>
      </c>
      <c r="E2937" t="s">
        <v>3840</v>
      </c>
      <c r="F2937" t="s">
        <v>3841</v>
      </c>
      <c r="G2937" t="s">
        <v>3842</v>
      </c>
      <c r="H2937" t="str">
        <f t="shared" si="771"/>
        <v>048314</v>
      </c>
      <c r="I2937" t="s">
        <v>833</v>
      </c>
      <c r="J2937" t="str">
        <f t="shared" si="768"/>
        <v>2015-07-01 00:00:00.0</v>
      </c>
      <c r="K2937" t="s">
        <v>834</v>
      </c>
      <c r="L2937" t="s">
        <v>0</v>
      </c>
      <c r="M2937" t="str">
        <f t="shared" si="764"/>
        <v>048314</v>
      </c>
      <c r="N2937">
        <v>1</v>
      </c>
      <c r="O2937">
        <v>1</v>
      </c>
      <c r="P2937" t="str">
        <f>"08"</f>
        <v>08</v>
      </c>
      <c r="Q2937" t="s">
        <v>835</v>
      </c>
      <c r="S2937" t="s">
        <v>836</v>
      </c>
      <c r="T2937" t="s">
        <v>836</v>
      </c>
      <c r="U2937" t="str">
        <f t="shared" si="769"/>
        <v>2500-12-31 00:00:00.0</v>
      </c>
      <c r="V2937" t="s">
        <v>837</v>
      </c>
      <c r="W2937" t="str">
        <f>"048314-070417-**-**"</f>
        <v>048314-070417-**-**</v>
      </c>
      <c r="X2937" t="s">
        <v>838</v>
      </c>
      <c r="Y2937">
        <v>1125</v>
      </c>
      <c r="Z2937">
        <v>1125</v>
      </c>
      <c r="AA2937" t="str">
        <f t="shared" si="772"/>
        <v>06/08/2016</v>
      </c>
    </row>
    <row r="2938" spans="1:27" x14ac:dyDescent="0.3">
      <c r="A2938" t="str">
        <f t="shared" si="761"/>
        <v>048314</v>
      </c>
      <c r="B2938" t="str">
        <f t="shared" si="770"/>
        <v>070417</v>
      </c>
      <c r="C2938" t="s">
        <v>2734</v>
      </c>
      <c r="D2938" t="s">
        <v>3839</v>
      </c>
      <c r="E2938" t="s">
        <v>3840</v>
      </c>
      <c r="F2938" t="s">
        <v>3841</v>
      </c>
      <c r="G2938" t="s">
        <v>3842</v>
      </c>
      <c r="H2938" t="str">
        <f t="shared" si="771"/>
        <v>048314</v>
      </c>
      <c r="I2938" t="s">
        <v>833</v>
      </c>
      <c r="J2938" t="str">
        <f t="shared" si="768"/>
        <v>2015-07-01 00:00:00.0</v>
      </c>
      <c r="K2938" t="s">
        <v>834</v>
      </c>
      <c r="L2938" t="s">
        <v>0</v>
      </c>
      <c r="M2938" t="str">
        <f t="shared" si="764"/>
        <v>048314</v>
      </c>
      <c r="N2938">
        <v>1</v>
      </c>
      <c r="O2938">
        <v>1</v>
      </c>
      <c r="P2938" t="str">
        <f>"06"</f>
        <v>06</v>
      </c>
      <c r="Q2938" t="s">
        <v>835</v>
      </c>
      <c r="S2938" t="s">
        <v>836</v>
      </c>
      <c r="T2938" t="s">
        <v>836</v>
      </c>
      <c r="U2938" t="str">
        <f t="shared" si="769"/>
        <v>2500-12-31 00:00:00.0</v>
      </c>
      <c r="V2938" t="s">
        <v>837</v>
      </c>
      <c r="W2938" t="str">
        <f>"048314-070417-**-**"</f>
        <v>048314-070417-**-**</v>
      </c>
      <c r="X2938" t="s">
        <v>838</v>
      </c>
      <c r="Y2938">
        <v>1125</v>
      </c>
      <c r="Z2938">
        <v>1125</v>
      </c>
      <c r="AA2938" t="str">
        <f t="shared" si="772"/>
        <v>06/08/2016</v>
      </c>
    </row>
    <row r="2939" spans="1:27" x14ac:dyDescent="0.3">
      <c r="A2939" t="str">
        <f t="shared" si="761"/>
        <v>048314</v>
      </c>
      <c r="B2939" t="str">
        <f t="shared" si="770"/>
        <v>070417</v>
      </c>
      <c r="C2939" t="s">
        <v>1295</v>
      </c>
      <c r="D2939" t="s">
        <v>3839</v>
      </c>
      <c r="E2939" t="s">
        <v>3840</v>
      </c>
      <c r="F2939" t="s">
        <v>3841</v>
      </c>
      <c r="G2939" t="s">
        <v>3842</v>
      </c>
      <c r="H2939" t="str">
        <f t="shared" si="771"/>
        <v>048314</v>
      </c>
      <c r="I2939" t="s">
        <v>833</v>
      </c>
      <c r="J2939" t="str">
        <f t="shared" si="768"/>
        <v>2015-07-01 00:00:00.0</v>
      </c>
      <c r="K2939" t="s">
        <v>834</v>
      </c>
      <c r="L2939" t="s">
        <v>0</v>
      </c>
      <c r="M2939" t="str">
        <f t="shared" si="764"/>
        <v>048314</v>
      </c>
      <c r="N2939">
        <v>1</v>
      </c>
      <c r="O2939">
        <v>1</v>
      </c>
      <c r="P2939" t="str">
        <f>"09"</f>
        <v>09</v>
      </c>
      <c r="Q2939" t="str">
        <f>"09"</f>
        <v>09</v>
      </c>
      <c r="R2939" t="str">
        <f>"2"</f>
        <v>2</v>
      </c>
      <c r="S2939" t="s">
        <v>836</v>
      </c>
      <c r="T2939" t="s">
        <v>836</v>
      </c>
      <c r="U2939" t="str">
        <f t="shared" si="769"/>
        <v>2500-12-31 00:00:00.0</v>
      </c>
      <c r="V2939" t="s">
        <v>837</v>
      </c>
      <c r="W2939" t="str">
        <f>"048314-004796-**-**"</f>
        <v>048314-004796-**-**</v>
      </c>
      <c r="X2939" t="s">
        <v>838</v>
      </c>
      <c r="Y2939">
        <v>1254.5</v>
      </c>
      <c r="Z2939">
        <v>1254.5</v>
      </c>
      <c r="AA2939" t="str">
        <f t="shared" si="772"/>
        <v>06/08/2016</v>
      </c>
    </row>
    <row r="2940" spans="1:27" x14ac:dyDescent="0.3">
      <c r="A2940" t="str">
        <f t="shared" si="761"/>
        <v>048314</v>
      </c>
      <c r="B2940" t="str">
        <f t="shared" si="770"/>
        <v>070417</v>
      </c>
      <c r="C2940" t="s">
        <v>2499</v>
      </c>
      <c r="D2940" t="s">
        <v>3839</v>
      </c>
      <c r="E2940" t="s">
        <v>3840</v>
      </c>
      <c r="F2940" t="s">
        <v>3841</v>
      </c>
      <c r="G2940" t="s">
        <v>3842</v>
      </c>
      <c r="H2940" t="str">
        <f t="shared" si="771"/>
        <v>048314</v>
      </c>
      <c r="I2940" t="s">
        <v>833</v>
      </c>
      <c r="J2940" t="str">
        <f t="shared" si="768"/>
        <v>2015-07-01 00:00:00.0</v>
      </c>
      <c r="K2940" t="s">
        <v>834</v>
      </c>
      <c r="L2940" t="s">
        <v>0</v>
      </c>
      <c r="M2940" t="str">
        <f t="shared" si="764"/>
        <v>048314</v>
      </c>
      <c r="N2940">
        <v>1</v>
      </c>
      <c r="O2940">
        <v>1</v>
      </c>
      <c r="P2940" t="str">
        <f>"07"</f>
        <v>07</v>
      </c>
      <c r="Q2940" t="s">
        <v>835</v>
      </c>
      <c r="S2940" t="s">
        <v>836</v>
      </c>
      <c r="T2940" t="s">
        <v>836</v>
      </c>
      <c r="U2940" t="str">
        <f t="shared" si="769"/>
        <v>2500-12-31 00:00:00.0</v>
      </c>
      <c r="V2940" t="s">
        <v>837</v>
      </c>
      <c r="W2940" t="str">
        <f t="shared" ref="W2940:W2945" si="773">"048314-070417-**-**"</f>
        <v>048314-070417-**-**</v>
      </c>
      <c r="X2940" t="s">
        <v>838</v>
      </c>
      <c r="Y2940">
        <v>1125</v>
      </c>
      <c r="Z2940">
        <v>1125</v>
      </c>
      <c r="AA2940" t="str">
        <f t="shared" si="772"/>
        <v>06/08/2016</v>
      </c>
    </row>
    <row r="2941" spans="1:27" x14ac:dyDescent="0.3">
      <c r="A2941" t="str">
        <f t="shared" si="761"/>
        <v>048314</v>
      </c>
      <c r="B2941" t="str">
        <f t="shared" si="770"/>
        <v>070417</v>
      </c>
      <c r="C2941" t="s">
        <v>2382</v>
      </c>
      <c r="D2941" t="s">
        <v>3839</v>
      </c>
      <c r="E2941" t="s">
        <v>3840</v>
      </c>
      <c r="F2941" t="s">
        <v>3841</v>
      </c>
      <c r="G2941" t="s">
        <v>3842</v>
      </c>
      <c r="H2941" t="str">
        <f t="shared" si="771"/>
        <v>048314</v>
      </c>
      <c r="I2941" t="s">
        <v>833</v>
      </c>
      <c r="J2941" t="str">
        <f t="shared" si="768"/>
        <v>2015-07-01 00:00:00.0</v>
      </c>
      <c r="K2941" t="s">
        <v>834</v>
      </c>
      <c r="L2941" t="s">
        <v>0</v>
      </c>
      <c r="M2941" t="str">
        <f t="shared" si="764"/>
        <v>048314</v>
      </c>
      <c r="N2941">
        <v>0.98333300000000001</v>
      </c>
      <c r="O2941">
        <v>0.98333300000000001</v>
      </c>
      <c r="P2941" t="str">
        <f>"08"</f>
        <v>08</v>
      </c>
      <c r="Q2941" t="s">
        <v>835</v>
      </c>
      <c r="S2941" t="s">
        <v>860</v>
      </c>
      <c r="T2941" t="s">
        <v>836</v>
      </c>
      <c r="U2941" t="str">
        <f>"2016-06-06 00:00:00.0"</f>
        <v>2016-06-06 00:00:00.0</v>
      </c>
      <c r="V2941" t="s">
        <v>837</v>
      </c>
      <c r="W2941" t="str">
        <f t="shared" si="773"/>
        <v>048314-070417-**-**</v>
      </c>
      <c r="X2941" t="s">
        <v>838</v>
      </c>
      <c r="Y2941">
        <v>1106.25</v>
      </c>
      <c r="Z2941">
        <v>1125</v>
      </c>
      <c r="AA2941" t="str">
        <f t="shared" si="772"/>
        <v>06/08/2016</v>
      </c>
    </row>
    <row r="2942" spans="1:27" x14ac:dyDescent="0.3">
      <c r="A2942" t="str">
        <f t="shared" si="761"/>
        <v>048314</v>
      </c>
      <c r="B2942" t="str">
        <f t="shared" si="770"/>
        <v>070417</v>
      </c>
      <c r="C2942" t="s">
        <v>2382</v>
      </c>
      <c r="D2942" t="s">
        <v>3839</v>
      </c>
      <c r="E2942" t="s">
        <v>3840</v>
      </c>
      <c r="F2942" t="s">
        <v>3841</v>
      </c>
      <c r="G2942" t="s">
        <v>3842</v>
      </c>
      <c r="H2942" t="str">
        <f t="shared" si="771"/>
        <v>048314</v>
      </c>
      <c r="I2942" t="s">
        <v>833</v>
      </c>
      <c r="J2942" t="str">
        <f>"2016-06-07 00:00:00.0"</f>
        <v>2016-06-07 00:00:00.0</v>
      </c>
      <c r="K2942" t="s">
        <v>834</v>
      </c>
      <c r="L2942" t="s">
        <v>0</v>
      </c>
      <c r="M2942" t="str">
        <f t="shared" si="764"/>
        <v>048314</v>
      </c>
      <c r="N2942">
        <v>1.6667000000000001E-2</v>
      </c>
      <c r="O2942">
        <v>1.6667000000000001E-2</v>
      </c>
      <c r="P2942" t="str">
        <f>"08"</f>
        <v>08</v>
      </c>
      <c r="Q2942" t="s">
        <v>835</v>
      </c>
      <c r="S2942" t="s">
        <v>860</v>
      </c>
      <c r="T2942" t="s">
        <v>836</v>
      </c>
      <c r="U2942" t="str">
        <f>"2500-12-31 00:00:00.0"</f>
        <v>2500-12-31 00:00:00.0</v>
      </c>
      <c r="V2942" t="s">
        <v>837</v>
      </c>
      <c r="W2942" t="str">
        <f t="shared" si="773"/>
        <v>048314-070417-**-**</v>
      </c>
      <c r="X2942" t="s">
        <v>838</v>
      </c>
      <c r="Y2942">
        <v>18.75</v>
      </c>
      <c r="Z2942">
        <v>1125</v>
      </c>
      <c r="AA2942" t="str">
        <f t="shared" si="772"/>
        <v>06/08/2016</v>
      </c>
    </row>
    <row r="2943" spans="1:27" x14ac:dyDescent="0.3">
      <c r="A2943" t="str">
        <f t="shared" si="761"/>
        <v>048314</v>
      </c>
      <c r="B2943" t="str">
        <f t="shared" si="770"/>
        <v>070417</v>
      </c>
      <c r="C2943" t="s">
        <v>2160</v>
      </c>
      <c r="D2943" t="s">
        <v>3839</v>
      </c>
      <c r="E2943" t="s">
        <v>3840</v>
      </c>
      <c r="F2943" t="s">
        <v>3841</v>
      </c>
      <c r="G2943" t="s">
        <v>3842</v>
      </c>
      <c r="H2943" t="str">
        <f t="shared" si="771"/>
        <v>048314</v>
      </c>
      <c r="I2943" t="s">
        <v>833</v>
      </c>
      <c r="J2943" t="str">
        <f>"2015-07-01 00:00:00.0"</f>
        <v>2015-07-01 00:00:00.0</v>
      </c>
      <c r="K2943" t="s">
        <v>834</v>
      </c>
      <c r="L2943" t="s">
        <v>0</v>
      </c>
      <c r="M2943" t="str">
        <f t="shared" si="764"/>
        <v>048314</v>
      </c>
      <c r="N2943">
        <v>0.32222200000000001</v>
      </c>
      <c r="O2943">
        <v>0.32222200000000001</v>
      </c>
      <c r="P2943" t="str">
        <f>"08"</f>
        <v>08</v>
      </c>
      <c r="Q2943" t="str">
        <f>"10"</f>
        <v>10</v>
      </c>
      <c r="R2943" t="str">
        <f>"2"</f>
        <v>2</v>
      </c>
      <c r="S2943" t="s">
        <v>836</v>
      </c>
      <c r="T2943" t="s">
        <v>836</v>
      </c>
      <c r="U2943" t="str">
        <f>"2015-11-19 00:00:00.0"</f>
        <v>2015-11-19 00:00:00.0</v>
      </c>
      <c r="V2943" t="s">
        <v>837</v>
      </c>
      <c r="W2943" t="str">
        <f t="shared" si="773"/>
        <v>048314-070417-**-**</v>
      </c>
      <c r="X2943" t="s">
        <v>838</v>
      </c>
      <c r="Y2943">
        <v>362.5</v>
      </c>
      <c r="Z2943">
        <v>1125</v>
      </c>
      <c r="AA2943" t="str">
        <f t="shared" si="772"/>
        <v>06/08/2016</v>
      </c>
    </row>
    <row r="2944" spans="1:27" x14ac:dyDescent="0.3">
      <c r="A2944" t="str">
        <f t="shared" si="761"/>
        <v>048314</v>
      </c>
      <c r="B2944" t="str">
        <f t="shared" si="770"/>
        <v>070417</v>
      </c>
      <c r="C2944" t="s">
        <v>2160</v>
      </c>
      <c r="D2944" t="s">
        <v>3839</v>
      </c>
      <c r="E2944" t="s">
        <v>3840</v>
      </c>
      <c r="F2944" t="s">
        <v>3841</v>
      </c>
      <c r="G2944" t="s">
        <v>3842</v>
      </c>
      <c r="H2944" t="str">
        <f t="shared" si="771"/>
        <v>048314</v>
      </c>
      <c r="I2944" t="s">
        <v>833</v>
      </c>
      <c r="J2944" t="str">
        <f>"2015-11-20 00:00:00.0"</f>
        <v>2015-11-20 00:00:00.0</v>
      </c>
      <c r="K2944" t="s">
        <v>834</v>
      </c>
      <c r="L2944" t="s">
        <v>0</v>
      </c>
      <c r="M2944" t="str">
        <f t="shared" si="764"/>
        <v>048314</v>
      </c>
      <c r="N2944">
        <v>0.67777799999999999</v>
      </c>
      <c r="O2944">
        <v>0.67777799999999999</v>
      </c>
      <c r="P2944" t="str">
        <f>"08"</f>
        <v>08</v>
      </c>
      <c r="Q2944" t="s">
        <v>835</v>
      </c>
      <c r="S2944" t="s">
        <v>836</v>
      </c>
      <c r="T2944" t="s">
        <v>836</v>
      </c>
      <c r="U2944" t="str">
        <f>"2500-12-31 00:00:00.0"</f>
        <v>2500-12-31 00:00:00.0</v>
      </c>
      <c r="V2944" t="s">
        <v>837</v>
      </c>
      <c r="W2944" t="str">
        <f t="shared" si="773"/>
        <v>048314-070417-**-**</v>
      </c>
      <c r="X2944" t="s">
        <v>838</v>
      </c>
      <c r="Y2944">
        <v>762.5</v>
      </c>
      <c r="Z2944">
        <v>1125</v>
      </c>
      <c r="AA2944" t="str">
        <f t="shared" si="772"/>
        <v>06/08/2016</v>
      </c>
    </row>
    <row r="2945" spans="1:27" x14ac:dyDescent="0.3">
      <c r="A2945" t="str">
        <f t="shared" si="761"/>
        <v>048314</v>
      </c>
      <c r="B2945" t="str">
        <f t="shared" si="770"/>
        <v>070417</v>
      </c>
      <c r="C2945" t="s">
        <v>2161</v>
      </c>
      <c r="D2945" t="s">
        <v>3839</v>
      </c>
      <c r="E2945" t="s">
        <v>3840</v>
      </c>
      <c r="F2945" t="s">
        <v>3841</v>
      </c>
      <c r="G2945" t="s">
        <v>3842</v>
      </c>
      <c r="H2945" t="str">
        <f t="shared" si="771"/>
        <v>048314</v>
      </c>
      <c r="I2945" t="s">
        <v>833</v>
      </c>
      <c r="J2945" t="str">
        <f>"2015-07-01 00:00:00.0"</f>
        <v>2015-07-01 00:00:00.0</v>
      </c>
      <c r="K2945" t="s">
        <v>834</v>
      </c>
      <c r="L2945" t="s">
        <v>0</v>
      </c>
      <c r="M2945" t="str">
        <f t="shared" si="764"/>
        <v>048314</v>
      </c>
      <c r="N2945">
        <v>1</v>
      </c>
      <c r="O2945">
        <v>1</v>
      </c>
      <c r="P2945" t="str">
        <f>"08"</f>
        <v>08</v>
      </c>
      <c r="Q2945" t="s">
        <v>835</v>
      </c>
      <c r="S2945" t="s">
        <v>836</v>
      </c>
      <c r="T2945" t="s">
        <v>836</v>
      </c>
      <c r="U2945" t="str">
        <f>"2500-12-31 00:00:00.0"</f>
        <v>2500-12-31 00:00:00.0</v>
      </c>
      <c r="V2945" t="s">
        <v>837</v>
      </c>
      <c r="W2945" t="str">
        <f t="shared" si="773"/>
        <v>048314-070417-**-**</v>
      </c>
      <c r="X2945" t="s">
        <v>838</v>
      </c>
      <c r="Y2945">
        <v>1125</v>
      </c>
      <c r="Z2945">
        <v>1125</v>
      </c>
      <c r="AA2945" t="str">
        <f t="shared" si="772"/>
        <v>06/08/2016</v>
      </c>
    </row>
    <row r="2946" spans="1:27" x14ac:dyDescent="0.3">
      <c r="A2946" t="str">
        <f t="shared" ref="A2946:A3009" si="774">"048314"</f>
        <v>048314</v>
      </c>
      <c r="B2946" t="str">
        <f t="shared" si="770"/>
        <v>070417</v>
      </c>
      <c r="C2946" t="s">
        <v>2566</v>
      </c>
      <c r="D2946" t="s">
        <v>3839</v>
      </c>
      <c r="E2946" t="s">
        <v>3840</v>
      </c>
      <c r="F2946" t="s">
        <v>3841</v>
      </c>
      <c r="G2946" t="s">
        <v>3842</v>
      </c>
      <c r="H2946" t="str">
        <f>"048363"</f>
        <v>048363</v>
      </c>
      <c r="I2946" t="s">
        <v>833</v>
      </c>
      <c r="J2946" t="str">
        <f>"2015-07-01 00:00:00.0"</f>
        <v>2015-07-01 00:00:00.0</v>
      </c>
      <c r="K2946" t="s">
        <v>834</v>
      </c>
      <c r="L2946" t="s">
        <v>1</v>
      </c>
      <c r="M2946" t="str">
        <f t="shared" si="764"/>
        <v>048314</v>
      </c>
      <c r="N2946">
        <v>1</v>
      </c>
      <c r="O2946">
        <v>1</v>
      </c>
      <c r="P2946" t="str">
        <f>"06"</f>
        <v>06</v>
      </c>
      <c r="Q2946" t="s">
        <v>835</v>
      </c>
      <c r="S2946" t="s">
        <v>860</v>
      </c>
      <c r="T2946" t="s">
        <v>836</v>
      </c>
      <c r="U2946" t="str">
        <f>"2500-12-31 00:00:00.0"</f>
        <v>2500-12-31 00:00:00.0</v>
      </c>
      <c r="V2946" t="s">
        <v>837</v>
      </c>
      <c r="W2946" t="str">
        <f>"048363-014522-**-**"</f>
        <v>048363-014522-**-**</v>
      </c>
      <c r="X2946" t="s">
        <v>838</v>
      </c>
      <c r="Y2946">
        <v>1127</v>
      </c>
      <c r="Z2946">
        <v>1127</v>
      </c>
      <c r="AA2946" t="str">
        <f>"06/15/2016"</f>
        <v>06/15/2016</v>
      </c>
    </row>
    <row r="2947" spans="1:27" x14ac:dyDescent="0.3">
      <c r="A2947" t="str">
        <f t="shared" si="774"/>
        <v>048314</v>
      </c>
      <c r="B2947" t="str">
        <f t="shared" si="770"/>
        <v>070417</v>
      </c>
      <c r="C2947" t="s">
        <v>2537</v>
      </c>
      <c r="D2947" t="s">
        <v>3839</v>
      </c>
      <c r="E2947" t="s">
        <v>3840</v>
      </c>
      <c r="F2947" t="s">
        <v>3841</v>
      </c>
      <c r="G2947" t="s">
        <v>3842</v>
      </c>
      <c r="H2947" t="str">
        <f t="shared" ref="H2947:H2973" si="775">"048314"</f>
        <v>048314</v>
      </c>
      <c r="I2947" t="s">
        <v>833</v>
      </c>
      <c r="J2947" t="str">
        <f>"2015-08-01 00:00:00.0"</f>
        <v>2015-08-01 00:00:00.0</v>
      </c>
      <c r="K2947" t="s">
        <v>834</v>
      </c>
      <c r="L2947" t="s">
        <v>0</v>
      </c>
      <c r="M2947" t="str">
        <f t="shared" si="764"/>
        <v>048314</v>
      </c>
      <c r="N2947">
        <v>0.32222200000000001</v>
      </c>
      <c r="O2947">
        <v>0.32222200000000001</v>
      </c>
      <c r="P2947" t="str">
        <f>"05"</f>
        <v>05</v>
      </c>
      <c r="Q2947" t="s">
        <v>835</v>
      </c>
      <c r="S2947" t="s">
        <v>836</v>
      </c>
      <c r="T2947" t="s">
        <v>836</v>
      </c>
      <c r="U2947" t="str">
        <f>"2015-11-19 00:00:00.0"</f>
        <v>2015-11-19 00:00:00.0</v>
      </c>
      <c r="V2947" t="s">
        <v>837</v>
      </c>
      <c r="W2947" t="str">
        <f>"048314-070417-**-**"</f>
        <v>048314-070417-**-**</v>
      </c>
      <c r="X2947" t="s">
        <v>838</v>
      </c>
      <c r="Y2947">
        <v>362.5</v>
      </c>
      <c r="Z2947">
        <v>1125</v>
      </c>
      <c r="AA2947" t="str">
        <f t="shared" ref="AA2947:AA2973" si="776">"06/08/2016"</f>
        <v>06/08/2016</v>
      </c>
    </row>
    <row r="2948" spans="1:27" x14ac:dyDescent="0.3">
      <c r="A2948" t="str">
        <f t="shared" si="774"/>
        <v>048314</v>
      </c>
      <c r="B2948" t="str">
        <f t="shared" si="770"/>
        <v>070417</v>
      </c>
      <c r="C2948" t="s">
        <v>2537</v>
      </c>
      <c r="D2948" t="s">
        <v>3839</v>
      </c>
      <c r="E2948" t="s">
        <v>3840</v>
      </c>
      <c r="F2948" t="s">
        <v>3841</v>
      </c>
      <c r="G2948" t="s">
        <v>3842</v>
      </c>
      <c r="H2948" t="str">
        <f t="shared" si="775"/>
        <v>048314</v>
      </c>
      <c r="I2948" t="s">
        <v>833</v>
      </c>
      <c r="J2948" t="str">
        <f>"2015-11-20 00:00:00.0"</f>
        <v>2015-11-20 00:00:00.0</v>
      </c>
      <c r="K2948" t="s">
        <v>834</v>
      </c>
      <c r="L2948" t="s">
        <v>0</v>
      </c>
      <c r="M2948" t="str">
        <f t="shared" si="764"/>
        <v>048314</v>
      </c>
      <c r="N2948">
        <v>0.67777799999999999</v>
      </c>
      <c r="O2948">
        <v>0.67777799999999999</v>
      </c>
      <c r="P2948" t="str">
        <f>"05"</f>
        <v>05</v>
      </c>
      <c r="Q2948" t="s">
        <v>835</v>
      </c>
      <c r="S2948" t="s">
        <v>836</v>
      </c>
      <c r="T2948" t="s">
        <v>836</v>
      </c>
      <c r="U2948" t="str">
        <f>"2500-12-31 00:00:00.0"</f>
        <v>2500-12-31 00:00:00.0</v>
      </c>
      <c r="V2948" t="s">
        <v>837</v>
      </c>
      <c r="W2948" t="str">
        <f>"048314-070417-**-**"</f>
        <v>048314-070417-**-**</v>
      </c>
      <c r="X2948" t="s">
        <v>838</v>
      </c>
      <c r="Y2948">
        <v>762.5</v>
      </c>
      <c r="Z2948">
        <v>1125</v>
      </c>
      <c r="AA2948" t="str">
        <f t="shared" si="776"/>
        <v>06/08/2016</v>
      </c>
    </row>
    <row r="2949" spans="1:27" x14ac:dyDescent="0.3">
      <c r="A2949" t="str">
        <f t="shared" si="774"/>
        <v>048314</v>
      </c>
      <c r="B2949" t="str">
        <f t="shared" si="770"/>
        <v>070417</v>
      </c>
      <c r="C2949" t="s">
        <v>1518</v>
      </c>
      <c r="D2949" t="s">
        <v>3839</v>
      </c>
      <c r="E2949" t="s">
        <v>3840</v>
      </c>
      <c r="F2949" t="s">
        <v>3841</v>
      </c>
      <c r="G2949" t="s">
        <v>3842</v>
      </c>
      <c r="H2949" t="str">
        <f t="shared" si="775"/>
        <v>048314</v>
      </c>
      <c r="I2949" t="s">
        <v>833</v>
      </c>
      <c r="J2949" t="str">
        <f>"2016-03-03 00:00:00.0"</f>
        <v>2016-03-03 00:00:00.0</v>
      </c>
      <c r="K2949" t="s">
        <v>834</v>
      </c>
      <c r="L2949" t="s">
        <v>0</v>
      </c>
      <c r="M2949" t="str">
        <f t="shared" si="764"/>
        <v>048314</v>
      </c>
      <c r="N2949">
        <v>0.35555599999999998</v>
      </c>
      <c r="O2949">
        <v>0.35555599999999998</v>
      </c>
      <c r="P2949" t="str">
        <f>"08"</f>
        <v>08</v>
      </c>
      <c r="Q2949" t="s">
        <v>835</v>
      </c>
      <c r="S2949" t="s">
        <v>836</v>
      </c>
      <c r="T2949" t="s">
        <v>836</v>
      </c>
      <c r="U2949" t="str">
        <f>"2500-12-31 00:00:00.0"</f>
        <v>2500-12-31 00:00:00.0</v>
      </c>
      <c r="V2949" t="s">
        <v>837</v>
      </c>
      <c r="W2949" t="str">
        <f>"048314-070417-**-**"</f>
        <v>048314-070417-**-**</v>
      </c>
      <c r="X2949" t="s">
        <v>838</v>
      </c>
      <c r="Y2949">
        <v>400</v>
      </c>
      <c r="Z2949">
        <v>1125</v>
      </c>
      <c r="AA2949" t="str">
        <f t="shared" si="776"/>
        <v>06/08/2016</v>
      </c>
    </row>
    <row r="2950" spans="1:27" x14ac:dyDescent="0.3">
      <c r="A2950" t="str">
        <f t="shared" si="774"/>
        <v>048314</v>
      </c>
      <c r="B2950" t="str">
        <f t="shared" si="770"/>
        <v>070417</v>
      </c>
      <c r="C2950" t="s">
        <v>1801</v>
      </c>
      <c r="D2950" t="s">
        <v>3839</v>
      </c>
      <c r="E2950" t="s">
        <v>3840</v>
      </c>
      <c r="F2950" t="s">
        <v>3841</v>
      </c>
      <c r="G2950" t="s">
        <v>3842</v>
      </c>
      <c r="H2950" t="str">
        <f t="shared" si="775"/>
        <v>048314</v>
      </c>
      <c r="I2950" t="s">
        <v>833</v>
      </c>
      <c r="J2950" t="str">
        <f t="shared" ref="J2950:J2968" si="777">"2015-07-01 00:00:00.0"</f>
        <v>2015-07-01 00:00:00.0</v>
      </c>
      <c r="K2950" t="s">
        <v>834</v>
      </c>
      <c r="L2950" t="s">
        <v>0</v>
      </c>
      <c r="M2950" t="str">
        <f t="shared" si="764"/>
        <v>048314</v>
      </c>
      <c r="N2950">
        <v>0.37305700000000003</v>
      </c>
      <c r="O2950">
        <v>0.37305700000000003</v>
      </c>
      <c r="P2950" t="str">
        <f>"09"</f>
        <v>09</v>
      </c>
      <c r="Q2950" t="s">
        <v>835</v>
      </c>
      <c r="S2950" t="s">
        <v>836</v>
      </c>
      <c r="T2950" t="s">
        <v>836</v>
      </c>
      <c r="U2950" t="str">
        <f>"2015-12-11 00:00:00.0"</f>
        <v>2015-12-11 00:00:00.0</v>
      </c>
      <c r="V2950" t="s">
        <v>837</v>
      </c>
      <c r="W2950" t="str">
        <f>"048314-004796-**-**"</f>
        <v>048314-004796-**-**</v>
      </c>
      <c r="X2950" t="s">
        <v>838</v>
      </c>
      <c r="Y2950">
        <v>468</v>
      </c>
      <c r="Z2950">
        <v>1254.5</v>
      </c>
      <c r="AA2950" t="str">
        <f t="shared" si="776"/>
        <v>06/08/2016</v>
      </c>
    </row>
    <row r="2951" spans="1:27" x14ac:dyDescent="0.3">
      <c r="A2951" t="str">
        <f t="shared" si="774"/>
        <v>048314</v>
      </c>
      <c r="B2951" t="str">
        <f t="shared" si="770"/>
        <v>070417</v>
      </c>
      <c r="C2951" t="s">
        <v>2500</v>
      </c>
      <c r="D2951" t="s">
        <v>3839</v>
      </c>
      <c r="E2951" t="s">
        <v>3840</v>
      </c>
      <c r="F2951" t="s">
        <v>3841</v>
      </c>
      <c r="G2951" t="s">
        <v>3842</v>
      </c>
      <c r="H2951" t="str">
        <f t="shared" si="775"/>
        <v>048314</v>
      </c>
      <c r="I2951" t="s">
        <v>833</v>
      </c>
      <c r="J2951" t="str">
        <f t="shared" si="777"/>
        <v>2015-07-01 00:00:00.0</v>
      </c>
      <c r="K2951" t="s">
        <v>834</v>
      </c>
      <c r="L2951" t="s">
        <v>0</v>
      </c>
      <c r="M2951" t="str">
        <f t="shared" si="764"/>
        <v>048314</v>
      </c>
      <c r="N2951">
        <v>1</v>
      </c>
      <c r="O2951">
        <v>1</v>
      </c>
      <c r="P2951" t="str">
        <f>"07"</f>
        <v>07</v>
      </c>
      <c r="Q2951" t="s">
        <v>835</v>
      </c>
      <c r="S2951" t="s">
        <v>836</v>
      </c>
      <c r="T2951" t="s">
        <v>836</v>
      </c>
      <c r="U2951" t="str">
        <f t="shared" ref="U2951:U2988" si="778">"2500-12-31 00:00:00.0"</f>
        <v>2500-12-31 00:00:00.0</v>
      </c>
      <c r="V2951" t="s">
        <v>837</v>
      </c>
      <c r="W2951" t="str">
        <f>"048314-070417-**-**"</f>
        <v>048314-070417-**-**</v>
      </c>
      <c r="X2951" t="s">
        <v>838</v>
      </c>
      <c r="Y2951">
        <v>1125</v>
      </c>
      <c r="Z2951">
        <v>1125</v>
      </c>
      <c r="AA2951" t="str">
        <f t="shared" si="776"/>
        <v>06/08/2016</v>
      </c>
    </row>
    <row r="2952" spans="1:27" x14ac:dyDescent="0.3">
      <c r="A2952" t="str">
        <f t="shared" si="774"/>
        <v>048314</v>
      </c>
      <c r="B2952" t="str">
        <f t="shared" si="770"/>
        <v>070417</v>
      </c>
      <c r="C2952" t="s">
        <v>3709</v>
      </c>
      <c r="D2952" t="s">
        <v>3839</v>
      </c>
      <c r="E2952" t="s">
        <v>3840</v>
      </c>
      <c r="F2952" t="s">
        <v>3841</v>
      </c>
      <c r="G2952" t="s">
        <v>3842</v>
      </c>
      <c r="H2952" t="str">
        <f t="shared" si="775"/>
        <v>048314</v>
      </c>
      <c r="I2952" t="s">
        <v>833</v>
      </c>
      <c r="J2952" t="str">
        <f t="shared" si="777"/>
        <v>2015-07-01 00:00:00.0</v>
      </c>
      <c r="K2952" t="s">
        <v>834</v>
      </c>
      <c r="L2952" t="s">
        <v>0</v>
      </c>
      <c r="M2952" t="str">
        <f t="shared" si="764"/>
        <v>048314</v>
      </c>
      <c r="N2952">
        <v>1</v>
      </c>
      <c r="O2952">
        <v>1</v>
      </c>
      <c r="P2952" t="str">
        <f>"08"</f>
        <v>08</v>
      </c>
      <c r="Q2952" t="s">
        <v>835</v>
      </c>
      <c r="S2952" t="s">
        <v>836</v>
      </c>
      <c r="T2952" t="s">
        <v>836</v>
      </c>
      <c r="U2952" t="str">
        <f t="shared" si="778"/>
        <v>2500-12-31 00:00:00.0</v>
      </c>
      <c r="V2952" t="s">
        <v>837</v>
      </c>
      <c r="W2952" t="str">
        <f>"048314-070417-**-**"</f>
        <v>048314-070417-**-**</v>
      </c>
      <c r="X2952" t="s">
        <v>838</v>
      </c>
      <c r="Y2952">
        <v>1125</v>
      </c>
      <c r="Z2952">
        <v>1125</v>
      </c>
      <c r="AA2952" t="str">
        <f t="shared" si="776"/>
        <v>06/08/2016</v>
      </c>
    </row>
    <row r="2953" spans="1:27" x14ac:dyDescent="0.3">
      <c r="A2953" t="str">
        <f t="shared" si="774"/>
        <v>048314</v>
      </c>
      <c r="B2953" t="str">
        <f t="shared" si="770"/>
        <v>070417</v>
      </c>
      <c r="C2953" t="s">
        <v>2735</v>
      </c>
      <c r="D2953" t="s">
        <v>3839</v>
      </c>
      <c r="E2953" t="s">
        <v>3840</v>
      </c>
      <c r="F2953" t="s">
        <v>3841</v>
      </c>
      <c r="G2953" t="s">
        <v>3842</v>
      </c>
      <c r="H2953" t="str">
        <f t="shared" si="775"/>
        <v>048314</v>
      </c>
      <c r="I2953" t="s">
        <v>833</v>
      </c>
      <c r="J2953" t="str">
        <f t="shared" si="777"/>
        <v>2015-07-01 00:00:00.0</v>
      </c>
      <c r="K2953" t="s">
        <v>834</v>
      </c>
      <c r="L2953" t="s">
        <v>0</v>
      </c>
      <c r="M2953" t="str">
        <f t="shared" si="764"/>
        <v>048314</v>
      </c>
      <c r="N2953">
        <v>1</v>
      </c>
      <c r="O2953">
        <v>1</v>
      </c>
      <c r="P2953" t="str">
        <f>"07"</f>
        <v>07</v>
      </c>
      <c r="Q2953" t="str">
        <f>"10"</f>
        <v>10</v>
      </c>
      <c r="R2953" t="str">
        <f>"2"</f>
        <v>2</v>
      </c>
      <c r="S2953" t="s">
        <v>836</v>
      </c>
      <c r="T2953" t="s">
        <v>836</v>
      </c>
      <c r="U2953" t="str">
        <f t="shared" si="778"/>
        <v>2500-12-31 00:00:00.0</v>
      </c>
      <c r="V2953" t="s">
        <v>837</v>
      </c>
      <c r="W2953" t="str">
        <f>"048314-070417-**-**"</f>
        <v>048314-070417-**-**</v>
      </c>
      <c r="X2953" t="s">
        <v>838</v>
      </c>
      <c r="Y2953">
        <v>1125</v>
      </c>
      <c r="Z2953">
        <v>1125</v>
      </c>
      <c r="AA2953" t="str">
        <f t="shared" si="776"/>
        <v>06/08/2016</v>
      </c>
    </row>
    <row r="2954" spans="1:27" x14ac:dyDescent="0.3">
      <c r="A2954" t="str">
        <f t="shared" si="774"/>
        <v>048314</v>
      </c>
      <c r="B2954" t="str">
        <f t="shared" si="770"/>
        <v>070417</v>
      </c>
      <c r="C2954" t="s">
        <v>1905</v>
      </c>
      <c r="D2954" t="s">
        <v>3839</v>
      </c>
      <c r="E2954" t="s">
        <v>3840</v>
      </c>
      <c r="F2954" t="s">
        <v>3841</v>
      </c>
      <c r="G2954" t="s">
        <v>3842</v>
      </c>
      <c r="H2954" t="str">
        <f t="shared" si="775"/>
        <v>048314</v>
      </c>
      <c r="I2954" t="s">
        <v>833</v>
      </c>
      <c r="J2954" t="str">
        <f t="shared" si="777"/>
        <v>2015-07-01 00:00:00.0</v>
      </c>
      <c r="K2954" t="s">
        <v>834</v>
      </c>
      <c r="L2954" t="s">
        <v>0</v>
      </c>
      <c r="M2954" t="str">
        <f t="shared" si="764"/>
        <v>048314</v>
      </c>
      <c r="N2954">
        <v>1</v>
      </c>
      <c r="O2954">
        <v>1</v>
      </c>
      <c r="P2954" t="str">
        <f>"09"</f>
        <v>09</v>
      </c>
      <c r="Q2954" t="s">
        <v>835</v>
      </c>
      <c r="S2954" t="s">
        <v>836</v>
      </c>
      <c r="T2954" t="s">
        <v>836</v>
      </c>
      <c r="U2954" t="str">
        <f t="shared" si="778"/>
        <v>2500-12-31 00:00:00.0</v>
      </c>
      <c r="V2954" t="s">
        <v>837</v>
      </c>
      <c r="W2954" t="str">
        <f>"048314-004796-**-**"</f>
        <v>048314-004796-**-**</v>
      </c>
      <c r="X2954" t="s">
        <v>838</v>
      </c>
      <c r="Y2954">
        <v>1254.5</v>
      </c>
      <c r="Z2954">
        <v>1254.5</v>
      </c>
      <c r="AA2954" t="str">
        <f t="shared" si="776"/>
        <v>06/08/2016</v>
      </c>
    </row>
    <row r="2955" spans="1:27" x14ac:dyDescent="0.3">
      <c r="A2955" t="str">
        <f t="shared" si="774"/>
        <v>048314</v>
      </c>
      <c r="B2955" t="str">
        <f t="shared" si="770"/>
        <v>070417</v>
      </c>
      <c r="C2955" t="s">
        <v>2383</v>
      </c>
      <c r="D2955" t="s">
        <v>3839</v>
      </c>
      <c r="E2955" t="s">
        <v>3840</v>
      </c>
      <c r="F2955" t="s">
        <v>3841</v>
      </c>
      <c r="G2955" t="s">
        <v>3842</v>
      </c>
      <c r="H2955" t="str">
        <f t="shared" si="775"/>
        <v>048314</v>
      </c>
      <c r="I2955" t="s">
        <v>833</v>
      </c>
      <c r="J2955" t="str">
        <f t="shared" si="777"/>
        <v>2015-07-01 00:00:00.0</v>
      </c>
      <c r="K2955" t="s">
        <v>834</v>
      </c>
      <c r="L2955" t="s">
        <v>0</v>
      </c>
      <c r="M2955" t="str">
        <f t="shared" si="764"/>
        <v>048314</v>
      </c>
      <c r="N2955">
        <v>1</v>
      </c>
      <c r="O2955">
        <v>1</v>
      </c>
      <c r="P2955" t="str">
        <f>"07"</f>
        <v>07</v>
      </c>
      <c r="Q2955" t="s">
        <v>835</v>
      </c>
      <c r="S2955" t="s">
        <v>836</v>
      </c>
      <c r="T2955" t="s">
        <v>836</v>
      </c>
      <c r="U2955" t="str">
        <f t="shared" si="778"/>
        <v>2500-12-31 00:00:00.0</v>
      </c>
      <c r="V2955" t="s">
        <v>837</v>
      </c>
      <c r="W2955" t="str">
        <f t="shared" ref="W2955:W2960" si="779">"048314-070417-**-**"</f>
        <v>048314-070417-**-**</v>
      </c>
      <c r="X2955" t="s">
        <v>838</v>
      </c>
      <c r="Y2955">
        <v>1125</v>
      </c>
      <c r="Z2955">
        <v>1125</v>
      </c>
      <c r="AA2955" t="str">
        <f t="shared" si="776"/>
        <v>06/08/2016</v>
      </c>
    </row>
    <row r="2956" spans="1:27" x14ac:dyDescent="0.3">
      <c r="A2956" t="str">
        <f t="shared" si="774"/>
        <v>048314</v>
      </c>
      <c r="B2956" t="str">
        <f t="shared" si="770"/>
        <v>070417</v>
      </c>
      <c r="C2956" t="s">
        <v>2162</v>
      </c>
      <c r="D2956" t="s">
        <v>3839</v>
      </c>
      <c r="E2956" t="s">
        <v>3840</v>
      </c>
      <c r="F2956" t="s">
        <v>3841</v>
      </c>
      <c r="G2956" t="s">
        <v>3842</v>
      </c>
      <c r="H2956" t="str">
        <f t="shared" si="775"/>
        <v>048314</v>
      </c>
      <c r="I2956" t="s">
        <v>833</v>
      </c>
      <c r="J2956" t="str">
        <f t="shared" si="777"/>
        <v>2015-07-01 00:00:00.0</v>
      </c>
      <c r="K2956" t="s">
        <v>834</v>
      </c>
      <c r="L2956" t="s">
        <v>0</v>
      </c>
      <c r="M2956" t="str">
        <f t="shared" si="764"/>
        <v>048314</v>
      </c>
      <c r="N2956">
        <v>1</v>
      </c>
      <c r="O2956">
        <v>1</v>
      </c>
      <c r="P2956" t="str">
        <f>"08"</f>
        <v>08</v>
      </c>
      <c r="Q2956" t="s">
        <v>835</v>
      </c>
      <c r="S2956" t="s">
        <v>836</v>
      </c>
      <c r="T2956" t="s">
        <v>836</v>
      </c>
      <c r="U2956" t="str">
        <f t="shared" si="778"/>
        <v>2500-12-31 00:00:00.0</v>
      </c>
      <c r="V2956" t="s">
        <v>837</v>
      </c>
      <c r="W2956" t="str">
        <f t="shared" si="779"/>
        <v>048314-070417-**-**</v>
      </c>
      <c r="X2956" t="s">
        <v>838</v>
      </c>
      <c r="Y2956">
        <v>1125</v>
      </c>
      <c r="Z2956">
        <v>1125</v>
      </c>
      <c r="AA2956" t="str">
        <f t="shared" si="776"/>
        <v>06/08/2016</v>
      </c>
    </row>
    <row r="2957" spans="1:27" x14ac:dyDescent="0.3">
      <c r="A2957" t="str">
        <f t="shared" si="774"/>
        <v>048314</v>
      </c>
      <c r="B2957" t="str">
        <f t="shared" si="770"/>
        <v>070417</v>
      </c>
      <c r="C2957" t="s">
        <v>2736</v>
      </c>
      <c r="D2957" t="s">
        <v>3839</v>
      </c>
      <c r="E2957" t="s">
        <v>3840</v>
      </c>
      <c r="F2957" t="s">
        <v>3841</v>
      </c>
      <c r="G2957" t="s">
        <v>3842</v>
      </c>
      <c r="H2957" t="str">
        <f t="shared" si="775"/>
        <v>048314</v>
      </c>
      <c r="I2957" t="s">
        <v>833</v>
      </c>
      <c r="J2957" t="str">
        <f t="shared" si="777"/>
        <v>2015-07-01 00:00:00.0</v>
      </c>
      <c r="K2957" t="s">
        <v>834</v>
      </c>
      <c r="L2957" t="s">
        <v>0</v>
      </c>
      <c r="M2957" t="str">
        <f t="shared" si="764"/>
        <v>048314</v>
      </c>
      <c r="N2957">
        <v>1</v>
      </c>
      <c r="O2957">
        <v>1</v>
      </c>
      <c r="P2957" t="str">
        <f>"07"</f>
        <v>07</v>
      </c>
      <c r="Q2957" t="s">
        <v>835</v>
      </c>
      <c r="S2957" t="s">
        <v>836</v>
      </c>
      <c r="T2957" t="s">
        <v>836</v>
      </c>
      <c r="U2957" t="str">
        <f t="shared" si="778"/>
        <v>2500-12-31 00:00:00.0</v>
      </c>
      <c r="V2957" t="s">
        <v>837</v>
      </c>
      <c r="W2957" t="str">
        <f t="shared" si="779"/>
        <v>048314-070417-**-**</v>
      </c>
      <c r="X2957" t="s">
        <v>838</v>
      </c>
      <c r="Y2957">
        <v>1125</v>
      </c>
      <c r="Z2957">
        <v>1125</v>
      </c>
      <c r="AA2957" t="str">
        <f t="shared" si="776"/>
        <v>06/08/2016</v>
      </c>
    </row>
    <row r="2958" spans="1:27" x14ac:dyDescent="0.3">
      <c r="A2958" t="str">
        <f t="shared" si="774"/>
        <v>048314</v>
      </c>
      <c r="B2958" t="str">
        <f t="shared" si="770"/>
        <v>070417</v>
      </c>
      <c r="C2958" t="s">
        <v>3503</v>
      </c>
      <c r="D2958" t="s">
        <v>3839</v>
      </c>
      <c r="E2958" t="s">
        <v>3840</v>
      </c>
      <c r="F2958" t="s">
        <v>3841</v>
      </c>
      <c r="G2958" t="s">
        <v>3842</v>
      </c>
      <c r="H2958" t="str">
        <f t="shared" si="775"/>
        <v>048314</v>
      </c>
      <c r="I2958" t="s">
        <v>833</v>
      </c>
      <c r="J2958" t="str">
        <f t="shared" si="777"/>
        <v>2015-07-01 00:00:00.0</v>
      </c>
      <c r="K2958" t="s">
        <v>834</v>
      </c>
      <c r="L2958" t="s">
        <v>0</v>
      </c>
      <c r="M2958" t="str">
        <f t="shared" si="764"/>
        <v>048314</v>
      </c>
      <c r="N2958">
        <v>1</v>
      </c>
      <c r="O2958">
        <v>1</v>
      </c>
      <c r="P2958" t="str">
        <f>"07"</f>
        <v>07</v>
      </c>
      <c r="Q2958" t="s">
        <v>835</v>
      </c>
      <c r="S2958" t="s">
        <v>836</v>
      </c>
      <c r="T2958" t="s">
        <v>836</v>
      </c>
      <c r="U2958" t="str">
        <f t="shared" si="778"/>
        <v>2500-12-31 00:00:00.0</v>
      </c>
      <c r="V2958" t="s">
        <v>837</v>
      </c>
      <c r="W2958" t="str">
        <f t="shared" si="779"/>
        <v>048314-070417-**-**</v>
      </c>
      <c r="X2958" t="s">
        <v>838</v>
      </c>
      <c r="Y2958">
        <v>1125</v>
      </c>
      <c r="Z2958">
        <v>1125</v>
      </c>
      <c r="AA2958" t="str">
        <f t="shared" si="776"/>
        <v>06/08/2016</v>
      </c>
    </row>
    <row r="2959" spans="1:27" x14ac:dyDescent="0.3">
      <c r="A2959" t="str">
        <f t="shared" si="774"/>
        <v>048314</v>
      </c>
      <c r="B2959" t="str">
        <f t="shared" si="770"/>
        <v>070417</v>
      </c>
      <c r="C2959" t="s">
        <v>2384</v>
      </c>
      <c r="D2959" t="s">
        <v>3839</v>
      </c>
      <c r="E2959" t="s">
        <v>3840</v>
      </c>
      <c r="F2959" t="s">
        <v>3841</v>
      </c>
      <c r="G2959" t="s">
        <v>3842</v>
      </c>
      <c r="H2959" t="str">
        <f t="shared" si="775"/>
        <v>048314</v>
      </c>
      <c r="I2959" t="s">
        <v>833</v>
      </c>
      <c r="J2959" t="str">
        <f t="shared" si="777"/>
        <v>2015-07-01 00:00:00.0</v>
      </c>
      <c r="K2959" t="s">
        <v>834</v>
      </c>
      <c r="L2959" t="s">
        <v>0</v>
      </c>
      <c r="M2959" t="str">
        <f t="shared" si="764"/>
        <v>048314</v>
      </c>
      <c r="N2959">
        <v>1</v>
      </c>
      <c r="O2959">
        <v>1</v>
      </c>
      <c r="P2959" t="str">
        <f>"08"</f>
        <v>08</v>
      </c>
      <c r="Q2959" t="s">
        <v>835</v>
      </c>
      <c r="S2959" t="s">
        <v>836</v>
      </c>
      <c r="T2959" t="s">
        <v>836</v>
      </c>
      <c r="U2959" t="str">
        <f t="shared" si="778"/>
        <v>2500-12-31 00:00:00.0</v>
      </c>
      <c r="V2959" t="s">
        <v>837</v>
      </c>
      <c r="W2959" t="str">
        <f t="shared" si="779"/>
        <v>048314-070417-**-**</v>
      </c>
      <c r="X2959" t="s">
        <v>838</v>
      </c>
      <c r="Y2959">
        <v>1125</v>
      </c>
      <c r="Z2959">
        <v>1125</v>
      </c>
      <c r="AA2959" t="str">
        <f t="shared" si="776"/>
        <v>06/08/2016</v>
      </c>
    </row>
    <row r="2960" spans="1:27" x14ac:dyDescent="0.3">
      <c r="A2960" t="str">
        <f t="shared" si="774"/>
        <v>048314</v>
      </c>
      <c r="B2960" t="str">
        <f t="shared" si="770"/>
        <v>070417</v>
      </c>
      <c r="C2960" t="s">
        <v>2188</v>
      </c>
      <c r="D2960" t="s">
        <v>3839</v>
      </c>
      <c r="E2960" t="s">
        <v>3840</v>
      </c>
      <c r="F2960" t="s">
        <v>3841</v>
      </c>
      <c r="G2960" t="s">
        <v>3842</v>
      </c>
      <c r="H2960" t="str">
        <f t="shared" si="775"/>
        <v>048314</v>
      </c>
      <c r="I2960" t="s">
        <v>833</v>
      </c>
      <c r="J2960" t="str">
        <f t="shared" si="777"/>
        <v>2015-07-01 00:00:00.0</v>
      </c>
      <c r="K2960" t="s">
        <v>834</v>
      </c>
      <c r="L2960" t="s">
        <v>0</v>
      </c>
      <c r="M2960" t="str">
        <f t="shared" si="764"/>
        <v>048314</v>
      </c>
      <c r="N2960">
        <v>1</v>
      </c>
      <c r="O2960">
        <v>1</v>
      </c>
      <c r="P2960" t="str">
        <f>"08"</f>
        <v>08</v>
      </c>
      <c r="Q2960" t="s">
        <v>835</v>
      </c>
      <c r="S2960" t="s">
        <v>836</v>
      </c>
      <c r="T2960" t="s">
        <v>836</v>
      </c>
      <c r="U2960" t="str">
        <f t="shared" si="778"/>
        <v>2500-12-31 00:00:00.0</v>
      </c>
      <c r="V2960" t="s">
        <v>837</v>
      </c>
      <c r="W2960" t="str">
        <f t="shared" si="779"/>
        <v>048314-070417-**-**</v>
      </c>
      <c r="X2960" t="s">
        <v>838</v>
      </c>
      <c r="Y2960">
        <v>1125</v>
      </c>
      <c r="Z2960">
        <v>1125</v>
      </c>
      <c r="AA2960" t="str">
        <f t="shared" si="776"/>
        <v>06/08/2016</v>
      </c>
    </row>
    <row r="2961" spans="1:27" x14ac:dyDescent="0.3">
      <c r="A2961" t="str">
        <f t="shared" si="774"/>
        <v>048314</v>
      </c>
      <c r="B2961" t="str">
        <f t="shared" si="770"/>
        <v>070417</v>
      </c>
      <c r="C2961" t="s">
        <v>1965</v>
      </c>
      <c r="D2961" t="s">
        <v>3839</v>
      </c>
      <c r="E2961" t="s">
        <v>3840</v>
      </c>
      <c r="F2961" t="s">
        <v>3841</v>
      </c>
      <c r="G2961" t="s">
        <v>3842</v>
      </c>
      <c r="H2961" t="str">
        <f t="shared" si="775"/>
        <v>048314</v>
      </c>
      <c r="I2961" t="s">
        <v>833</v>
      </c>
      <c r="J2961" t="str">
        <f t="shared" si="777"/>
        <v>2015-07-01 00:00:00.0</v>
      </c>
      <c r="K2961" t="s">
        <v>834</v>
      </c>
      <c r="L2961" t="s">
        <v>0</v>
      </c>
      <c r="M2961" t="str">
        <f t="shared" si="764"/>
        <v>048314</v>
      </c>
      <c r="N2961">
        <v>1</v>
      </c>
      <c r="O2961">
        <v>1</v>
      </c>
      <c r="P2961" t="str">
        <f>"09"</f>
        <v>09</v>
      </c>
      <c r="Q2961" t="s">
        <v>835</v>
      </c>
      <c r="S2961" t="s">
        <v>836</v>
      </c>
      <c r="T2961" t="s">
        <v>836</v>
      </c>
      <c r="U2961" t="str">
        <f t="shared" si="778"/>
        <v>2500-12-31 00:00:00.0</v>
      </c>
      <c r="V2961" t="s">
        <v>837</v>
      </c>
      <c r="W2961" t="str">
        <f>"048314-004796-**-**"</f>
        <v>048314-004796-**-**</v>
      </c>
      <c r="X2961" t="s">
        <v>838</v>
      </c>
      <c r="Y2961">
        <v>1254.5</v>
      </c>
      <c r="Z2961">
        <v>1254.5</v>
      </c>
      <c r="AA2961" t="str">
        <f t="shared" si="776"/>
        <v>06/08/2016</v>
      </c>
    </row>
    <row r="2962" spans="1:27" x14ac:dyDescent="0.3">
      <c r="A2962" t="str">
        <f t="shared" si="774"/>
        <v>048314</v>
      </c>
      <c r="B2962" t="str">
        <f t="shared" si="770"/>
        <v>070417</v>
      </c>
      <c r="C2962" t="s">
        <v>2220</v>
      </c>
      <c r="D2962" t="s">
        <v>3839</v>
      </c>
      <c r="E2962" t="s">
        <v>3840</v>
      </c>
      <c r="F2962" t="s">
        <v>3841</v>
      </c>
      <c r="G2962" t="s">
        <v>3842</v>
      </c>
      <c r="H2962" t="str">
        <f t="shared" si="775"/>
        <v>048314</v>
      </c>
      <c r="I2962" t="s">
        <v>833</v>
      </c>
      <c r="J2962" t="str">
        <f t="shared" si="777"/>
        <v>2015-07-01 00:00:00.0</v>
      </c>
      <c r="K2962" t="s">
        <v>834</v>
      </c>
      <c r="L2962" t="s">
        <v>0</v>
      </c>
      <c r="M2962" t="str">
        <f t="shared" si="764"/>
        <v>048314</v>
      </c>
      <c r="N2962">
        <v>1</v>
      </c>
      <c r="O2962">
        <v>1</v>
      </c>
      <c r="P2962" t="str">
        <f>"08"</f>
        <v>08</v>
      </c>
      <c r="Q2962" t="str">
        <f>"05"</f>
        <v>05</v>
      </c>
      <c r="R2962" t="str">
        <f>"1"</f>
        <v>1</v>
      </c>
      <c r="S2962" t="s">
        <v>836</v>
      </c>
      <c r="T2962" t="s">
        <v>836</v>
      </c>
      <c r="U2962" t="str">
        <f t="shared" si="778"/>
        <v>2500-12-31 00:00:00.0</v>
      </c>
      <c r="V2962" t="s">
        <v>837</v>
      </c>
      <c r="W2962" t="str">
        <f>"048314-070417-**-**"</f>
        <v>048314-070417-**-**</v>
      </c>
      <c r="X2962" t="s">
        <v>838</v>
      </c>
      <c r="Y2962">
        <v>1125</v>
      </c>
      <c r="Z2962">
        <v>1125</v>
      </c>
      <c r="AA2962" t="str">
        <f t="shared" si="776"/>
        <v>06/08/2016</v>
      </c>
    </row>
    <row r="2963" spans="1:27" x14ac:dyDescent="0.3">
      <c r="A2963" t="str">
        <f t="shared" si="774"/>
        <v>048314</v>
      </c>
      <c r="B2963" t="str">
        <f t="shared" si="770"/>
        <v>070417</v>
      </c>
      <c r="C2963" t="s">
        <v>2385</v>
      </c>
      <c r="D2963" t="s">
        <v>3839</v>
      </c>
      <c r="E2963" t="s">
        <v>3840</v>
      </c>
      <c r="F2963" t="s">
        <v>3841</v>
      </c>
      <c r="G2963" t="s">
        <v>3842</v>
      </c>
      <c r="H2963" t="str">
        <f t="shared" si="775"/>
        <v>048314</v>
      </c>
      <c r="I2963" t="s">
        <v>833</v>
      </c>
      <c r="J2963" t="str">
        <f t="shared" si="777"/>
        <v>2015-07-01 00:00:00.0</v>
      </c>
      <c r="K2963" t="s">
        <v>834</v>
      </c>
      <c r="L2963" t="s">
        <v>0</v>
      </c>
      <c r="M2963" t="str">
        <f t="shared" si="764"/>
        <v>048314</v>
      </c>
      <c r="N2963">
        <v>1</v>
      </c>
      <c r="O2963">
        <v>1</v>
      </c>
      <c r="P2963" t="str">
        <f>"07"</f>
        <v>07</v>
      </c>
      <c r="Q2963" t="s">
        <v>835</v>
      </c>
      <c r="S2963" t="s">
        <v>836</v>
      </c>
      <c r="T2963" t="s">
        <v>836</v>
      </c>
      <c r="U2963" t="str">
        <f t="shared" si="778"/>
        <v>2500-12-31 00:00:00.0</v>
      </c>
      <c r="V2963" t="s">
        <v>837</v>
      </c>
      <c r="W2963" t="str">
        <f>"048314-070417-**-**"</f>
        <v>048314-070417-**-**</v>
      </c>
      <c r="X2963" t="s">
        <v>838</v>
      </c>
      <c r="Y2963">
        <v>1125</v>
      </c>
      <c r="Z2963">
        <v>1125</v>
      </c>
      <c r="AA2963" t="str">
        <f t="shared" si="776"/>
        <v>06/08/2016</v>
      </c>
    </row>
    <row r="2964" spans="1:27" x14ac:dyDescent="0.3">
      <c r="A2964" t="str">
        <f t="shared" si="774"/>
        <v>048314</v>
      </c>
      <c r="B2964" t="str">
        <f t="shared" si="770"/>
        <v>070417</v>
      </c>
      <c r="C2964" t="s">
        <v>2221</v>
      </c>
      <c r="D2964" t="s">
        <v>3839</v>
      </c>
      <c r="E2964" t="s">
        <v>3840</v>
      </c>
      <c r="F2964" t="s">
        <v>3841</v>
      </c>
      <c r="G2964" t="s">
        <v>3842</v>
      </c>
      <c r="H2964" t="str">
        <f t="shared" si="775"/>
        <v>048314</v>
      </c>
      <c r="I2964" t="s">
        <v>833</v>
      </c>
      <c r="J2964" t="str">
        <f t="shared" si="777"/>
        <v>2015-07-01 00:00:00.0</v>
      </c>
      <c r="K2964" t="s">
        <v>834</v>
      </c>
      <c r="L2964" t="s">
        <v>0</v>
      </c>
      <c r="M2964" t="str">
        <f t="shared" si="764"/>
        <v>048314</v>
      </c>
      <c r="N2964">
        <v>1</v>
      </c>
      <c r="O2964">
        <v>1</v>
      </c>
      <c r="P2964" t="str">
        <f>"09"</f>
        <v>09</v>
      </c>
      <c r="Q2964" t="s">
        <v>835</v>
      </c>
      <c r="S2964" t="s">
        <v>836</v>
      </c>
      <c r="T2964" t="s">
        <v>836</v>
      </c>
      <c r="U2964" t="str">
        <f t="shared" si="778"/>
        <v>2500-12-31 00:00:00.0</v>
      </c>
      <c r="V2964" t="s">
        <v>837</v>
      </c>
      <c r="W2964" t="str">
        <f>"048314-004796-**-**"</f>
        <v>048314-004796-**-**</v>
      </c>
      <c r="X2964" t="s">
        <v>838</v>
      </c>
      <c r="Y2964">
        <v>1254.5</v>
      </c>
      <c r="Z2964">
        <v>1254.5</v>
      </c>
      <c r="AA2964" t="str">
        <f t="shared" si="776"/>
        <v>06/08/2016</v>
      </c>
    </row>
    <row r="2965" spans="1:27" x14ac:dyDescent="0.3">
      <c r="A2965" t="str">
        <f t="shared" si="774"/>
        <v>048314</v>
      </c>
      <c r="B2965" t="str">
        <f t="shared" si="770"/>
        <v>070417</v>
      </c>
      <c r="C2965" t="s">
        <v>1966</v>
      </c>
      <c r="D2965" t="s">
        <v>3839</v>
      </c>
      <c r="E2965" t="s">
        <v>3840</v>
      </c>
      <c r="F2965" t="s">
        <v>3841</v>
      </c>
      <c r="G2965" t="s">
        <v>3842</v>
      </c>
      <c r="H2965" t="str">
        <f t="shared" si="775"/>
        <v>048314</v>
      </c>
      <c r="I2965" t="s">
        <v>833</v>
      </c>
      <c r="J2965" t="str">
        <f t="shared" si="777"/>
        <v>2015-07-01 00:00:00.0</v>
      </c>
      <c r="K2965" t="s">
        <v>834</v>
      </c>
      <c r="L2965" t="s">
        <v>0</v>
      </c>
      <c r="M2965" t="str">
        <f t="shared" si="764"/>
        <v>048314</v>
      </c>
      <c r="N2965">
        <v>1</v>
      </c>
      <c r="O2965">
        <v>1</v>
      </c>
      <c r="P2965" t="str">
        <f>"09"</f>
        <v>09</v>
      </c>
      <c r="Q2965" t="s">
        <v>835</v>
      </c>
      <c r="S2965" t="s">
        <v>836</v>
      </c>
      <c r="T2965" t="s">
        <v>836</v>
      </c>
      <c r="U2965" t="str">
        <f t="shared" si="778"/>
        <v>2500-12-31 00:00:00.0</v>
      </c>
      <c r="V2965" t="s">
        <v>837</v>
      </c>
      <c r="W2965" t="str">
        <f>"048314-004796-**-**"</f>
        <v>048314-004796-**-**</v>
      </c>
      <c r="X2965" t="s">
        <v>838</v>
      </c>
      <c r="Y2965">
        <v>1254.5</v>
      </c>
      <c r="Z2965">
        <v>1254.5</v>
      </c>
      <c r="AA2965" t="str">
        <f t="shared" si="776"/>
        <v>06/08/2016</v>
      </c>
    </row>
    <row r="2966" spans="1:27" x14ac:dyDescent="0.3">
      <c r="A2966" t="str">
        <f t="shared" si="774"/>
        <v>048314</v>
      </c>
      <c r="B2966" t="str">
        <f t="shared" si="770"/>
        <v>070417</v>
      </c>
      <c r="C2966" t="s">
        <v>3076</v>
      </c>
      <c r="D2966" t="s">
        <v>3839</v>
      </c>
      <c r="E2966" t="s">
        <v>3840</v>
      </c>
      <c r="F2966" t="s">
        <v>3841</v>
      </c>
      <c r="G2966" t="s">
        <v>3842</v>
      </c>
      <c r="H2966" t="str">
        <f t="shared" si="775"/>
        <v>048314</v>
      </c>
      <c r="I2966" t="s">
        <v>833</v>
      </c>
      <c r="J2966" t="str">
        <f t="shared" si="777"/>
        <v>2015-07-01 00:00:00.0</v>
      </c>
      <c r="K2966" t="s">
        <v>834</v>
      </c>
      <c r="L2966" t="s">
        <v>0</v>
      </c>
      <c r="M2966" t="str">
        <f t="shared" si="764"/>
        <v>048314</v>
      </c>
      <c r="N2966">
        <v>1</v>
      </c>
      <c r="O2966">
        <v>1</v>
      </c>
      <c r="P2966" t="str">
        <f>"06"</f>
        <v>06</v>
      </c>
      <c r="Q2966" t="s">
        <v>835</v>
      </c>
      <c r="S2966" t="s">
        <v>836</v>
      </c>
      <c r="T2966" t="s">
        <v>836</v>
      </c>
      <c r="U2966" t="str">
        <f t="shared" si="778"/>
        <v>2500-12-31 00:00:00.0</v>
      </c>
      <c r="V2966" t="s">
        <v>837</v>
      </c>
      <c r="W2966" t="str">
        <f>"048314-070417-**-**"</f>
        <v>048314-070417-**-**</v>
      </c>
      <c r="X2966" t="s">
        <v>838</v>
      </c>
      <c r="Y2966">
        <v>1125</v>
      </c>
      <c r="Z2966">
        <v>1125</v>
      </c>
      <c r="AA2966" t="str">
        <f t="shared" si="776"/>
        <v>06/08/2016</v>
      </c>
    </row>
    <row r="2967" spans="1:27" x14ac:dyDescent="0.3">
      <c r="A2967" t="str">
        <f t="shared" si="774"/>
        <v>048314</v>
      </c>
      <c r="B2967" t="str">
        <f t="shared" si="770"/>
        <v>070417</v>
      </c>
      <c r="C2967" t="s">
        <v>2222</v>
      </c>
      <c r="D2967" t="s">
        <v>3839</v>
      </c>
      <c r="E2967" t="s">
        <v>3840</v>
      </c>
      <c r="F2967" t="s">
        <v>3841</v>
      </c>
      <c r="G2967" t="s">
        <v>3842</v>
      </c>
      <c r="H2967" t="str">
        <f t="shared" si="775"/>
        <v>048314</v>
      </c>
      <c r="I2967" t="s">
        <v>833</v>
      </c>
      <c r="J2967" t="str">
        <f t="shared" si="777"/>
        <v>2015-07-01 00:00:00.0</v>
      </c>
      <c r="K2967" t="s">
        <v>834</v>
      </c>
      <c r="L2967" t="s">
        <v>0</v>
      </c>
      <c r="M2967" t="str">
        <f t="shared" ref="M2967:M3030" si="780">"048314"</f>
        <v>048314</v>
      </c>
      <c r="N2967">
        <v>1</v>
      </c>
      <c r="O2967">
        <v>1</v>
      </c>
      <c r="P2967" t="str">
        <f>"09"</f>
        <v>09</v>
      </c>
      <c r="Q2967" t="s">
        <v>835</v>
      </c>
      <c r="S2967" t="s">
        <v>836</v>
      </c>
      <c r="T2967" t="s">
        <v>836</v>
      </c>
      <c r="U2967" t="str">
        <f t="shared" si="778"/>
        <v>2500-12-31 00:00:00.0</v>
      </c>
      <c r="V2967" t="s">
        <v>837</v>
      </c>
      <c r="W2967" t="str">
        <f>"048314-004796-**-**"</f>
        <v>048314-004796-**-**</v>
      </c>
      <c r="X2967" t="s">
        <v>838</v>
      </c>
      <c r="Y2967">
        <v>1254.5</v>
      </c>
      <c r="Z2967">
        <v>1254.5</v>
      </c>
      <c r="AA2967" t="str">
        <f t="shared" si="776"/>
        <v>06/08/2016</v>
      </c>
    </row>
    <row r="2968" spans="1:27" x14ac:dyDescent="0.3">
      <c r="A2968" t="str">
        <f t="shared" si="774"/>
        <v>048314</v>
      </c>
      <c r="B2968" t="str">
        <f t="shared" si="770"/>
        <v>070417</v>
      </c>
      <c r="C2968" t="s">
        <v>2163</v>
      </c>
      <c r="D2968" t="s">
        <v>3839</v>
      </c>
      <c r="E2968" t="s">
        <v>3840</v>
      </c>
      <c r="F2968" t="s">
        <v>3841</v>
      </c>
      <c r="G2968" t="s">
        <v>3842</v>
      </c>
      <c r="H2968" t="str">
        <f t="shared" si="775"/>
        <v>048314</v>
      </c>
      <c r="I2968" t="s">
        <v>833</v>
      </c>
      <c r="J2968" t="str">
        <f t="shared" si="777"/>
        <v>2015-07-01 00:00:00.0</v>
      </c>
      <c r="K2968" t="s">
        <v>834</v>
      </c>
      <c r="L2968" t="s">
        <v>0</v>
      </c>
      <c r="M2968" t="str">
        <f t="shared" si="780"/>
        <v>048314</v>
      </c>
      <c r="N2968">
        <v>1</v>
      </c>
      <c r="O2968">
        <v>1</v>
      </c>
      <c r="P2968" t="str">
        <f>"08"</f>
        <v>08</v>
      </c>
      <c r="Q2968" t="s">
        <v>835</v>
      </c>
      <c r="S2968" t="s">
        <v>836</v>
      </c>
      <c r="T2968" t="s">
        <v>836</v>
      </c>
      <c r="U2968" t="str">
        <f t="shared" si="778"/>
        <v>2500-12-31 00:00:00.0</v>
      </c>
      <c r="V2968" t="s">
        <v>837</v>
      </c>
      <c r="W2968" t="str">
        <f>"048314-070417-**-**"</f>
        <v>048314-070417-**-**</v>
      </c>
      <c r="X2968" t="s">
        <v>838</v>
      </c>
      <c r="Y2968">
        <v>1125</v>
      </c>
      <c r="Z2968">
        <v>1125</v>
      </c>
      <c r="AA2968" t="str">
        <f t="shared" si="776"/>
        <v>06/08/2016</v>
      </c>
    </row>
    <row r="2969" spans="1:27" x14ac:dyDescent="0.3">
      <c r="A2969" t="str">
        <f t="shared" si="774"/>
        <v>048314</v>
      </c>
      <c r="B2969" t="str">
        <f t="shared" si="770"/>
        <v>070417</v>
      </c>
      <c r="C2969" t="s">
        <v>2804</v>
      </c>
      <c r="D2969" t="s">
        <v>3839</v>
      </c>
      <c r="E2969" t="s">
        <v>3840</v>
      </c>
      <c r="F2969" t="s">
        <v>3841</v>
      </c>
      <c r="G2969" t="s">
        <v>3842</v>
      </c>
      <c r="H2969" t="str">
        <f t="shared" si="775"/>
        <v>048314</v>
      </c>
      <c r="I2969" t="s">
        <v>833</v>
      </c>
      <c r="J2969" t="str">
        <f>"2016-01-26 00:00:00.0"</f>
        <v>2016-01-26 00:00:00.0</v>
      </c>
      <c r="K2969" t="s">
        <v>834</v>
      </c>
      <c r="L2969" t="s">
        <v>0</v>
      </c>
      <c r="M2969" t="str">
        <f t="shared" si="780"/>
        <v>048314</v>
      </c>
      <c r="N2969">
        <v>0.48888900000000002</v>
      </c>
      <c r="O2969">
        <v>0.47512100000000002</v>
      </c>
      <c r="P2969" t="str">
        <f>"05"</f>
        <v>05</v>
      </c>
      <c r="Q2969" t="s">
        <v>835</v>
      </c>
      <c r="S2969" t="s">
        <v>836</v>
      </c>
      <c r="T2969" t="s">
        <v>836</v>
      </c>
      <c r="U2969" t="str">
        <f t="shared" si="778"/>
        <v>2500-12-31 00:00:00.0</v>
      </c>
      <c r="V2969" t="s">
        <v>837</v>
      </c>
      <c r="W2969" t="str">
        <f>"048314-070417-**-**"</f>
        <v>048314-070417-**-**</v>
      </c>
      <c r="X2969" t="s">
        <v>838</v>
      </c>
      <c r="Y2969">
        <v>550</v>
      </c>
      <c r="Z2969">
        <v>1125</v>
      </c>
      <c r="AA2969" t="str">
        <f t="shared" si="776"/>
        <v>06/08/2016</v>
      </c>
    </row>
    <row r="2970" spans="1:27" x14ac:dyDescent="0.3">
      <c r="A2970" t="str">
        <f t="shared" si="774"/>
        <v>048314</v>
      </c>
      <c r="B2970" t="str">
        <f t="shared" si="770"/>
        <v>070417</v>
      </c>
      <c r="C2970" t="s">
        <v>917</v>
      </c>
      <c r="D2970" t="s">
        <v>3839</v>
      </c>
      <c r="E2970" t="s">
        <v>3840</v>
      </c>
      <c r="F2970" t="s">
        <v>3841</v>
      </c>
      <c r="G2970" t="s">
        <v>3842</v>
      </c>
      <c r="H2970" t="str">
        <f t="shared" si="775"/>
        <v>048314</v>
      </c>
      <c r="I2970" t="s">
        <v>833</v>
      </c>
      <c r="J2970" t="str">
        <f t="shared" ref="J2970:J2987" si="781">"2015-07-01 00:00:00.0"</f>
        <v>2015-07-01 00:00:00.0</v>
      </c>
      <c r="K2970" t="s">
        <v>834</v>
      </c>
      <c r="L2970" t="s">
        <v>0</v>
      </c>
      <c r="M2970" t="str">
        <f t="shared" si="780"/>
        <v>048314</v>
      </c>
      <c r="N2970">
        <v>1</v>
      </c>
      <c r="O2970">
        <v>1</v>
      </c>
      <c r="P2970" t="str">
        <f>"06"</f>
        <v>06</v>
      </c>
      <c r="Q2970" t="s">
        <v>835</v>
      </c>
      <c r="S2970" t="s">
        <v>836</v>
      </c>
      <c r="T2970" t="s">
        <v>836</v>
      </c>
      <c r="U2970" t="str">
        <f t="shared" si="778"/>
        <v>2500-12-31 00:00:00.0</v>
      </c>
      <c r="V2970" t="s">
        <v>837</v>
      </c>
      <c r="W2970" t="str">
        <f>"048314-070417-**-**"</f>
        <v>048314-070417-**-**</v>
      </c>
      <c r="X2970" t="s">
        <v>838</v>
      </c>
      <c r="Y2970">
        <v>1125</v>
      </c>
      <c r="Z2970">
        <v>1125</v>
      </c>
      <c r="AA2970" t="str">
        <f t="shared" si="776"/>
        <v>06/08/2016</v>
      </c>
    </row>
    <row r="2971" spans="1:27" x14ac:dyDescent="0.3">
      <c r="A2971" t="str">
        <f t="shared" si="774"/>
        <v>048314</v>
      </c>
      <c r="B2971" t="str">
        <f t="shared" si="770"/>
        <v>070417</v>
      </c>
      <c r="C2971" t="s">
        <v>1906</v>
      </c>
      <c r="D2971" t="s">
        <v>3839</v>
      </c>
      <c r="E2971" t="s">
        <v>3840</v>
      </c>
      <c r="F2971" t="s">
        <v>3841</v>
      </c>
      <c r="G2971" t="s">
        <v>3842</v>
      </c>
      <c r="H2971" t="str">
        <f t="shared" si="775"/>
        <v>048314</v>
      </c>
      <c r="I2971" t="s">
        <v>833</v>
      </c>
      <c r="J2971" t="str">
        <f t="shared" si="781"/>
        <v>2015-07-01 00:00:00.0</v>
      </c>
      <c r="K2971" t="s">
        <v>834</v>
      </c>
      <c r="L2971" t="s">
        <v>0</v>
      </c>
      <c r="M2971" t="str">
        <f t="shared" si="780"/>
        <v>048314</v>
      </c>
      <c r="N2971">
        <v>1</v>
      </c>
      <c r="O2971">
        <v>1</v>
      </c>
      <c r="P2971" t="str">
        <f>"09"</f>
        <v>09</v>
      </c>
      <c r="Q2971" t="s">
        <v>835</v>
      </c>
      <c r="S2971" t="s">
        <v>836</v>
      </c>
      <c r="T2971" t="s">
        <v>836</v>
      </c>
      <c r="U2971" t="str">
        <f t="shared" si="778"/>
        <v>2500-12-31 00:00:00.0</v>
      </c>
      <c r="V2971" t="s">
        <v>837</v>
      </c>
      <c r="W2971" t="str">
        <f>"048314-004796-**-**"</f>
        <v>048314-004796-**-**</v>
      </c>
      <c r="X2971" t="s">
        <v>838</v>
      </c>
      <c r="Y2971">
        <v>1254.5</v>
      </c>
      <c r="Z2971">
        <v>1254.5</v>
      </c>
      <c r="AA2971" t="str">
        <f t="shared" si="776"/>
        <v>06/08/2016</v>
      </c>
    </row>
    <row r="2972" spans="1:27" x14ac:dyDescent="0.3">
      <c r="A2972" t="str">
        <f t="shared" si="774"/>
        <v>048314</v>
      </c>
      <c r="B2972" t="str">
        <f t="shared" si="770"/>
        <v>070417</v>
      </c>
      <c r="C2972" t="s">
        <v>2501</v>
      </c>
      <c r="D2972" t="s">
        <v>3839</v>
      </c>
      <c r="E2972" t="s">
        <v>3840</v>
      </c>
      <c r="F2972" t="s">
        <v>3841</v>
      </c>
      <c r="G2972" t="s">
        <v>3842</v>
      </c>
      <c r="H2972" t="str">
        <f t="shared" si="775"/>
        <v>048314</v>
      </c>
      <c r="I2972" t="s">
        <v>833</v>
      </c>
      <c r="J2972" t="str">
        <f t="shared" si="781"/>
        <v>2015-07-01 00:00:00.0</v>
      </c>
      <c r="K2972" t="s">
        <v>834</v>
      </c>
      <c r="L2972" t="s">
        <v>0</v>
      </c>
      <c r="M2972" t="str">
        <f t="shared" si="780"/>
        <v>048314</v>
      </c>
      <c r="N2972">
        <v>1</v>
      </c>
      <c r="O2972">
        <v>1</v>
      </c>
      <c r="P2972" t="str">
        <f>"08"</f>
        <v>08</v>
      </c>
      <c r="Q2972" t="s">
        <v>835</v>
      </c>
      <c r="S2972" t="s">
        <v>836</v>
      </c>
      <c r="T2972" t="s">
        <v>836</v>
      </c>
      <c r="U2972" t="str">
        <f t="shared" si="778"/>
        <v>2500-12-31 00:00:00.0</v>
      </c>
      <c r="V2972" t="s">
        <v>837</v>
      </c>
      <c r="W2972" t="str">
        <f>"048314-070417-**-**"</f>
        <v>048314-070417-**-**</v>
      </c>
      <c r="X2972" t="s">
        <v>838</v>
      </c>
      <c r="Y2972">
        <v>1125</v>
      </c>
      <c r="Z2972">
        <v>1125</v>
      </c>
      <c r="AA2972" t="str">
        <f t="shared" si="776"/>
        <v>06/08/2016</v>
      </c>
    </row>
    <row r="2973" spans="1:27" x14ac:dyDescent="0.3">
      <c r="A2973" t="str">
        <f t="shared" si="774"/>
        <v>048314</v>
      </c>
      <c r="B2973" t="str">
        <f t="shared" si="770"/>
        <v>070417</v>
      </c>
      <c r="C2973" t="s">
        <v>2575</v>
      </c>
      <c r="D2973" t="s">
        <v>3839</v>
      </c>
      <c r="E2973" t="s">
        <v>3840</v>
      </c>
      <c r="F2973" t="s">
        <v>3841</v>
      </c>
      <c r="G2973" t="s">
        <v>3842</v>
      </c>
      <c r="H2973" t="str">
        <f t="shared" si="775"/>
        <v>048314</v>
      </c>
      <c r="I2973" t="s">
        <v>833</v>
      </c>
      <c r="J2973" t="str">
        <f t="shared" si="781"/>
        <v>2015-07-01 00:00:00.0</v>
      </c>
      <c r="K2973" t="s">
        <v>834</v>
      </c>
      <c r="L2973" t="s">
        <v>0</v>
      </c>
      <c r="M2973" t="str">
        <f t="shared" si="780"/>
        <v>048314</v>
      </c>
      <c r="N2973">
        <v>1</v>
      </c>
      <c r="O2973">
        <v>1</v>
      </c>
      <c r="P2973" t="str">
        <f>"06"</f>
        <v>06</v>
      </c>
      <c r="Q2973" t="str">
        <f>"15"</f>
        <v>15</v>
      </c>
      <c r="R2973" t="str">
        <f>"2"</f>
        <v>2</v>
      </c>
      <c r="S2973" t="s">
        <v>836</v>
      </c>
      <c r="T2973" t="s">
        <v>836</v>
      </c>
      <c r="U2973" t="str">
        <f t="shared" si="778"/>
        <v>2500-12-31 00:00:00.0</v>
      </c>
      <c r="V2973" t="s">
        <v>837</v>
      </c>
      <c r="W2973" t="str">
        <f>"048314-070417-**-**"</f>
        <v>048314-070417-**-**</v>
      </c>
      <c r="X2973" t="s">
        <v>838</v>
      </c>
      <c r="Y2973">
        <v>1125</v>
      </c>
      <c r="Z2973">
        <v>1125</v>
      </c>
      <c r="AA2973" t="str">
        <f t="shared" si="776"/>
        <v>06/08/2016</v>
      </c>
    </row>
    <row r="2974" spans="1:27" x14ac:dyDescent="0.3">
      <c r="A2974" t="str">
        <f t="shared" si="774"/>
        <v>048314</v>
      </c>
      <c r="B2974" t="str">
        <f t="shared" si="770"/>
        <v>070417</v>
      </c>
      <c r="C2974" t="s">
        <v>2235</v>
      </c>
      <c r="D2974" t="s">
        <v>3839</v>
      </c>
      <c r="E2974" t="s">
        <v>3840</v>
      </c>
      <c r="F2974" t="s">
        <v>3841</v>
      </c>
      <c r="G2974" t="s">
        <v>3842</v>
      </c>
      <c r="H2974" t="str">
        <f>"050252"</f>
        <v>050252</v>
      </c>
      <c r="I2974" t="s">
        <v>833</v>
      </c>
      <c r="J2974" t="str">
        <f t="shared" si="781"/>
        <v>2015-07-01 00:00:00.0</v>
      </c>
      <c r="K2974" t="s">
        <v>834</v>
      </c>
      <c r="L2974" t="s">
        <v>1</v>
      </c>
      <c r="M2974" t="str">
        <f t="shared" si="780"/>
        <v>048314</v>
      </c>
      <c r="N2974">
        <v>1</v>
      </c>
      <c r="O2974">
        <v>1</v>
      </c>
      <c r="P2974" t="str">
        <f>"08"</f>
        <v>08</v>
      </c>
      <c r="Q2974" t="s">
        <v>835</v>
      </c>
      <c r="S2974" t="s">
        <v>836</v>
      </c>
      <c r="T2974" t="s">
        <v>836</v>
      </c>
      <c r="U2974" t="str">
        <f t="shared" si="778"/>
        <v>2500-12-31 00:00:00.0</v>
      </c>
      <c r="V2974" t="s">
        <v>837</v>
      </c>
      <c r="W2974" t="str">
        <f>"050252-025023-08-**"</f>
        <v>050252-025023-08-**</v>
      </c>
      <c r="X2974" t="s">
        <v>838</v>
      </c>
      <c r="Y2974">
        <v>1138</v>
      </c>
      <c r="Z2974">
        <v>1138</v>
      </c>
      <c r="AA2974" t="str">
        <f>"06/13/2016"</f>
        <v>06/13/2016</v>
      </c>
    </row>
    <row r="2975" spans="1:27" x14ac:dyDescent="0.3">
      <c r="A2975" t="str">
        <f t="shared" si="774"/>
        <v>048314</v>
      </c>
      <c r="B2975" t="str">
        <f t="shared" si="770"/>
        <v>070417</v>
      </c>
      <c r="C2975" t="s">
        <v>1643</v>
      </c>
      <c r="D2975" t="s">
        <v>3839</v>
      </c>
      <c r="E2975" t="s">
        <v>3840</v>
      </c>
      <c r="F2975" t="s">
        <v>3841</v>
      </c>
      <c r="G2975" t="s">
        <v>3842</v>
      </c>
      <c r="H2975" t="str">
        <f>"050252"</f>
        <v>050252</v>
      </c>
      <c r="I2975" t="s">
        <v>833</v>
      </c>
      <c r="J2975" t="str">
        <f t="shared" si="781"/>
        <v>2015-07-01 00:00:00.0</v>
      </c>
      <c r="K2975" t="s">
        <v>834</v>
      </c>
      <c r="L2975" t="s">
        <v>1</v>
      </c>
      <c r="M2975" t="str">
        <f t="shared" si="780"/>
        <v>048314</v>
      </c>
      <c r="N2975">
        <v>1</v>
      </c>
      <c r="O2975">
        <v>1</v>
      </c>
      <c r="P2975" t="str">
        <f>"09"</f>
        <v>09</v>
      </c>
      <c r="Q2975" t="s">
        <v>835</v>
      </c>
      <c r="S2975" t="s">
        <v>836</v>
      </c>
      <c r="T2975" t="s">
        <v>836</v>
      </c>
      <c r="U2975" t="str">
        <f t="shared" si="778"/>
        <v>2500-12-31 00:00:00.0</v>
      </c>
      <c r="V2975" t="s">
        <v>837</v>
      </c>
      <c r="W2975" t="str">
        <f>"050252-025023-09-**"</f>
        <v>050252-025023-09-**</v>
      </c>
      <c r="X2975" t="s">
        <v>838</v>
      </c>
      <c r="Y2975">
        <v>1138</v>
      </c>
      <c r="Z2975">
        <v>1138</v>
      </c>
      <c r="AA2975" t="str">
        <f>"06/13/2016"</f>
        <v>06/13/2016</v>
      </c>
    </row>
    <row r="2976" spans="1:27" x14ac:dyDescent="0.3">
      <c r="A2976" t="str">
        <f t="shared" si="774"/>
        <v>048314</v>
      </c>
      <c r="B2976" t="str">
        <f t="shared" si="770"/>
        <v>070417</v>
      </c>
      <c r="C2976" t="s">
        <v>2223</v>
      </c>
      <c r="D2976" t="s">
        <v>3839</v>
      </c>
      <c r="E2976" t="s">
        <v>3840</v>
      </c>
      <c r="F2976" t="s">
        <v>3841</v>
      </c>
      <c r="G2976" t="s">
        <v>3842</v>
      </c>
      <c r="H2976" t="str">
        <f t="shared" ref="H2976:H3001" si="782">"048314"</f>
        <v>048314</v>
      </c>
      <c r="I2976" t="s">
        <v>833</v>
      </c>
      <c r="J2976" t="str">
        <f t="shared" si="781"/>
        <v>2015-07-01 00:00:00.0</v>
      </c>
      <c r="K2976" t="s">
        <v>834</v>
      </c>
      <c r="L2976" t="s">
        <v>0</v>
      </c>
      <c r="M2976" t="str">
        <f t="shared" si="780"/>
        <v>048314</v>
      </c>
      <c r="N2976">
        <v>1</v>
      </c>
      <c r="O2976">
        <v>1</v>
      </c>
      <c r="P2976" t="str">
        <f>"08"</f>
        <v>08</v>
      </c>
      <c r="Q2976" t="s">
        <v>835</v>
      </c>
      <c r="S2976" t="s">
        <v>836</v>
      </c>
      <c r="T2976" t="s">
        <v>836</v>
      </c>
      <c r="U2976" t="str">
        <f t="shared" si="778"/>
        <v>2500-12-31 00:00:00.0</v>
      </c>
      <c r="V2976" t="s">
        <v>837</v>
      </c>
      <c r="W2976" t="str">
        <f>"048314-070417-**-**"</f>
        <v>048314-070417-**-**</v>
      </c>
      <c r="X2976" t="s">
        <v>838</v>
      </c>
      <c r="Y2976">
        <v>1125</v>
      </c>
      <c r="Z2976">
        <v>1125</v>
      </c>
      <c r="AA2976" t="str">
        <f t="shared" ref="AA2976:AA3001" si="783">"06/08/2016"</f>
        <v>06/08/2016</v>
      </c>
    </row>
    <row r="2977" spans="1:27" x14ac:dyDescent="0.3">
      <c r="A2977" t="str">
        <f t="shared" si="774"/>
        <v>048314</v>
      </c>
      <c r="B2977" t="str">
        <f t="shared" si="770"/>
        <v>070417</v>
      </c>
      <c r="C2977" t="s">
        <v>1907</v>
      </c>
      <c r="D2977" t="s">
        <v>3839</v>
      </c>
      <c r="E2977" t="s">
        <v>3840</v>
      </c>
      <c r="F2977" t="s">
        <v>3841</v>
      </c>
      <c r="G2977" t="s">
        <v>3842</v>
      </c>
      <c r="H2977" t="str">
        <f t="shared" si="782"/>
        <v>048314</v>
      </c>
      <c r="I2977" t="s">
        <v>833</v>
      </c>
      <c r="J2977" t="str">
        <f t="shared" si="781"/>
        <v>2015-07-01 00:00:00.0</v>
      </c>
      <c r="K2977" t="s">
        <v>834</v>
      </c>
      <c r="L2977" t="s">
        <v>0</v>
      </c>
      <c r="M2977" t="str">
        <f t="shared" si="780"/>
        <v>048314</v>
      </c>
      <c r="N2977">
        <v>1</v>
      </c>
      <c r="O2977">
        <v>1</v>
      </c>
      <c r="P2977" t="str">
        <f>"09"</f>
        <v>09</v>
      </c>
      <c r="Q2977" t="s">
        <v>835</v>
      </c>
      <c r="S2977" t="s">
        <v>836</v>
      </c>
      <c r="T2977" t="s">
        <v>836</v>
      </c>
      <c r="U2977" t="str">
        <f t="shared" si="778"/>
        <v>2500-12-31 00:00:00.0</v>
      </c>
      <c r="V2977" t="s">
        <v>837</v>
      </c>
      <c r="W2977" t="str">
        <f>"048314-004796-**-**"</f>
        <v>048314-004796-**-**</v>
      </c>
      <c r="X2977" t="s">
        <v>838</v>
      </c>
      <c r="Y2977">
        <v>1254.5</v>
      </c>
      <c r="Z2977">
        <v>1254.5</v>
      </c>
      <c r="AA2977" t="str">
        <f t="shared" si="783"/>
        <v>06/08/2016</v>
      </c>
    </row>
    <row r="2978" spans="1:27" x14ac:dyDescent="0.3">
      <c r="A2978" t="str">
        <f t="shared" si="774"/>
        <v>048314</v>
      </c>
      <c r="B2978" t="str">
        <f t="shared" si="770"/>
        <v>070417</v>
      </c>
      <c r="C2978" t="s">
        <v>1908</v>
      </c>
      <c r="D2978" t="s">
        <v>3839</v>
      </c>
      <c r="E2978" t="s">
        <v>3840</v>
      </c>
      <c r="F2978" t="s">
        <v>3841</v>
      </c>
      <c r="G2978" t="s">
        <v>3842</v>
      </c>
      <c r="H2978" t="str">
        <f t="shared" si="782"/>
        <v>048314</v>
      </c>
      <c r="I2978" t="s">
        <v>833</v>
      </c>
      <c r="J2978" t="str">
        <f t="shared" si="781"/>
        <v>2015-07-01 00:00:00.0</v>
      </c>
      <c r="K2978" t="s">
        <v>834</v>
      </c>
      <c r="L2978" t="s">
        <v>0</v>
      </c>
      <c r="M2978" t="str">
        <f t="shared" si="780"/>
        <v>048314</v>
      </c>
      <c r="N2978">
        <v>1</v>
      </c>
      <c r="O2978">
        <v>1</v>
      </c>
      <c r="P2978" t="str">
        <f>"09"</f>
        <v>09</v>
      </c>
      <c r="Q2978" t="s">
        <v>835</v>
      </c>
      <c r="S2978" t="s">
        <v>836</v>
      </c>
      <c r="T2978" t="s">
        <v>836</v>
      </c>
      <c r="U2978" t="str">
        <f t="shared" si="778"/>
        <v>2500-12-31 00:00:00.0</v>
      </c>
      <c r="V2978" t="s">
        <v>837</v>
      </c>
      <c r="W2978" t="str">
        <f>"048314-004796-**-**"</f>
        <v>048314-004796-**-**</v>
      </c>
      <c r="X2978" t="s">
        <v>838</v>
      </c>
      <c r="Y2978">
        <v>1254.5</v>
      </c>
      <c r="Z2978">
        <v>1254.5</v>
      </c>
      <c r="AA2978" t="str">
        <f t="shared" si="783"/>
        <v>06/08/2016</v>
      </c>
    </row>
    <row r="2979" spans="1:27" x14ac:dyDescent="0.3">
      <c r="A2979" t="str">
        <f t="shared" si="774"/>
        <v>048314</v>
      </c>
      <c r="B2979" t="str">
        <f t="shared" si="770"/>
        <v>070417</v>
      </c>
      <c r="C2979" t="s">
        <v>2737</v>
      </c>
      <c r="D2979" t="s">
        <v>3839</v>
      </c>
      <c r="E2979" t="s">
        <v>3840</v>
      </c>
      <c r="F2979" t="s">
        <v>3841</v>
      </c>
      <c r="G2979" t="s">
        <v>3842</v>
      </c>
      <c r="H2979" t="str">
        <f t="shared" si="782"/>
        <v>048314</v>
      </c>
      <c r="I2979" t="s">
        <v>833</v>
      </c>
      <c r="J2979" t="str">
        <f t="shared" si="781"/>
        <v>2015-07-01 00:00:00.0</v>
      </c>
      <c r="K2979" t="s">
        <v>834</v>
      </c>
      <c r="L2979" t="s">
        <v>0</v>
      </c>
      <c r="M2979" t="str">
        <f t="shared" si="780"/>
        <v>048314</v>
      </c>
      <c r="N2979">
        <v>1</v>
      </c>
      <c r="O2979">
        <v>1</v>
      </c>
      <c r="P2979" t="str">
        <f>"06"</f>
        <v>06</v>
      </c>
      <c r="Q2979" t="s">
        <v>835</v>
      </c>
      <c r="S2979" t="s">
        <v>836</v>
      </c>
      <c r="T2979" t="s">
        <v>836</v>
      </c>
      <c r="U2979" t="str">
        <f t="shared" si="778"/>
        <v>2500-12-31 00:00:00.0</v>
      </c>
      <c r="V2979" t="s">
        <v>837</v>
      </c>
      <c r="W2979" t="str">
        <f>"048314-070417-**-**"</f>
        <v>048314-070417-**-**</v>
      </c>
      <c r="X2979" t="s">
        <v>838</v>
      </c>
      <c r="Y2979">
        <v>1125</v>
      </c>
      <c r="Z2979">
        <v>1125</v>
      </c>
      <c r="AA2979" t="str">
        <f t="shared" si="783"/>
        <v>06/08/2016</v>
      </c>
    </row>
    <row r="2980" spans="1:27" x14ac:dyDescent="0.3">
      <c r="A2980" t="str">
        <f t="shared" si="774"/>
        <v>048314</v>
      </c>
      <c r="B2980" t="str">
        <f t="shared" ref="B2980:B3043" si="784">"070417"</f>
        <v>070417</v>
      </c>
      <c r="C2980" t="s">
        <v>2738</v>
      </c>
      <c r="D2980" t="s">
        <v>3839</v>
      </c>
      <c r="E2980" t="s">
        <v>3840</v>
      </c>
      <c r="F2980" t="s">
        <v>3841</v>
      </c>
      <c r="G2980" t="s">
        <v>3842</v>
      </c>
      <c r="H2980" t="str">
        <f t="shared" si="782"/>
        <v>048314</v>
      </c>
      <c r="I2980" t="s">
        <v>833</v>
      </c>
      <c r="J2980" t="str">
        <f t="shared" si="781"/>
        <v>2015-07-01 00:00:00.0</v>
      </c>
      <c r="K2980" t="s">
        <v>834</v>
      </c>
      <c r="L2980" t="s">
        <v>0</v>
      </c>
      <c r="M2980" t="str">
        <f t="shared" si="780"/>
        <v>048314</v>
      </c>
      <c r="N2980">
        <v>1</v>
      </c>
      <c r="O2980">
        <v>1</v>
      </c>
      <c r="P2980" t="str">
        <f>"09"</f>
        <v>09</v>
      </c>
      <c r="Q2980" t="s">
        <v>835</v>
      </c>
      <c r="S2980" t="s">
        <v>836</v>
      </c>
      <c r="T2980" t="s">
        <v>836</v>
      </c>
      <c r="U2980" t="str">
        <f t="shared" si="778"/>
        <v>2500-12-31 00:00:00.0</v>
      </c>
      <c r="V2980" t="s">
        <v>837</v>
      </c>
      <c r="W2980" t="str">
        <f>"048314-004796-**-**"</f>
        <v>048314-004796-**-**</v>
      </c>
      <c r="X2980" t="s">
        <v>838</v>
      </c>
      <c r="Y2980">
        <v>1254.5</v>
      </c>
      <c r="Z2980">
        <v>1254.5</v>
      </c>
      <c r="AA2980" t="str">
        <f t="shared" si="783"/>
        <v>06/08/2016</v>
      </c>
    </row>
    <row r="2981" spans="1:27" x14ac:dyDescent="0.3">
      <c r="A2981" t="str">
        <f t="shared" si="774"/>
        <v>048314</v>
      </c>
      <c r="B2981" t="str">
        <f t="shared" si="784"/>
        <v>070417</v>
      </c>
      <c r="C2981" t="s">
        <v>2739</v>
      </c>
      <c r="D2981" t="s">
        <v>3839</v>
      </c>
      <c r="E2981" t="s">
        <v>3840</v>
      </c>
      <c r="F2981" t="s">
        <v>3841</v>
      </c>
      <c r="G2981" t="s">
        <v>3842</v>
      </c>
      <c r="H2981" t="str">
        <f t="shared" si="782"/>
        <v>048314</v>
      </c>
      <c r="I2981" t="s">
        <v>833</v>
      </c>
      <c r="J2981" t="str">
        <f t="shared" si="781"/>
        <v>2015-07-01 00:00:00.0</v>
      </c>
      <c r="K2981" t="s">
        <v>834</v>
      </c>
      <c r="L2981" t="s">
        <v>0</v>
      </c>
      <c r="M2981" t="str">
        <f t="shared" si="780"/>
        <v>048314</v>
      </c>
      <c r="N2981">
        <v>1</v>
      </c>
      <c r="O2981">
        <v>1</v>
      </c>
      <c r="P2981" t="str">
        <f>"06"</f>
        <v>06</v>
      </c>
      <c r="Q2981" t="s">
        <v>835</v>
      </c>
      <c r="S2981" t="s">
        <v>836</v>
      </c>
      <c r="T2981" t="s">
        <v>836</v>
      </c>
      <c r="U2981" t="str">
        <f t="shared" si="778"/>
        <v>2500-12-31 00:00:00.0</v>
      </c>
      <c r="V2981" t="s">
        <v>837</v>
      </c>
      <c r="W2981" t="str">
        <f t="shared" ref="W2981:W2987" si="785">"048314-070417-**-**"</f>
        <v>048314-070417-**-**</v>
      </c>
      <c r="X2981" t="s">
        <v>838</v>
      </c>
      <c r="Y2981">
        <v>1125</v>
      </c>
      <c r="Z2981">
        <v>1125</v>
      </c>
      <c r="AA2981" t="str">
        <f t="shared" si="783"/>
        <v>06/08/2016</v>
      </c>
    </row>
    <row r="2982" spans="1:27" x14ac:dyDescent="0.3">
      <c r="A2982" t="str">
        <f t="shared" si="774"/>
        <v>048314</v>
      </c>
      <c r="B2982" t="str">
        <f t="shared" si="784"/>
        <v>070417</v>
      </c>
      <c r="C2982" t="s">
        <v>2464</v>
      </c>
      <c r="D2982" t="s">
        <v>3839</v>
      </c>
      <c r="E2982" t="s">
        <v>3840</v>
      </c>
      <c r="F2982" t="s">
        <v>3841</v>
      </c>
      <c r="G2982" t="s">
        <v>3842</v>
      </c>
      <c r="H2982" t="str">
        <f t="shared" si="782"/>
        <v>048314</v>
      </c>
      <c r="I2982" t="s">
        <v>833</v>
      </c>
      <c r="J2982" t="str">
        <f t="shared" si="781"/>
        <v>2015-07-01 00:00:00.0</v>
      </c>
      <c r="K2982" t="s">
        <v>834</v>
      </c>
      <c r="L2982" t="s">
        <v>0</v>
      </c>
      <c r="M2982" t="str">
        <f t="shared" si="780"/>
        <v>048314</v>
      </c>
      <c r="N2982">
        <v>1</v>
      </c>
      <c r="O2982">
        <v>1</v>
      </c>
      <c r="P2982" t="str">
        <f>"08"</f>
        <v>08</v>
      </c>
      <c r="Q2982" t="s">
        <v>835</v>
      </c>
      <c r="S2982" t="s">
        <v>836</v>
      </c>
      <c r="T2982" t="s">
        <v>836</v>
      </c>
      <c r="U2982" t="str">
        <f t="shared" si="778"/>
        <v>2500-12-31 00:00:00.0</v>
      </c>
      <c r="V2982" t="s">
        <v>837</v>
      </c>
      <c r="W2982" t="str">
        <f t="shared" si="785"/>
        <v>048314-070417-**-**</v>
      </c>
      <c r="X2982" t="s">
        <v>838</v>
      </c>
      <c r="Y2982">
        <v>1125</v>
      </c>
      <c r="Z2982">
        <v>1125</v>
      </c>
      <c r="AA2982" t="str">
        <f t="shared" si="783"/>
        <v>06/08/2016</v>
      </c>
    </row>
    <row r="2983" spans="1:27" x14ac:dyDescent="0.3">
      <c r="A2983" t="str">
        <f t="shared" si="774"/>
        <v>048314</v>
      </c>
      <c r="B2983" t="str">
        <f t="shared" si="784"/>
        <v>070417</v>
      </c>
      <c r="C2983" t="s">
        <v>2740</v>
      </c>
      <c r="D2983" t="s">
        <v>3839</v>
      </c>
      <c r="E2983" t="s">
        <v>3840</v>
      </c>
      <c r="F2983" t="s">
        <v>3841</v>
      </c>
      <c r="G2983" t="s">
        <v>3842</v>
      </c>
      <c r="H2983" t="str">
        <f t="shared" si="782"/>
        <v>048314</v>
      </c>
      <c r="I2983" t="s">
        <v>833</v>
      </c>
      <c r="J2983" t="str">
        <f t="shared" si="781"/>
        <v>2015-07-01 00:00:00.0</v>
      </c>
      <c r="K2983" t="s">
        <v>834</v>
      </c>
      <c r="L2983" t="s">
        <v>0</v>
      </c>
      <c r="M2983" t="str">
        <f t="shared" si="780"/>
        <v>048314</v>
      </c>
      <c r="N2983">
        <v>1</v>
      </c>
      <c r="O2983">
        <v>1</v>
      </c>
      <c r="P2983" t="str">
        <f>"06"</f>
        <v>06</v>
      </c>
      <c r="Q2983" t="s">
        <v>835</v>
      </c>
      <c r="S2983" t="s">
        <v>836</v>
      </c>
      <c r="T2983" t="s">
        <v>836</v>
      </c>
      <c r="U2983" t="str">
        <f t="shared" si="778"/>
        <v>2500-12-31 00:00:00.0</v>
      </c>
      <c r="V2983" t="s">
        <v>837</v>
      </c>
      <c r="W2983" t="str">
        <f t="shared" si="785"/>
        <v>048314-070417-**-**</v>
      </c>
      <c r="X2983" t="s">
        <v>838</v>
      </c>
      <c r="Y2983">
        <v>1125</v>
      </c>
      <c r="Z2983">
        <v>1125</v>
      </c>
      <c r="AA2983" t="str">
        <f t="shared" si="783"/>
        <v>06/08/2016</v>
      </c>
    </row>
    <row r="2984" spans="1:27" x14ac:dyDescent="0.3">
      <c r="A2984" t="str">
        <f t="shared" si="774"/>
        <v>048314</v>
      </c>
      <c r="B2984" t="str">
        <f t="shared" si="784"/>
        <v>070417</v>
      </c>
      <c r="C2984" t="s">
        <v>2741</v>
      </c>
      <c r="D2984" t="s">
        <v>3839</v>
      </c>
      <c r="E2984" t="s">
        <v>3840</v>
      </c>
      <c r="F2984" t="s">
        <v>3841</v>
      </c>
      <c r="G2984" t="s">
        <v>3842</v>
      </c>
      <c r="H2984" t="str">
        <f t="shared" si="782"/>
        <v>048314</v>
      </c>
      <c r="I2984" t="s">
        <v>833</v>
      </c>
      <c r="J2984" t="str">
        <f t="shared" si="781"/>
        <v>2015-07-01 00:00:00.0</v>
      </c>
      <c r="K2984" t="s">
        <v>834</v>
      </c>
      <c r="L2984" t="s">
        <v>0</v>
      </c>
      <c r="M2984" t="str">
        <f t="shared" si="780"/>
        <v>048314</v>
      </c>
      <c r="N2984">
        <v>1</v>
      </c>
      <c r="O2984">
        <v>1</v>
      </c>
      <c r="P2984" t="str">
        <f>"06"</f>
        <v>06</v>
      </c>
      <c r="Q2984" t="s">
        <v>835</v>
      </c>
      <c r="S2984" t="s">
        <v>836</v>
      </c>
      <c r="T2984" t="s">
        <v>836</v>
      </c>
      <c r="U2984" t="str">
        <f t="shared" si="778"/>
        <v>2500-12-31 00:00:00.0</v>
      </c>
      <c r="V2984" t="s">
        <v>837</v>
      </c>
      <c r="W2984" t="str">
        <f t="shared" si="785"/>
        <v>048314-070417-**-**</v>
      </c>
      <c r="X2984" t="s">
        <v>838</v>
      </c>
      <c r="Y2984">
        <v>1125</v>
      </c>
      <c r="Z2984">
        <v>1125</v>
      </c>
      <c r="AA2984" t="str">
        <f t="shared" si="783"/>
        <v>06/08/2016</v>
      </c>
    </row>
    <row r="2985" spans="1:27" x14ac:dyDescent="0.3">
      <c r="A2985" t="str">
        <f t="shared" si="774"/>
        <v>048314</v>
      </c>
      <c r="B2985" t="str">
        <f t="shared" si="784"/>
        <v>070417</v>
      </c>
      <c r="C2985" t="s">
        <v>2224</v>
      </c>
      <c r="D2985" t="s">
        <v>3839</v>
      </c>
      <c r="E2985" t="s">
        <v>3840</v>
      </c>
      <c r="F2985" t="s">
        <v>3841</v>
      </c>
      <c r="G2985" t="s">
        <v>3842</v>
      </c>
      <c r="H2985" t="str">
        <f t="shared" si="782"/>
        <v>048314</v>
      </c>
      <c r="I2985" t="s">
        <v>833</v>
      </c>
      <c r="J2985" t="str">
        <f t="shared" si="781"/>
        <v>2015-07-01 00:00:00.0</v>
      </c>
      <c r="K2985" t="s">
        <v>834</v>
      </c>
      <c r="L2985" t="s">
        <v>0</v>
      </c>
      <c r="M2985" t="str">
        <f t="shared" si="780"/>
        <v>048314</v>
      </c>
      <c r="N2985">
        <v>1</v>
      </c>
      <c r="O2985">
        <v>1</v>
      </c>
      <c r="P2985" t="str">
        <f>"08"</f>
        <v>08</v>
      </c>
      <c r="Q2985" t="s">
        <v>835</v>
      </c>
      <c r="S2985" t="s">
        <v>860</v>
      </c>
      <c r="T2985" t="s">
        <v>836</v>
      </c>
      <c r="U2985" t="str">
        <f t="shared" si="778"/>
        <v>2500-12-31 00:00:00.0</v>
      </c>
      <c r="V2985" t="s">
        <v>837</v>
      </c>
      <c r="W2985" t="str">
        <f t="shared" si="785"/>
        <v>048314-070417-**-**</v>
      </c>
      <c r="X2985" t="s">
        <v>838</v>
      </c>
      <c r="Y2985">
        <v>1125</v>
      </c>
      <c r="Z2985">
        <v>1125</v>
      </c>
      <c r="AA2985" t="str">
        <f t="shared" si="783"/>
        <v>06/08/2016</v>
      </c>
    </row>
    <row r="2986" spans="1:27" x14ac:dyDescent="0.3">
      <c r="A2986" t="str">
        <f t="shared" si="774"/>
        <v>048314</v>
      </c>
      <c r="B2986" t="str">
        <f t="shared" si="784"/>
        <v>070417</v>
      </c>
      <c r="C2986" t="s">
        <v>2465</v>
      </c>
      <c r="D2986" t="s">
        <v>3839</v>
      </c>
      <c r="E2986" t="s">
        <v>3840</v>
      </c>
      <c r="F2986" t="s">
        <v>3841</v>
      </c>
      <c r="G2986" t="s">
        <v>3842</v>
      </c>
      <c r="H2986" t="str">
        <f t="shared" si="782"/>
        <v>048314</v>
      </c>
      <c r="I2986" t="s">
        <v>833</v>
      </c>
      <c r="J2986" t="str">
        <f t="shared" si="781"/>
        <v>2015-07-01 00:00:00.0</v>
      </c>
      <c r="K2986" t="s">
        <v>834</v>
      </c>
      <c r="L2986" t="s">
        <v>0</v>
      </c>
      <c r="M2986" t="str">
        <f t="shared" si="780"/>
        <v>048314</v>
      </c>
      <c r="N2986">
        <v>1</v>
      </c>
      <c r="O2986">
        <v>1</v>
      </c>
      <c r="P2986" t="str">
        <f>"07"</f>
        <v>07</v>
      </c>
      <c r="Q2986" t="s">
        <v>835</v>
      </c>
      <c r="S2986" t="s">
        <v>836</v>
      </c>
      <c r="T2986" t="s">
        <v>836</v>
      </c>
      <c r="U2986" t="str">
        <f t="shared" si="778"/>
        <v>2500-12-31 00:00:00.0</v>
      </c>
      <c r="V2986" t="s">
        <v>837</v>
      </c>
      <c r="W2986" t="str">
        <f t="shared" si="785"/>
        <v>048314-070417-**-**</v>
      </c>
      <c r="X2986" t="s">
        <v>838</v>
      </c>
      <c r="Y2986">
        <v>1125</v>
      </c>
      <c r="Z2986">
        <v>1125</v>
      </c>
      <c r="AA2986" t="str">
        <f t="shared" si="783"/>
        <v>06/08/2016</v>
      </c>
    </row>
    <row r="2987" spans="1:27" x14ac:dyDescent="0.3">
      <c r="A2987" t="str">
        <f t="shared" si="774"/>
        <v>048314</v>
      </c>
      <c r="B2987" t="str">
        <f t="shared" si="784"/>
        <v>070417</v>
      </c>
      <c r="C2987" t="s">
        <v>2466</v>
      </c>
      <c r="D2987" t="s">
        <v>3839</v>
      </c>
      <c r="E2987" t="s">
        <v>3840</v>
      </c>
      <c r="F2987" t="s">
        <v>3841</v>
      </c>
      <c r="G2987" t="s">
        <v>3842</v>
      </c>
      <c r="H2987" t="str">
        <f t="shared" si="782"/>
        <v>048314</v>
      </c>
      <c r="I2987" t="s">
        <v>833</v>
      </c>
      <c r="J2987" t="str">
        <f t="shared" si="781"/>
        <v>2015-07-01 00:00:00.0</v>
      </c>
      <c r="K2987" t="s">
        <v>834</v>
      </c>
      <c r="L2987" t="s">
        <v>0</v>
      </c>
      <c r="M2987" t="str">
        <f t="shared" si="780"/>
        <v>048314</v>
      </c>
      <c r="N2987">
        <v>1</v>
      </c>
      <c r="O2987">
        <v>1</v>
      </c>
      <c r="P2987" t="str">
        <f>"07"</f>
        <v>07</v>
      </c>
      <c r="Q2987" t="s">
        <v>835</v>
      </c>
      <c r="S2987" t="s">
        <v>836</v>
      </c>
      <c r="T2987" t="s">
        <v>836</v>
      </c>
      <c r="U2987" t="str">
        <f t="shared" si="778"/>
        <v>2500-12-31 00:00:00.0</v>
      </c>
      <c r="V2987" t="s">
        <v>837</v>
      </c>
      <c r="W2987" t="str">
        <f t="shared" si="785"/>
        <v>048314-070417-**-**</v>
      </c>
      <c r="X2987" t="s">
        <v>838</v>
      </c>
      <c r="Y2987">
        <v>1125</v>
      </c>
      <c r="Z2987">
        <v>1125</v>
      </c>
      <c r="AA2987" t="str">
        <f t="shared" si="783"/>
        <v>06/08/2016</v>
      </c>
    </row>
    <row r="2988" spans="1:27" x14ac:dyDescent="0.3">
      <c r="A2988" t="str">
        <f t="shared" si="774"/>
        <v>048314</v>
      </c>
      <c r="B2988" t="str">
        <f t="shared" si="784"/>
        <v>070417</v>
      </c>
      <c r="C2988" t="s">
        <v>2050</v>
      </c>
      <c r="D2988" t="s">
        <v>3839</v>
      </c>
      <c r="E2988" t="s">
        <v>3840</v>
      </c>
      <c r="F2988" t="s">
        <v>3841</v>
      </c>
      <c r="G2988" t="s">
        <v>3842</v>
      </c>
      <c r="H2988" t="str">
        <f t="shared" si="782"/>
        <v>048314</v>
      </c>
      <c r="I2988" t="s">
        <v>833</v>
      </c>
      <c r="J2988" t="str">
        <f>"2015-10-28 00:00:00.0"</f>
        <v>2015-10-28 00:00:00.0</v>
      </c>
      <c r="K2988" t="s">
        <v>834</v>
      </c>
      <c r="L2988" t="s">
        <v>0</v>
      </c>
      <c r="M2988" t="str">
        <f t="shared" si="780"/>
        <v>048314</v>
      </c>
      <c r="N2988">
        <v>0.78756499999999996</v>
      </c>
      <c r="O2988">
        <v>0.78756499999999996</v>
      </c>
      <c r="P2988" t="str">
        <f>"09"</f>
        <v>09</v>
      </c>
      <c r="Q2988" t="s">
        <v>835</v>
      </c>
      <c r="S2988" t="s">
        <v>860</v>
      </c>
      <c r="T2988" t="s">
        <v>836</v>
      </c>
      <c r="U2988" t="str">
        <f t="shared" si="778"/>
        <v>2500-12-31 00:00:00.0</v>
      </c>
      <c r="V2988" t="s">
        <v>837</v>
      </c>
      <c r="W2988" t="str">
        <f>"048314-004796-**-**"</f>
        <v>048314-004796-**-**</v>
      </c>
      <c r="X2988" t="s">
        <v>838</v>
      </c>
      <c r="Y2988">
        <v>988</v>
      </c>
      <c r="Z2988">
        <v>1254.5</v>
      </c>
      <c r="AA2988" t="str">
        <f t="shared" si="783"/>
        <v>06/08/2016</v>
      </c>
    </row>
    <row r="2989" spans="1:27" x14ac:dyDescent="0.3">
      <c r="A2989" t="str">
        <f t="shared" si="774"/>
        <v>048314</v>
      </c>
      <c r="B2989" t="str">
        <f t="shared" si="784"/>
        <v>070417</v>
      </c>
      <c r="C2989" t="s">
        <v>2050</v>
      </c>
      <c r="D2989" t="s">
        <v>3839</v>
      </c>
      <c r="E2989" t="s">
        <v>3840</v>
      </c>
      <c r="F2989" t="s">
        <v>3841</v>
      </c>
      <c r="G2989" t="s">
        <v>3842</v>
      </c>
      <c r="H2989" t="str">
        <f t="shared" si="782"/>
        <v>048314</v>
      </c>
      <c r="I2989" t="s">
        <v>833</v>
      </c>
      <c r="J2989" t="str">
        <f>"2015-07-01 00:00:00.0"</f>
        <v>2015-07-01 00:00:00.0</v>
      </c>
      <c r="K2989" t="s">
        <v>834</v>
      </c>
      <c r="L2989" t="s">
        <v>0</v>
      </c>
      <c r="M2989" t="str">
        <f t="shared" si="780"/>
        <v>048314</v>
      </c>
      <c r="N2989">
        <v>0.21243500000000001</v>
      </c>
      <c r="O2989">
        <v>0.21243500000000001</v>
      </c>
      <c r="P2989" t="str">
        <f>"09"</f>
        <v>09</v>
      </c>
      <c r="Q2989" t="s">
        <v>835</v>
      </c>
      <c r="S2989" t="s">
        <v>836</v>
      </c>
      <c r="T2989" t="s">
        <v>836</v>
      </c>
      <c r="U2989" t="str">
        <f>"2015-10-27 00:00:00.0"</f>
        <v>2015-10-27 00:00:00.0</v>
      </c>
      <c r="V2989" t="s">
        <v>837</v>
      </c>
      <c r="W2989" t="str">
        <f>"048314-004796-**-**"</f>
        <v>048314-004796-**-**</v>
      </c>
      <c r="X2989" t="s">
        <v>838</v>
      </c>
      <c r="Y2989">
        <v>266.5</v>
      </c>
      <c r="Z2989">
        <v>1254.5</v>
      </c>
      <c r="AA2989" t="str">
        <f t="shared" si="783"/>
        <v>06/08/2016</v>
      </c>
    </row>
    <row r="2990" spans="1:27" x14ac:dyDescent="0.3">
      <c r="A2990" t="str">
        <f t="shared" si="774"/>
        <v>048314</v>
      </c>
      <c r="B2990" t="str">
        <f t="shared" si="784"/>
        <v>070417</v>
      </c>
      <c r="C2990" t="s">
        <v>1488</v>
      </c>
      <c r="D2990" t="s">
        <v>3839</v>
      </c>
      <c r="E2990" t="s">
        <v>3840</v>
      </c>
      <c r="F2990" t="s">
        <v>3841</v>
      </c>
      <c r="G2990" t="s">
        <v>3842</v>
      </c>
      <c r="H2990" t="str">
        <f t="shared" si="782"/>
        <v>048314</v>
      </c>
      <c r="I2990" t="s">
        <v>833</v>
      </c>
      <c r="J2990" t="str">
        <f>"2015-10-28 00:00:00.0"</f>
        <v>2015-10-28 00:00:00.0</v>
      </c>
      <c r="K2990" t="s">
        <v>834</v>
      </c>
      <c r="L2990" t="s">
        <v>0</v>
      </c>
      <c r="M2990" t="str">
        <f t="shared" si="780"/>
        <v>048314</v>
      </c>
      <c r="N2990">
        <v>0.77222199999999996</v>
      </c>
      <c r="O2990">
        <v>0.77222199999999996</v>
      </c>
      <c r="P2990" t="str">
        <f>"08"</f>
        <v>08</v>
      </c>
      <c r="Q2990" t="s">
        <v>835</v>
      </c>
      <c r="S2990" t="s">
        <v>860</v>
      </c>
      <c r="T2990" t="s">
        <v>836</v>
      </c>
      <c r="U2990" t="str">
        <f>"2500-12-31 00:00:00.0"</f>
        <v>2500-12-31 00:00:00.0</v>
      </c>
      <c r="V2990" t="s">
        <v>837</v>
      </c>
      <c r="W2990" t="str">
        <f>"048314-070417-**-**"</f>
        <v>048314-070417-**-**</v>
      </c>
      <c r="X2990" t="s">
        <v>838</v>
      </c>
      <c r="Y2990">
        <v>868.75</v>
      </c>
      <c r="Z2990">
        <v>1125</v>
      </c>
      <c r="AA2990" t="str">
        <f t="shared" si="783"/>
        <v>06/08/2016</v>
      </c>
    </row>
    <row r="2991" spans="1:27" x14ac:dyDescent="0.3">
      <c r="A2991" t="str">
        <f t="shared" si="774"/>
        <v>048314</v>
      </c>
      <c r="B2991" t="str">
        <f t="shared" si="784"/>
        <v>070417</v>
      </c>
      <c r="C2991" t="s">
        <v>1488</v>
      </c>
      <c r="D2991" t="s">
        <v>3839</v>
      </c>
      <c r="E2991" t="s">
        <v>3840</v>
      </c>
      <c r="F2991" t="s">
        <v>3841</v>
      </c>
      <c r="G2991" t="s">
        <v>3842</v>
      </c>
      <c r="H2991" t="str">
        <f t="shared" si="782"/>
        <v>048314</v>
      </c>
      <c r="I2991" t="s">
        <v>833</v>
      </c>
      <c r="J2991" t="str">
        <f>"2015-07-01 00:00:00.0"</f>
        <v>2015-07-01 00:00:00.0</v>
      </c>
      <c r="K2991" t="s">
        <v>834</v>
      </c>
      <c r="L2991" t="s">
        <v>0</v>
      </c>
      <c r="M2991" t="str">
        <f t="shared" si="780"/>
        <v>048314</v>
      </c>
      <c r="N2991">
        <v>0.22777800000000001</v>
      </c>
      <c r="O2991">
        <v>0.22777800000000001</v>
      </c>
      <c r="P2991" t="str">
        <f>"08"</f>
        <v>08</v>
      </c>
      <c r="Q2991" t="s">
        <v>835</v>
      </c>
      <c r="S2991" t="s">
        <v>836</v>
      </c>
      <c r="T2991" t="s">
        <v>836</v>
      </c>
      <c r="U2991" t="str">
        <f>"2015-10-27 00:00:00.0"</f>
        <v>2015-10-27 00:00:00.0</v>
      </c>
      <c r="V2991" t="s">
        <v>837</v>
      </c>
      <c r="W2991" t="str">
        <f>"048314-070417-**-**"</f>
        <v>048314-070417-**-**</v>
      </c>
      <c r="X2991" t="s">
        <v>838</v>
      </c>
      <c r="Y2991">
        <v>256.25</v>
      </c>
      <c r="Z2991">
        <v>1125</v>
      </c>
      <c r="AA2991" t="str">
        <f t="shared" si="783"/>
        <v>06/08/2016</v>
      </c>
    </row>
    <row r="2992" spans="1:27" x14ac:dyDescent="0.3">
      <c r="A2992" t="str">
        <f t="shared" si="774"/>
        <v>048314</v>
      </c>
      <c r="B2992" t="str">
        <f t="shared" si="784"/>
        <v>070417</v>
      </c>
      <c r="C2992" t="s">
        <v>2742</v>
      </c>
      <c r="D2992" t="s">
        <v>3839</v>
      </c>
      <c r="E2992" t="s">
        <v>3840</v>
      </c>
      <c r="F2992" t="s">
        <v>3841</v>
      </c>
      <c r="G2992" t="s">
        <v>3842</v>
      </c>
      <c r="H2992" t="str">
        <f t="shared" si="782"/>
        <v>048314</v>
      </c>
      <c r="I2992" t="s">
        <v>833</v>
      </c>
      <c r="J2992" t="str">
        <f>"2015-07-01 00:00:00.0"</f>
        <v>2015-07-01 00:00:00.0</v>
      </c>
      <c r="K2992" t="s">
        <v>834</v>
      </c>
      <c r="L2992" t="s">
        <v>0</v>
      </c>
      <c r="M2992" t="str">
        <f t="shared" si="780"/>
        <v>048314</v>
      </c>
      <c r="N2992">
        <v>1</v>
      </c>
      <c r="O2992">
        <v>1</v>
      </c>
      <c r="P2992" t="str">
        <f>"09"</f>
        <v>09</v>
      </c>
      <c r="Q2992" t="s">
        <v>835</v>
      </c>
      <c r="S2992" t="s">
        <v>836</v>
      </c>
      <c r="T2992" t="s">
        <v>836</v>
      </c>
      <c r="U2992" t="str">
        <f t="shared" ref="U2992:U2998" si="786">"2500-12-31 00:00:00.0"</f>
        <v>2500-12-31 00:00:00.0</v>
      </c>
      <c r="V2992" t="s">
        <v>837</v>
      </c>
      <c r="W2992" t="str">
        <f>"048314-004796-**-**"</f>
        <v>048314-004796-**-**</v>
      </c>
      <c r="X2992" t="s">
        <v>838</v>
      </c>
      <c r="Y2992">
        <v>1254.5</v>
      </c>
      <c r="Z2992">
        <v>1254.5</v>
      </c>
      <c r="AA2992" t="str">
        <f t="shared" si="783"/>
        <v>06/08/2016</v>
      </c>
    </row>
    <row r="2993" spans="1:27" x14ac:dyDescent="0.3">
      <c r="A2993" t="str">
        <f t="shared" si="774"/>
        <v>048314</v>
      </c>
      <c r="B2993" t="str">
        <f t="shared" si="784"/>
        <v>070417</v>
      </c>
      <c r="C2993" t="s">
        <v>2225</v>
      </c>
      <c r="D2993" t="s">
        <v>3839</v>
      </c>
      <c r="E2993" t="s">
        <v>3840</v>
      </c>
      <c r="F2993" t="s">
        <v>3841</v>
      </c>
      <c r="G2993" t="s">
        <v>3842</v>
      </c>
      <c r="H2993" t="str">
        <f t="shared" si="782"/>
        <v>048314</v>
      </c>
      <c r="I2993" t="s">
        <v>833</v>
      </c>
      <c r="J2993" t="str">
        <f>"2015-07-01 00:00:00.0"</f>
        <v>2015-07-01 00:00:00.0</v>
      </c>
      <c r="K2993" t="s">
        <v>834</v>
      </c>
      <c r="L2993" t="s">
        <v>0</v>
      </c>
      <c r="M2993" t="str">
        <f t="shared" si="780"/>
        <v>048314</v>
      </c>
      <c r="N2993">
        <v>1</v>
      </c>
      <c r="O2993">
        <v>1</v>
      </c>
      <c r="P2993" t="str">
        <f>"08"</f>
        <v>08</v>
      </c>
      <c r="Q2993" t="s">
        <v>835</v>
      </c>
      <c r="S2993" t="s">
        <v>836</v>
      </c>
      <c r="T2993" t="s">
        <v>836</v>
      </c>
      <c r="U2993" t="str">
        <f t="shared" si="786"/>
        <v>2500-12-31 00:00:00.0</v>
      </c>
      <c r="V2993" t="s">
        <v>837</v>
      </c>
      <c r="W2993" t="str">
        <f>"048314-070417-**-**"</f>
        <v>048314-070417-**-**</v>
      </c>
      <c r="X2993" t="s">
        <v>838</v>
      </c>
      <c r="Y2993">
        <v>1125</v>
      </c>
      <c r="Z2993">
        <v>1125</v>
      </c>
      <c r="AA2993" t="str">
        <f t="shared" si="783"/>
        <v>06/08/2016</v>
      </c>
    </row>
    <row r="2994" spans="1:27" x14ac:dyDescent="0.3">
      <c r="A2994" t="str">
        <f t="shared" si="774"/>
        <v>048314</v>
      </c>
      <c r="B2994" t="str">
        <f t="shared" si="784"/>
        <v>070417</v>
      </c>
      <c r="C2994" t="s">
        <v>2285</v>
      </c>
      <c r="D2994" t="s">
        <v>3839</v>
      </c>
      <c r="E2994" t="s">
        <v>3840</v>
      </c>
      <c r="F2994" t="s">
        <v>3841</v>
      </c>
      <c r="G2994" t="s">
        <v>3842</v>
      </c>
      <c r="H2994" t="str">
        <f t="shared" si="782"/>
        <v>048314</v>
      </c>
      <c r="I2994" t="s">
        <v>833</v>
      </c>
      <c r="J2994" t="str">
        <f>"2015-08-01 00:00:00.0"</f>
        <v>2015-08-01 00:00:00.0</v>
      </c>
      <c r="K2994" t="s">
        <v>834</v>
      </c>
      <c r="L2994" t="s">
        <v>0</v>
      </c>
      <c r="M2994" t="str">
        <f t="shared" si="780"/>
        <v>048314</v>
      </c>
      <c r="N2994">
        <v>1</v>
      </c>
      <c r="O2994">
        <v>1</v>
      </c>
      <c r="P2994" t="str">
        <f>"05"</f>
        <v>05</v>
      </c>
      <c r="Q2994" t="s">
        <v>835</v>
      </c>
      <c r="S2994" t="s">
        <v>836</v>
      </c>
      <c r="T2994" t="s">
        <v>836</v>
      </c>
      <c r="U2994" t="str">
        <f t="shared" si="786"/>
        <v>2500-12-31 00:00:00.0</v>
      </c>
      <c r="V2994" t="s">
        <v>837</v>
      </c>
      <c r="W2994" t="str">
        <f>"048314-070417-**-**"</f>
        <v>048314-070417-**-**</v>
      </c>
      <c r="X2994" t="s">
        <v>838</v>
      </c>
      <c r="Y2994">
        <v>1125</v>
      </c>
      <c r="Z2994">
        <v>1125</v>
      </c>
      <c r="AA2994" t="str">
        <f t="shared" si="783"/>
        <v>06/08/2016</v>
      </c>
    </row>
    <row r="2995" spans="1:27" x14ac:dyDescent="0.3">
      <c r="A2995" t="str">
        <f t="shared" si="774"/>
        <v>048314</v>
      </c>
      <c r="B2995" t="str">
        <f t="shared" si="784"/>
        <v>070417</v>
      </c>
      <c r="C2995" t="s">
        <v>2467</v>
      </c>
      <c r="D2995" t="s">
        <v>3839</v>
      </c>
      <c r="E2995" t="s">
        <v>3840</v>
      </c>
      <c r="F2995" t="s">
        <v>3841</v>
      </c>
      <c r="G2995" t="s">
        <v>3842</v>
      </c>
      <c r="H2995" t="str">
        <f t="shared" si="782"/>
        <v>048314</v>
      </c>
      <c r="I2995" t="s">
        <v>833</v>
      </c>
      <c r="J2995" t="str">
        <f>"2015-07-01 00:00:00.0"</f>
        <v>2015-07-01 00:00:00.0</v>
      </c>
      <c r="K2995" t="s">
        <v>834</v>
      </c>
      <c r="L2995" t="s">
        <v>0</v>
      </c>
      <c r="M2995" t="str">
        <f t="shared" si="780"/>
        <v>048314</v>
      </c>
      <c r="N2995">
        <v>1</v>
      </c>
      <c r="O2995">
        <v>1</v>
      </c>
      <c r="P2995" t="str">
        <f>"07"</f>
        <v>07</v>
      </c>
      <c r="Q2995" t="s">
        <v>835</v>
      </c>
      <c r="S2995" t="s">
        <v>836</v>
      </c>
      <c r="T2995" t="s">
        <v>836</v>
      </c>
      <c r="U2995" t="str">
        <f t="shared" si="786"/>
        <v>2500-12-31 00:00:00.0</v>
      </c>
      <c r="V2995" t="s">
        <v>837</v>
      </c>
      <c r="W2995" t="str">
        <f>"048314-070417-**-**"</f>
        <v>048314-070417-**-**</v>
      </c>
      <c r="X2995" t="s">
        <v>838</v>
      </c>
      <c r="Y2995">
        <v>1125</v>
      </c>
      <c r="Z2995">
        <v>1125</v>
      </c>
      <c r="AA2995" t="str">
        <f t="shared" si="783"/>
        <v>06/08/2016</v>
      </c>
    </row>
    <row r="2996" spans="1:27" x14ac:dyDescent="0.3">
      <c r="A2996" t="str">
        <f t="shared" si="774"/>
        <v>048314</v>
      </c>
      <c r="B2996" t="str">
        <f t="shared" si="784"/>
        <v>070417</v>
      </c>
      <c r="C2996" t="s">
        <v>1967</v>
      </c>
      <c r="D2996" t="s">
        <v>3839</v>
      </c>
      <c r="E2996" t="s">
        <v>3840</v>
      </c>
      <c r="F2996" t="s">
        <v>3841</v>
      </c>
      <c r="G2996" t="s">
        <v>3842</v>
      </c>
      <c r="H2996" t="str">
        <f t="shared" si="782"/>
        <v>048314</v>
      </c>
      <c r="I2996" t="s">
        <v>833</v>
      </c>
      <c r="J2996" t="str">
        <f>"2015-07-01 00:00:00.0"</f>
        <v>2015-07-01 00:00:00.0</v>
      </c>
      <c r="K2996" t="s">
        <v>834</v>
      </c>
      <c r="L2996" t="s">
        <v>0</v>
      </c>
      <c r="M2996" t="str">
        <f t="shared" si="780"/>
        <v>048314</v>
      </c>
      <c r="N2996">
        <v>1</v>
      </c>
      <c r="O2996">
        <v>1</v>
      </c>
      <c r="P2996" t="str">
        <f>"09"</f>
        <v>09</v>
      </c>
      <c r="Q2996" t="s">
        <v>835</v>
      </c>
      <c r="S2996" t="s">
        <v>836</v>
      </c>
      <c r="T2996" t="s">
        <v>836</v>
      </c>
      <c r="U2996" t="str">
        <f t="shared" si="786"/>
        <v>2500-12-31 00:00:00.0</v>
      </c>
      <c r="V2996" t="s">
        <v>837</v>
      </c>
      <c r="W2996" t="str">
        <f>"048314-004796-**-**"</f>
        <v>048314-004796-**-**</v>
      </c>
      <c r="X2996" t="s">
        <v>838</v>
      </c>
      <c r="Y2996">
        <v>1254.5</v>
      </c>
      <c r="Z2996">
        <v>1254.5</v>
      </c>
      <c r="AA2996" t="str">
        <f t="shared" si="783"/>
        <v>06/08/2016</v>
      </c>
    </row>
    <row r="2997" spans="1:27" x14ac:dyDescent="0.3">
      <c r="A2997" t="str">
        <f t="shared" si="774"/>
        <v>048314</v>
      </c>
      <c r="B2997" t="str">
        <f t="shared" si="784"/>
        <v>070417</v>
      </c>
      <c r="C2997" t="s">
        <v>3490</v>
      </c>
      <c r="D2997" t="s">
        <v>3839</v>
      </c>
      <c r="E2997" t="s">
        <v>3840</v>
      </c>
      <c r="F2997" t="s">
        <v>3841</v>
      </c>
      <c r="G2997" t="s">
        <v>3842</v>
      </c>
      <c r="H2997" t="str">
        <f t="shared" si="782"/>
        <v>048314</v>
      </c>
      <c r="I2997" t="s">
        <v>833</v>
      </c>
      <c r="J2997" t="str">
        <f>"2015-07-01 00:00:00.0"</f>
        <v>2015-07-01 00:00:00.0</v>
      </c>
      <c r="K2997" t="s">
        <v>834</v>
      </c>
      <c r="L2997" t="s">
        <v>0</v>
      </c>
      <c r="M2997" t="str">
        <f t="shared" si="780"/>
        <v>048314</v>
      </c>
      <c r="N2997">
        <v>1</v>
      </c>
      <c r="O2997">
        <v>1</v>
      </c>
      <c r="P2997" t="str">
        <f>"08"</f>
        <v>08</v>
      </c>
      <c r="Q2997" t="s">
        <v>835</v>
      </c>
      <c r="S2997" t="s">
        <v>836</v>
      </c>
      <c r="T2997" t="s">
        <v>836</v>
      </c>
      <c r="U2997" t="str">
        <f t="shared" si="786"/>
        <v>2500-12-31 00:00:00.0</v>
      </c>
      <c r="V2997" t="s">
        <v>837</v>
      </c>
      <c r="W2997" t="str">
        <f>"048314-070417-**-**"</f>
        <v>048314-070417-**-**</v>
      </c>
      <c r="X2997" t="s">
        <v>838</v>
      </c>
      <c r="Y2997">
        <v>1125</v>
      </c>
      <c r="Z2997">
        <v>1125</v>
      </c>
      <c r="AA2997" t="str">
        <f t="shared" si="783"/>
        <v>06/08/2016</v>
      </c>
    </row>
    <row r="2998" spans="1:27" x14ac:dyDescent="0.3">
      <c r="A2998" t="str">
        <f t="shared" si="774"/>
        <v>048314</v>
      </c>
      <c r="B2998" t="str">
        <f t="shared" si="784"/>
        <v>070417</v>
      </c>
      <c r="C2998" t="s">
        <v>2468</v>
      </c>
      <c r="D2998" t="s">
        <v>3839</v>
      </c>
      <c r="E2998" t="s">
        <v>3840</v>
      </c>
      <c r="F2998" t="s">
        <v>3841</v>
      </c>
      <c r="G2998" t="s">
        <v>3842</v>
      </c>
      <c r="H2998" t="str">
        <f t="shared" si="782"/>
        <v>048314</v>
      </c>
      <c r="I2998" t="s">
        <v>833</v>
      </c>
      <c r="J2998" t="str">
        <f>"2015-07-01 00:00:00.0"</f>
        <v>2015-07-01 00:00:00.0</v>
      </c>
      <c r="K2998" t="s">
        <v>834</v>
      </c>
      <c r="L2998" t="s">
        <v>0</v>
      </c>
      <c r="M2998" t="str">
        <f t="shared" si="780"/>
        <v>048314</v>
      </c>
      <c r="N2998">
        <v>1</v>
      </c>
      <c r="O2998">
        <v>1</v>
      </c>
      <c r="P2998" t="str">
        <f>"07"</f>
        <v>07</v>
      </c>
      <c r="Q2998" t="s">
        <v>835</v>
      </c>
      <c r="S2998" t="s">
        <v>836</v>
      </c>
      <c r="T2998" t="s">
        <v>836</v>
      </c>
      <c r="U2998" t="str">
        <f t="shared" si="786"/>
        <v>2500-12-31 00:00:00.0</v>
      </c>
      <c r="V2998" t="s">
        <v>837</v>
      </c>
      <c r="W2998" t="str">
        <f>"048314-070417-**-**"</f>
        <v>048314-070417-**-**</v>
      </c>
      <c r="X2998" t="s">
        <v>838</v>
      </c>
      <c r="Y2998">
        <v>1125</v>
      </c>
      <c r="Z2998">
        <v>1125</v>
      </c>
      <c r="AA2998" t="str">
        <f t="shared" si="783"/>
        <v>06/08/2016</v>
      </c>
    </row>
    <row r="2999" spans="1:27" x14ac:dyDescent="0.3">
      <c r="A2999" t="str">
        <f t="shared" si="774"/>
        <v>048314</v>
      </c>
      <c r="B2999" t="str">
        <f t="shared" si="784"/>
        <v>070417</v>
      </c>
      <c r="C2999" t="s">
        <v>2226</v>
      </c>
      <c r="D2999" t="s">
        <v>3839</v>
      </c>
      <c r="E2999" t="s">
        <v>3840</v>
      </c>
      <c r="F2999" t="s">
        <v>3841</v>
      </c>
      <c r="G2999" t="s">
        <v>3842</v>
      </c>
      <c r="H2999" t="str">
        <f t="shared" si="782"/>
        <v>048314</v>
      </c>
      <c r="I2999" t="s">
        <v>833</v>
      </c>
      <c r="J2999" t="str">
        <f>"2015-07-01 00:00:00.0"</f>
        <v>2015-07-01 00:00:00.0</v>
      </c>
      <c r="K2999" t="s">
        <v>834</v>
      </c>
      <c r="L2999" t="s">
        <v>0</v>
      </c>
      <c r="M2999" t="str">
        <f t="shared" si="780"/>
        <v>048314</v>
      </c>
      <c r="N2999">
        <v>0.47222199999999998</v>
      </c>
      <c r="O2999">
        <v>0.47222199999999998</v>
      </c>
      <c r="P2999" t="str">
        <f>"08"</f>
        <v>08</v>
      </c>
      <c r="Q2999" t="str">
        <f>"10"</f>
        <v>10</v>
      </c>
      <c r="R2999" t="str">
        <f>"2"</f>
        <v>2</v>
      </c>
      <c r="S2999" t="s">
        <v>836</v>
      </c>
      <c r="T2999" t="s">
        <v>836</v>
      </c>
      <c r="U2999" t="str">
        <f>"2016-01-13 00:00:00.0"</f>
        <v>2016-01-13 00:00:00.0</v>
      </c>
      <c r="V2999" t="s">
        <v>837</v>
      </c>
      <c r="W2999" t="str">
        <f>"048314-070417-**-**"</f>
        <v>048314-070417-**-**</v>
      </c>
      <c r="X2999" t="s">
        <v>838</v>
      </c>
      <c r="Y2999">
        <v>531.25</v>
      </c>
      <c r="Z2999">
        <v>1125</v>
      </c>
      <c r="AA2999" t="str">
        <f t="shared" si="783"/>
        <v>06/08/2016</v>
      </c>
    </row>
    <row r="3000" spans="1:27" x14ac:dyDescent="0.3">
      <c r="A3000" t="str">
        <f t="shared" si="774"/>
        <v>048314</v>
      </c>
      <c r="B3000" t="str">
        <f t="shared" si="784"/>
        <v>070417</v>
      </c>
      <c r="C3000" t="s">
        <v>2226</v>
      </c>
      <c r="D3000" t="s">
        <v>3839</v>
      </c>
      <c r="E3000" t="s">
        <v>3840</v>
      </c>
      <c r="F3000" t="s">
        <v>3841</v>
      </c>
      <c r="G3000" t="s">
        <v>3842</v>
      </c>
      <c r="H3000" t="str">
        <f t="shared" si="782"/>
        <v>048314</v>
      </c>
      <c r="I3000" t="s">
        <v>833</v>
      </c>
      <c r="J3000" t="str">
        <f>"2016-01-14 00:00:00.0"</f>
        <v>2016-01-14 00:00:00.0</v>
      </c>
      <c r="K3000" t="s">
        <v>834</v>
      </c>
      <c r="L3000" t="s">
        <v>0</v>
      </c>
      <c r="M3000" t="str">
        <f t="shared" si="780"/>
        <v>048314</v>
      </c>
      <c r="N3000">
        <v>0.52777799999999997</v>
      </c>
      <c r="O3000">
        <v>0.52777799999999997</v>
      </c>
      <c r="P3000" t="str">
        <f>"08"</f>
        <v>08</v>
      </c>
      <c r="Q3000" t="s">
        <v>835</v>
      </c>
      <c r="S3000" t="s">
        <v>836</v>
      </c>
      <c r="T3000" t="s">
        <v>836</v>
      </c>
      <c r="U3000" t="str">
        <f t="shared" ref="U3000:U3016" si="787">"2500-12-31 00:00:00.0"</f>
        <v>2500-12-31 00:00:00.0</v>
      </c>
      <c r="V3000" t="s">
        <v>837</v>
      </c>
      <c r="W3000" t="str">
        <f>"048314-070417-**-**"</f>
        <v>048314-070417-**-**</v>
      </c>
      <c r="X3000" t="s">
        <v>838</v>
      </c>
      <c r="Y3000">
        <v>593.75</v>
      </c>
      <c r="Z3000">
        <v>1125</v>
      </c>
      <c r="AA3000" t="str">
        <f t="shared" si="783"/>
        <v>06/08/2016</v>
      </c>
    </row>
    <row r="3001" spans="1:27" x14ac:dyDescent="0.3">
      <c r="A3001" t="str">
        <f t="shared" si="774"/>
        <v>048314</v>
      </c>
      <c r="B3001" t="str">
        <f t="shared" si="784"/>
        <v>070417</v>
      </c>
      <c r="C3001" t="s">
        <v>2164</v>
      </c>
      <c r="D3001" t="s">
        <v>3839</v>
      </c>
      <c r="E3001" t="s">
        <v>3840</v>
      </c>
      <c r="F3001" t="s">
        <v>3841</v>
      </c>
      <c r="G3001" t="s">
        <v>3842</v>
      </c>
      <c r="H3001" t="str">
        <f t="shared" si="782"/>
        <v>048314</v>
      </c>
      <c r="I3001" t="s">
        <v>833</v>
      </c>
      <c r="J3001" t="str">
        <f>"2015-07-01 00:00:00.0"</f>
        <v>2015-07-01 00:00:00.0</v>
      </c>
      <c r="K3001" t="s">
        <v>834</v>
      </c>
      <c r="L3001" t="s">
        <v>0</v>
      </c>
      <c r="M3001" t="str">
        <f t="shared" si="780"/>
        <v>048314</v>
      </c>
      <c r="N3001">
        <v>1</v>
      </c>
      <c r="O3001">
        <v>1</v>
      </c>
      <c r="P3001" t="str">
        <f>"08"</f>
        <v>08</v>
      </c>
      <c r="Q3001" t="str">
        <f>"10"</f>
        <v>10</v>
      </c>
      <c r="R3001" t="str">
        <f>"2"</f>
        <v>2</v>
      </c>
      <c r="S3001" t="s">
        <v>860</v>
      </c>
      <c r="T3001" t="s">
        <v>836</v>
      </c>
      <c r="U3001" t="str">
        <f t="shared" si="787"/>
        <v>2500-12-31 00:00:00.0</v>
      </c>
      <c r="V3001" t="s">
        <v>837</v>
      </c>
      <c r="W3001" t="str">
        <f>"048314-070417-**-**"</f>
        <v>048314-070417-**-**</v>
      </c>
      <c r="X3001" t="s">
        <v>838</v>
      </c>
      <c r="Y3001">
        <v>1125</v>
      </c>
      <c r="Z3001">
        <v>1125</v>
      </c>
      <c r="AA3001" t="str">
        <f t="shared" si="783"/>
        <v>06/08/2016</v>
      </c>
    </row>
    <row r="3002" spans="1:27" x14ac:dyDescent="0.3">
      <c r="A3002" t="str">
        <f t="shared" si="774"/>
        <v>048314</v>
      </c>
      <c r="B3002" t="str">
        <f t="shared" si="784"/>
        <v>070417</v>
      </c>
      <c r="C3002" t="s">
        <v>1635</v>
      </c>
      <c r="D3002" t="s">
        <v>3839</v>
      </c>
      <c r="E3002" t="s">
        <v>3840</v>
      </c>
      <c r="F3002" t="s">
        <v>3841</v>
      </c>
      <c r="G3002" t="s">
        <v>3842</v>
      </c>
      <c r="H3002" t="str">
        <f>"048363"</f>
        <v>048363</v>
      </c>
      <c r="I3002" t="s">
        <v>833</v>
      </c>
      <c r="J3002" t="str">
        <f>"2015-07-01 00:00:00.0"</f>
        <v>2015-07-01 00:00:00.0</v>
      </c>
      <c r="K3002" t="s">
        <v>834</v>
      </c>
      <c r="L3002" t="s">
        <v>1</v>
      </c>
      <c r="M3002" t="str">
        <f t="shared" si="780"/>
        <v>048314</v>
      </c>
      <c r="N3002">
        <v>1</v>
      </c>
      <c r="O3002">
        <v>1</v>
      </c>
      <c r="P3002" t="str">
        <f>"08"</f>
        <v>08</v>
      </c>
      <c r="Q3002" t="s">
        <v>835</v>
      </c>
      <c r="S3002" t="s">
        <v>860</v>
      </c>
      <c r="T3002" t="s">
        <v>836</v>
      </c>
      <c r="U3002" t="str">
        <f t="shared" si="787"/>
        <v>2500-12-31 00:00:00.0</v>
      </c>
      <c r="V3002" t="s">
        <v>837</v>
      </c>
      <c r="W3002" t="str">
        <f>"048363-014522-**-**"</f>
        <v>048363-014522-**-**</v>
      </c>
      <c r="X3002" t="s">
        <v>838</v>
      </c>
      <c r="Y3002">
        <v>1127</v>
      </c>
      <c r="Z3002">
        <v>1127</v>
      </c>
      <c r="AA3002" t="str">
        <f>"06/15/2016"</f>
        <v>06/15/2016</v>
      </c>
    </row>
    <row r="3003" spans="1:27" x14ac:dyDescent="0.3">
      <c r="A3003" t="str">
        <f t="shared" si="774"/>
        <v>048314</v>
      </c>
      <c r="B3003" t="str">
        <f t="shared" si="784"/>
        <v>070417</v>
      </c>
      <c r="C3003" t="s">
        <v>1909</v>
      </c>
      <c r="D3003" t="s">
        <v>3839</v>
      </c>
      <c r="E3003" t="s">
        <v>3840</v>
      </c>
      <c r="F3003" t="s">
        <v>3841</v>
      </c>
      <c r="G3003" t="s">
        <v>3842</v>
      </c>
      <c r="H3003" t="str">
        <f>"048314"</f>
        <v>048314</v>
      </c>
      <c r="I3003" t="s">
        <v>833</v>
      </c>
      <c r="J3003" t="str">
        <f>"2015-07-01 00:00:00.0"</f>
        <v>2015-07-01 00:00:00.0</v>
      </c>
      <c r="K3003" t="s">
        <v>834</v>
      </c>
      <c r="L3003" t="s">
        <v>0</v>
      </c>
      <c r="M3003" t="str">
        <f t="shared" si="780"/>
        <v>048314</v>
      </c>
      <c r="N3003">
        <v>1</v>
      </c>
      <c r="O3003">
        <v>1</v>
      </c>
      <c r="P3003" t="str">
        <f>"09"</f>
        <v>09</v>
      </c>
      <c r="Q3003" t="s">
        <v>835</v>
      </c>
      <c r="S3003" t="s">
        <v>836</v>
      </c>
      <c r="T3003" t="s">
        <v>836</v>
      </c>
      <c r="U3003" t="str">
        <f t="shared" si="787"/>
        <v>2500-12-31 00:00:00.0</v>
      </c>
      <c r="V3003" t="s">
        <v>837</v>
      </c>
      <c r="W3003" t="str">
        <f>"048314-004796-**-**"</f>
        <v>048314-004796-**-**</v>
      </c>
      <c r="X3003" t="s">
        <v>838</v>
      </c>
      <c r="Y3003">
        <v>1254.5</v>
      </c>
      <c r="Z3003">
        <v>1254.5</v>
      </c>
      <c r="AA3003" t="str">
        <f>"06/08/2016"</f>
        <v>06/08/2016</v>
      </c>
    </row>
    <row r="3004" spans="1:27" x14ac:dyDescent="0.3">
      <c r="A3004" t="str">
        <f t="shared" si="774"/>
        <v>048314</v>
      </c>
      <c r="B3004" t="str">
        <f t="shared" si="784"/>
        <v>070417</v>
      </c>
      <c r="C3004" t="s">
        <v>2165</v>
      </c>
      <c r="D3004" t="s">
        <v>3839</v>
      </c>
      <c r="E3004" t="s">
        <v>3840</v>
      </c>
      <c r="F3004" t="s">
        <v>3841</v>
      </c>
      <c r="G3004" t="s">
        <v>3842</v>
      </c>
      <c r="H3004" t="str">
        <f>"048314"</f>
        <v>048314</v>
      </c>
      <c r="I3004" t="s">
        <v>833</v>
      </c>
      <c r="J3004" t="str">
        <f>"2015-07-01 00:00:00.0"</f>
        <v>2015-07-01 00:00:00.0</v>
      </c>
      <c r="K3004" t="s">
        <v>834</v>
      </c>
      <c r="L3004" t="s">
        <v>0</v>
      </c>
      <c r="M3004" t="str">
        <f t="shared" si="780"/>
        <v>048314</v>
      </c>
      <c r="N3004">
        <v>1</v>
      </c>
      <c r="O3004">
        <v>1</v>
      </c>
      <c r="P3004" t="str">
        <f>"08"</f>
        <v>08</v>
      </c>
      <c r="Q3004" t="s">
        <v>835</v>
      </c>
      <c r="S3004" t="s">
        <v>836</v>
      </c>
      <c r="T3004" t="s">
        <v>836</v>
      </c>
      <c r="U3004" t="str">
        <f t="shared" si="787"/>
        <v>2500-12-31 00:00:00.0</v>
      </c>
      <c r="V3004" t="s">
        <v>837</v>
      </c>
      <c r="W3004" t="str">
        <f>"048314-070417-**-**"</f>
        <v>048314-070417-**-**</v>
      </c>
      <c r="X3004" t="s">
        <v>838</v>
      </c>
      <c r="Y3004">
        <v>1125</v>
      </c>
      <c r="Z3004">
        <v>1125</v>
      </c>
      <c r="AA3004" t="str">
        <f>"06/08/2016"</f>
        <v>06/08/2016</v>
      </c>
    </row>
    <row r="3005" spans="1:27" x14ac:dyDescent="0.3">
      <c r="A3005" t="str">
        <f t="shared" si="774"/>
        <v>048314</v>
      </c>
      <c r="B3005" t="str">
        <f t="shared" si="784"/>
        <v>070417</v>
      </c>
      <c r="C3005" t="s">
        <v>3134</v>
      </c>
      <c r="D3005" t="s">
        <v>3839</v>
      </c>
      <c r="E3005" t="s">
        <v>3840</v>
      </c>
      <c r="F3005" t="s">
        <v>3841</v>
      </c>
      <c r="G3005" t="s">
        <v>3842</v>
      </c>
      <c r="H3005" t="str">
        <f>"048314"</f>
        <v>048314</v>
      </c>
      <c r="I3005" t="s">
        <v>833</v>
      </c>
      <c r="J3005" t="str">
        <f>"2015-07-01 00:00:00.0"</f>
        <v>2015-07-01 00:00:00.0</v>
      </c>
      <c r="K3005" t="s">
        <v>834</v>
      </c>
      <c r="L3005" t="s">
        <v>0</v>
      </c>
      <c r="M3005" t="str">
        <f t="shared" si="780"/>
        <v>048314</v>
      </c>
      <c r="N3005">
        <v>1</v>
      </c>
      <c r="O3005">
        <v>1</v>
      </c>
      <c r="P3005" t="str">
        <f>"09"</f>
        <v>09</v>
      </c>
      <c r="Q3005" t="s">
        <v>835</v>
      </c>
      <c r="S3005" t="s">
        <v>836</v>
      </c>
      <c r="T3005" t="s">
        <v>836</v>
      </c>
      <c r="U3005" t="str">
        <f t="shared" si="787"/>
        <v>2500-12-31 00:00:00.0</v>
      </c>
      <c r="V3005" t="s">
        <v>837</v>
      </c>
      <c r="W3005" t="str">
        <f>"048314-004796-**-**"</f>
        <v>048314-004796-**-**</v>
      </c>
      <c r="X3005" t="s">
        <v>838</v>
      </c>
      <c r="Y3005">
        <v>1254.5</v>
      </c>
      <c r="Z3005">
        <v>1254.5</v>
      </c>
      <c r="AA3005" t="str">
        <f>"06/08/2016"</f>
        <v>06/08/2016</v>
      </c>
    </row>
    <row r="3006" spans="1:27" x14ac:dyDescent="0.3">
      <c r="A3006" t="str">
        <f t="shared" si="774"/>
        <v>048314</v>
      </c>
      <c r="B3006" t="str">
        <f t="shared" si="784"/>
        <v>070417</v>
      </c>
      <c r="C3006" t="s">
        <v>2513</v>
      </c>
      <c r="D3006" t="s">
        <v>3839</v>
      </c>
      <c r="E3006" t="s">
        <v>3840</v>
      </c>
      <c r="F3006" t="s">
        <v>3841</v>
      </c>
      <c r="G3006" t="s">
        <v>3842</v>
      </c>
      <c r="H3006" t="str">
        <f>"148999"</f>
        <v>148999</v>
      </c>
      <c r="I3006" t="s">
        <v>833</v>
      </c>
      <c r="J3006" t="str">
        <f>"2015-08-26 00:00:00.0"</f>
        <v>2015-08-26 00:00:00.0</v>
      </c>
      <c r="K3006" t="s">
        <v>834</v>
      </c>
      <c r="L3006" t="s">
        <v>2</v>
      </c>
      <c r="M3006" t="str">
        <f t="shared" si="780"/>
        <v>048314</v>
      </c>
      <c r="N3006">
        <v>1</v>
      </c>
      <c r="O3006">
        <v>1</v>
      </c>
      <c r="P3006" t="str">
        <f>"09"</f>
        <v>09</v>
      </c>
      <c r="Q3006" t="s">
        <v>835</v>
      </c>
      <c r="S3006" t="s">
        <v>836</v>
      </c>
      <c r="T3006" t="s">
        <v>836</v>
      </c>
      <c r="U3006" t="str">
        <f t="shared" si="787"/>
        <v>2500-12-31 00:00:00.0</v>
      </c>
      <c r="V3006" t="s">
        <v>837</v>
      </c>
      <c r="W3006" t="str">
        <f>"148999-148999-09-**"</f>
        <v>148999-148999-09-**</v>
      </c>
      <c r="X3006" t="s">
        <v>865</v>
      </c>
      <c r="Y3006">
        <v>995.5</v>
      </c>
      <c r="Z3006">
        <v>995.5</v>
      </c>
      <c r="AA3006" t="str">
        <f>"05/23/2016"</f>
        <v>05/23/2016</v>
      </c>
    </row>
    <row r="3007" spans="1:27" x14ac:dyDescent="0.3">
      <c r="A3007" t="str">
        <f t="shared" si="774"/>
        <v>048314</v>
      </c>
      <c r="B3007" t="str">
        <f t="shared" si="784"/>
        <v>070417</v>
      </c>
      <c r="C3007" t="s">
        <v>2514</v>
      </c>
      <c r="D3007" t="s">
        <v>3839</v>
      </c>
      <c r="E3007" t="s">
        <v>3840</v>
      </c>
      <c r="F3007" t="s">
        <v>3841</v>
      </c>
      <c r="G3007" t="s">
        <v>3842</v>
      </c>
      <c r="H3007" t="str">
        <f t="shared" ref="H3007:H3014" si="788">"048314"</f>
        <v>048314</v>
      </c>
      <c r="I3007" t="s">
        <v>833</v>
      </c>
      <c r="J3007" t="str">
        <f t="shared" ref="J3007:J3015" si="789">"2015-07-01 00:00:00.0"</f>
        <v>2015-07-01 00:00:00.0</v>
      </c>
      <c r="K3007" t="s">
        <v>834</v>
      </c>
      <c r="L3007" t="s">
        <v>0</v>
      </c>
      <c r="M3007" t="str">
        <f t="shared" si="780"/>
        <v>048314</v>
      </c>
      <c r="N3007">
        <v>1</v>
      </c>
      <c r="O3007">
        <v>1</v>
      </c>
      <c r="P3007" t="str">
        <f>"08"</f>
        <v>08</v>
      </c>
      <c r="Q3007" t="s">
        <v>835</v>
      </c>
      <c r="S3007" t="s">
        <v>836</v>
      </c>
      <c r="T3007" t="s">
        <v>836</v>
      </c>
      <c r="U3007" t="str">
        <f t="shared" si="787"/>
        <v>2500-12-31 00:00:00.0</v>
      </c>
      <c r="V3007" t="s">
        <v>837</v>
      </c>
      <c r="W3007" t="str">
        <f>"048314-070417-**-**"</f>
        <v>048314-070417-**-**</v>
      </c>
      <c r="X3007" t="s">
        <v>838</v>
      </c>
      <c r="Y3007">
        <v>1125</v>
      </c>
      <c r="Z3007">
        <v>1125</v>
      </c>
      <c r="AA3007" t="str">
        <f t="shared" ref="AA3007:AA3014" si="790">"06/08/2016"</f>
        <v>06/08/2016</v>
      </c>
    </row>
    <row r="3008" spans="1:27" x14ac:dyDescent="0.3">
      <c r="A3008" t="str">
        <f t="shared" si="774"/>
        <v>048314</v>
      </c>
      <c r="B3008" t="str">
        <f t="shared" si="784"/>
        <v>070417</v>
      </c>
      <c r="C3008" t="s">
        <v>2743</v>
      </c>
      <c r="D3008" t="s">
        <v>3839</v>
      </c>
      <c r="E3008" t="s">
        <v>3840</v>
      </c>
      <c r="F3008" t="s">
        <v>3841</v>
      </c>
      <c r="G3008" t="s">
        <v>3842</v>
      </c>
      <c r="H3008" t="str">
        <f t="shared" si="788"/>
        <v>048314</v>
      </c>
      <c r="I3008" t="s">
        <v>833</v>
      </c>
      <c r="J3008" t="str">
        <f t="shared" si="789"/>
        <v>2015-07-01 00:00:00.0</v>
      </c>
      <c r="K3008" t="s">
        <v>834</v>
      </c>
      <c r="L3008" t="s">
        <v>0</v>
      </c>
      <c r="M3008" t="str">
        <f t="shared" si="780"/>
        <v>048314</v>
      </c>
      <c r="N3008">
        <v>1</v>
      </c>
      <c r="O3008">
        <v>1</v>
      </c>
      <c r="P3008" t="str">
        <f>"06"</f>
        <v>06</v>
      </c>
      <c r="Q3008" t="s">
        <v>835</v>
      </c>
      <c r="S3008" t="s">
        <v>836</v>
      </c>
      <c r="T3008" t="s">
        <v>836</v>
      </c>
      <c r="U3008" t="str">
        <f t="shared" si="787"/>
        <v>2500-12-31 00:00:00.0</v>
      </c>
      <c r="V3008" t="s">
        <v>837</v>
      </c>
      <c r="W3008" t="str">
        <f>"048314-070417-**-**"</f>
        <v>048314-070417-**-**</v>
      </c>
      <c r="X3008" t="s">
        <v>838</v>
      </c>
      <c r="Y3008">
        <v>1125</v>
      </c>
      <c r="Z3008">
        <v>1125</v>
      </c>
      <c r="AA3008" t="str">
        <f t="shared" si="790"/>
        <v>06/08/2016</v>
      </c>
    </row>
    <row r="3009" spans="1:27" x14ac:dyDescent="0.3">
      <c r="A3009" t="str">
        <f t="shared" si="774"/>
        <v>048314</v>
      </c>
      <c r="B3009" t="str">
        <f t="shared" si="784"/>
        <v>070417</v>
      </c>
      <c r="C3009" t="s">
        <v>2504</v>
      </c>
      <c r="D3009" t="s">
        <v>3839</v>
      </c>
      <c r="E3009" t="s">
        <v>3840</v>
      </c>
      <c r="F3009" t="s">
        <v>3841</v>
      </c>
      <c r="G3009" t="s">
        <v>3842</v>
      </c>
      <c r="H3009" t="str">
        <f t="shared" si="788"/>
        <v>048314</v>
      </c>
      <c r="I3009" t="s">
        <v>833</v>
      </c>
      <c r="J3009" t="str">
        <f t="shared" si="789"/>
        <v>2015-07-01 00:00:00.0</v>
      </c>
      <c r="K3009" t="s">
        <v>834</v>
      </c>
      <c r="L3009" t="s">
        <v>0</v>
      </c>
      <c r="M3009" t="str">
        <f t="shared" si="780"/>
        <v>048314</v>
      </c>
      <c r="N3009">
        <v>1</v>
      </c>
      <c r="O3009">
        <v>1</v>
      </c>
      <c r="P3009" t="str">
        <f>"08"</f>
        <v>08</v>
      </c>
      <c r="Q3009" t="s">
        <v>835</v>
      </c>
      <c r="S3009" t="s">
        <v>836</v>
      </c>
      <c r="T3009" t="s">
        <v>836</v>
      </c>
      <c r="U3009" t="str">
        <f t="shared" si="787"/>
        <v>2500-12-31 00:00:00.0</v>
      </c>
      <c r="V3009" t="s">
        <v>837</v>
      </c>
      <c r="W3009" t="str">
        <f>"048314-070417-**-**"</f>
        <v>048314-070417-**-**</v>
      </c>
      <c r="X3009" t="s">
        <v>838</v>
      </c>
      <c r="Y3009">
        <v>1125</v>
      </c>
      <c r="Z3009">
        <v>1125</v>
      </c>
      <c r="AA3009" t="str">
        <f t="shared" si="790"/>
        <v>06/08/2016</v>
      </c>
    </row>
    <row r="3010" spans="1:27" x14ac:dyDescent="0.3">
      <c r="A3010" t="str">
        <f t="shared" ref="A3010:A3052" si="791">"048314"</f>
        <v>048314</v>
      </c>
      <c r="B3010" t="str">
        <f t="shared" si="784"/>
        <v>070417</v>
      </c>
      <c r="C3010" t="s">
        <v>2744</v>
      </c>
      <c r="D3010" t="s">
        <v>3839</v>
      </c>
      <c r="E3010" t="s">
        <v>3840</v>
      </c>
      <c r="F3010" t="s">
        <v>3841</v>
      </c>
      <c r="G3010" t="s">
        <v>3842</v>
      </c>
      <c r="H3010" t="str">
        <f t="shared" si="788"/>
        <v>048314</v>
      </c>
      <c r="I3010" t="s">
        <v>833</v>
      </c>
      <c r="J3010" t="str">
        <f t="shared" si="789"/>
        <v>2015-07-01 00:00:00.0</v>
      </c>
      <c r="K3010" t="s">
        <v>834</v>
      </c>
      <c r="L3010" t="s">
        <v>0</v>
      </c>
      <c r="M3010" t="str">
        <f t="shared" si="780"/>
        <v>048314</v>
      </c>
      <c r="N3010">
        <v>1</v>
      </c>
      <c r="O3010">
        <v>1</v>
      </c>
      <c r="P3010" t="str">
        <f>"06"</f>
        <v>06</v>
      </c>
      <c r="Q3010" t="s">
        <v>835</v>
      </c>
      <c r="S3010" t="s">
        <v>836</v>
      </c>
      <c r="T3010" t="s">
        <v>836</v>
      </c>
      <c r="U3010" t="str">
        <f t="shared" si="787"/>
        <v>2500-12-31 00:00:00.0</v>
      </c>
      <c r="V3010" t="s">
        <v>837</v>
      </c>
      <c r="W3010" t="str">
        <f>"048314-070417-**-**"</f>
        <v>048314-070417-**-**</v>
      </c>
      <c r="X3010" t="s">
        <v>838</v>
      </c>
      <c r="Y3010">
        <v>1125</v>
      </c>
      <c r="Z3010">
        <v>1125</v>
      </c>
      <c r="AA3010" t="str">
        <f t="shared" si="790"/>
        <v>06/08/2016</v>
      </c>
    </row>
    <row r="3011" spans="1:27" x14ac:dyDescent="0.3">
      <c r="A3011" t="str">
        <f t="shared" si="791"/>
        <v>048314</v>
      </c>
      <c r="B3011" t="str">
        <f t="shared" si="784"/>
        <v>070417</v>
      </c>
      <c r="C3011" t="s">
        <v>1910</v>
      </c>
      <c r="D3011" t="s">
        <v>3839</v>
      </c>
      <c r="E3011" t="s">
        <v>3840</v>
      </c>
      <c r="F3011" t="s">
        <v>3841</v>
      </c>
      <c r="G3011" t="s">
        <v>3842</v>
      </c>
      <c r="H3011" t="str">
        <f t="shared" si="788"/>
        <v>048314</v>
      </c>
      <c r="I3011" t="s">
        <v>833</v>
      </c>
      <c r="J3011" t="str">
        <f t="shared" si="789"/>
        <v>2015-07-01 00:00:00.0</v>
      </c>
      <c r="K3011" t="s">
        <v>834</v>
      </c>
      <c r="L3011" t="s">
        <v>0</v>
      </c>
      <c r="M3011" t="str">
        <f t="shared" si="780"/>
        <v>048314</v>
      </c>
      <c r="N3011">
        <v>1</v>
      </c>
      <c r="O3011">
        <v>1</v>
      </c>
      <c r="P3011" t="str">
        <f>"09"</f>
        <v>09</v>
      </c>
      <c r="Q3011" t="s">
        <v>835</v>
      </c>
      <c r="S3011" t="s">
        <v>836</v>
      </c>
      <c r="T3011" t="s">
        <v>836</v>
      </c>
      <c r="U3011" t="str">
        <f t="shared" si="787"/>
        <v>2500-12-31 00:00:00.0</v>
      </c>
      <c r="V3011" t="s">
        <v>837</v>
      </c>
      <c r="W3011" t="str">
        <f>"048314-004796-**-**"</f>
        <v>048314-004796-**-**</v>
      </c>
      <c r="X3011" t="s">
        <v>838</v>
      </c>
      <c r="Y3011">
        <v>1254.5</v>
      </c>
      <c r="Z3011">
        <v>1254.5</v>
      </c>
      <c r="AA3011" t="str">
        <f t="shared" si="790"/>
        <v>06/08/2016</v>
      </c>
    </row>
    <row r="3012" spans="1:27" x14ac:dyDescent="0.3">
      <c r="A3012" t="str">
        <f t="shared" si="791"/>
        <v>048314</v>
      </c>
      <c r="B3012" t="str">
        <f t="shared" si="784"/>
        <v>070417</v>
      </c>
      <c r="C3012" t="s">
        <v>3621</v>
      </c>
      <c r="D3012" t="s">
        <v>3839</v>
      </c>
      <c r="E3012" t="s">
        <v>3840</v>
      </c>
      <c r="F3012" t="s">
        <v>3841</v>
      </c>
      <c r="G3012" t="s">
        <v>3842</v>
      </c>
      <c r="H3012" t="str">
        <f t="shared" si="788"/>
        <v>048314</v>
      </c>
      <c r="I3012" t="s">
        <v>833</v>
      </c>
      <c r="J3012" t="str">
        <f t="shared" si="789"/>
        <v>2015-07-01 00:00:00.0</v>
      </c>
      <c r="K3012" t="s">
        <v>834</v>
      </c>
      <c r="L3012" t="s">
        <v>0</v>
      </c>
      <c r="M3012" t="str">
        <f t="shared" si="780"/>
        <v>048314</v>
      </c>
      <c r="N3012">
        <v>1</v>
      </c>
      <c r="O3012">
        <v>1</v>
      </c>
      <c r="P3012" t="str">
        <f>"06"</f>
        <v>06</v>
      </c>
      <c r="Q3012" t="s">
        <v>835</v>
      </c>
      <c r="S3012" t="s">
        <v>836</v>
      </c>
      <c r="T3012" t="s">
        <v>836</v>
      </c>
      <c r="U3012" t="str">
        <f t="shared" si="787"/>
        <v>2500-12-31 00:00:00.0</v>
      </c>
      <c r="V3012" t="s">
        <v>837</v>
      </c>
      <c r="W3012" t="str">
        <f>"048314-070417-**-**"</f>
        <v>048314-070417-**-**</v>
      </c>
      <c r="X3012" t="s">
        <v>838</v>
      </c>
      <c r="Y3012">
        <v>1125</v>
      </c>
      <c r="Z3012">
        <v>1125</v>
      </c>
      <c r="AA3012" t="str">
        <f t="shared" si="790"/>
        <v>06/08/2016</v>
      </c>
    </row>
    <row r="3013" spans="1:27" x14ac:dyDescent="0.3">
      <c r="A3013" t="str">
        <f t="shared" si="791"/>
        <v>048314</v>
      </c>
      <c r="B3013" t="str">
        <f t="shared" si="784"/>
        <v>070417</v>
      </c>
      <c r="C3013" t="s">
        <v>2535</v>
      </c>
      <c r="D3013" t="s">
        <v>3839</v>
      </c>
      <c r="E3013" t="s">
        <v>3840</v>
      </c>
      <c r="F3013" t="s">
        <v>3841</v>
      </c>
      <c r="G3013" t="s">
        <v>3842</v>
      </c>
      <c r="H3013" t="str">
        <f t="shared" si="788"/>
        <v>048314</v>
      </c>
      <c r="I3013" t="s">
        <v>833</v>
      </c>
      <c r="J3013" t="str">
        <f t="shared" si="789"/>
        <v>2015-07-01 00:00:00.0</v>
      </c>
      <c r="K3013" t="s">
        <v>834</v>
      </c>
      <c r="L3013" t="s">
        <v>0</v>
      </c>
      <c r="M3013" t="str">
        <f t="shared" si="780"/>
        <v>048314</v>
      </c>
      <c r="N3013">
        <v>1</v>
      </c>
      <c r="O3013">
        <v>1</v>
      </c>
      <c r="P3013" t="str">
        <f>"07"</f>
        <v>07</v>
      </c>
      <c r="Q3013" t="str">
        <f>"10"</f>
        <v>10</v>
      </c>
      <c r="R3013" t="str">
        <f>"2"</f>
        <v>2</v>
      </c>
      <c r="S3013" t="s">
        <v>836</v>
      </c>
      <c r="T3013" t="s">
        <v>836</v>
      </c>
      <c r="U3013" t="str">
        <f t="shared" si="787"/>
        <v>2500-12-31 00:00:00.0</v>
      </c>
      <c r="V3013" t="s">
        <v>837</v>
      </c>
      <c r="W3013" t="str">
        <f>"048314-070417-**-**"</f>
        <v>048314-070417-**-**</v>
      </c>
      <c r="X3013" t="s">
        <v>838</v>
      </c>
      <c r="Y3013">
        <v>1125</v>
      </c>
      <c r="Z3013">
        <v>1125</v>
      </c>
      <c r="AA3013" t="str">
        <f t="shared" si="790"/>
        <v>06/08/2016</v>
      </c>
    </row>
    <row r="3014" spans="1:27" x14ac:dyDescent="0.3">
      <c r="A3014" t="str">
        <f t="shared" si="791"/>
        <v>048314</v>
      </c>
      <c r="B3014" t="str">
        <f t="shared" si="784"/>
        <v>070417</v>
      </c>
      <c r="C3014" t="s">
        <v>3599</v>
      </c>
      <c r="D3014" t="s">
        <v>3839</v>
      </c>
      <c r="E3014" t="s">
        <v>3840</v>
      </c>
      <c r="F3014" t="s">
        <v>3841</v>
      </c>
      <c r="G3014" t="s">
        <v>3842</v>
      </c>
      <c r="H3014" t="str">
        <f t="shared" si="788"/>
        <v>048314</v>
      </c>
      <c r="I3014" t="s">
        <v>833</v>
      </c>
      <c r="J3014" t="str">
        <f t="shared" si="789"/>
        <v>2015-07-01 00:00:00.0</v>
      </c>
      <c r="K3014" t="s">
        <v>834</v>
      </c>
      <c r="L3014" t="s">
        <v>0</v>
      </c>
      <c r="M3014" t="str">
        <f t="shared" si="780"/>
        <v>048314</v>
      </c>
      <c r="N3014">
        <v>1</v>
      </c>
      <c r="O3014">
        <v>1</v>
      </c>
      <c r="P3014" t="str">
        <f>"06"</f>
        <v>06</v>
      </c>
      <c r="Q3014" t="s">
        <v>835</v>
      </c>
      <c r="S3014" t="s">
        <v>836</v>
      </c>
      <c r="T3014" t="s">
        <v>836</v>
      </c>
      <c r="U3014" t="str">
        <f t="shared" si="787"/>
        <v>2500-12-31 00:00:00.0</v>
      </c>
      <c r="V3014" t="s">
        <v>837</v>
      </c>
      <c r="W3014" t="str">
        <f>"048314-070417-**-**"</f>
        <v>048314-070417-**-**</v>
      </c>
      <c r="X3014" t="s">
        <v>838</v>
      </c>
      <c r="Y3014">
        <v>1125</v>
      </c>
      <c r="Z3014">
        <v>1125</v>
      </c>
      <c r="AA3014" t="str">
        <f t="shared" si="790"/>
        <v>06/08/2016</v>
      </c>
    </row>
    <row r="3015" spans="1:27" x14ac:dyDescent="0.3">
      <c r="A3015" t="str">
        <f t="shared" si="791"/>
        <v>048314</v>
      </c>
      <c r="B3015" t="str">
        <f t="shared" si="784"/>
        <v>070417</v>
      </c>
      <c r="C3015" t="s">
        <v>2067</v>
      </c>
      <c r="D3015" t="s">
        <v>3839</v>
      </c>
      <c r="E3015" t="s">
        <v>3840</v>
      </c>
      <c r="F3015" t="s">
        <v>3841</v>
      </c>
      <c r="G3015" t="s">
        <v>3842</v>
      </c>
      <c r="H3015" t="str">
        <f>"048363"</f>
        <v>048363</v>
      </c>
      <c r="I3015" t="s">
        <v>833</v>
      </c>
      <c r="J3015" t="str">
        <f t="shared" si="789"/>
        <v>2015-07-01 00:00:00.0</v>
      </c>
      <c r="K3015" t="s">
        <v>834</v>
      </c>
      <c r="L3015" t="s">
        <v>138</v>
      </c>
      <c r="M3015" t="str">
        <f t="shared" si="780"/>
        <v>048314</v>
      </c>
      <c r="N3015">
        <v>1</v>
      </c>
      <c r="O3015">
        <v>1</v>
      </c>
      <c r="P3015" t="str">
        <f>"08"</f>
        <v>08</v>
      </c>
      <c r="Q3015" t="s">
        <v>835</v>
      </c>
      <c r="S3015" t="s">
        <v>836</v>
      </c>
      <c r="T3015" t="s">
        <v>836</v>
      </c>
      <c r="U3015" t="str">
        <f t="shared" si="787"/>
        <v>2500-12-31 00:00:00.0</v>
      </c>
      <c r="V3015" t="s">
        <v>837</v>
      </c>
      <c r="W3015" t="str">
        <f>"048363-014522-**-**"</f>
        <v>048363-014522-**-**</v>
      </c>
      <c r="X3015" t="s">
        <v>838</v>
      </c>
      <c r="Y3015">
        <v>1127</v>
      </c>
      <c r="Z3015">
        <v>1127</v>
      </c>
      <c r="AA3015" t="str">
        <f>"06/15/2016"</f>
        <v>06/15/2016</v>
      </c>
    </row>
    <row r="3016" spans="1:27" x14ac:dyDescent="0.3">
      <c r="A3016" t="str">
        <f t="shared" si="791"/>
        <v>048314</v>
      </c>
      <c r="B3016" t="str">
        <f t="shared" si="784"/>
        <v>070417</v>
      </c>
      <c r="C3016" t="s">
        <v>2240</v>
      </c>
      <c r="D3016" t="s">
        <v>3839</v>
      </c>
      <c r="E3016" t="s">
        <v>3840</v>
      </c>
      <c r="F3016" t="s">
        <v>3841</v>
      </c>
      <c r="G3016" t="s">
        <v>3842</v>
      </c>
      <c r="H3016" t="str">
        <f t="shared" ref="H3016:H3024" si="792">"048314"</f>
        <v>048314</v>
      </c>
      <c r="I3016" t="s">
        <v>833</v>
      </c>
      <c r="J3016" t="str">
        <f>"2016-02-05 00:00:00.0"</f>
        <v>2016-02-05 00:00:00.0</v>
      </c>
      <c r="K3016" t="s">
        <v>834</v>
      </c>
      <c r="L3016" t="s">
        <v>0</v>
      </c>
      <c r="M3016" t="str">
        <f t="shared" si="780"/>
        <v>048314</v>
      </c>
      <c r="N3016">
        <v>0.44444400000000001</v>
      </c>
      <c r="O3016">
        <v>0.44444400000000001</v>
      </c>
      <c r="P3016" t="str">
        <f>"07"</f>
        <v>07</v>
      </c>
      <c r="Q3016" t="str">
        <f>"15"</f>
        <v>15</v>
      </c>
      <c r="R3016" t="str">
        <f>"2"</f>
        <v>2</v>
      </c>
      <c r="S3016" t="s">
        <v>860</v>
      </c>
      <c r="T3016" t="s">
        <v>836</v>
      </c>
      <c r="U3016" t="str">
        <f t="shared" si="787"/>
        <v>2500-12-31 00:00:00.0</v>
      </c>
      <c r="V3016" t="s">
        <v>837</v>
      </c>
      <c r="W3016" t="str">
        <f>"048314-070417-**-**"</f>
        <v>048314-070417-**-**</v>
      </c>
      <c r="X3016" t="s">
        <v>838</v>
      </c>
      <c r="Y3016">
        <v>500</v>
      </c>
      <c r="Z3016">
        <v>1125</v>
      </c>
      <c r="AA3016" t="str">
        <f t="shared" ref="AA3016:AA3024" si="793">"06/08/2016"</f>
        <v>06/08/2016</v>
      </c>
    </row>
    <row r="3017" spans="1:27" x14ac:dyDescent="0.3">
      <c r="A3017" t="str">
        <f t="shared" si="791"/>
        <v>048314</v>
      </c>
      <c r="B3017" t="str">
        <f t="shared" si="784"/>
        <v>070417</v>
      </c>
      <c r="C3017" t="s">
        <v>2240</v>
      </c>
      <c r="D3017" t="s">
        <v>3839</v>
      </c>
      <c r="E3017" t="s">
        <v>3840</v>
      </c>
      <c r="F3017" t="s">
        <v>3841</v>
      </c>
      <c r="G3017" t="s">
        <v>3842</v>
      </c>
      <c r="H3017" t="str">
        <f t="shared" si="792"/>
        <v>048314</v>
      </c>
      <c r="I3017" t="s">
        <v>833</v>
      </c>
      <c r="J3017" t="str">
        <f>"2015-07-01 00:00:00.0"</f>
        <v>2015-07-01 00:00:00.0</v>
      </c>
      <c r="K3017" t="s">
        <v>834</v>
      </c>
      <c r="L3017" t="s">
        <v>0</v>
      </c>
      <c r="M3017" t="str">
        <f t="shared" si="780"/>
        <v>048314</v>
      </c>
      <c r="N3017">
        <v>0.55555600000000005</v>
      </c>
      <c r="O3017">
        <v>0.55555600000000005</v>
      </c>
      <c r="P3017" t="str">
        <f>"07"</f>
        <v>07</v>
      </c>
      <c r="Q3017" t="str">
        <f>"15"</f>
        <v>15</v>
      </c>
      <c r="R3017" t="str">
        <f>"2"</f>
        <v>2</v>
      </c>
      <c r="S3017" t="s">
        <v>836</v>
      </c>
      <c r="T3017" t="s">
        <v>836</v>
      </c>
      <c r="U3017" t="str">
        <f>"2016-02-04 00:00:00.0"</f>
        <v>2016-02-04 00:00:00.0</v>
      </c>
      <c r="V3017" t="s">
        <v>837</v>
      </c>
      <c r="W3017" t="str">
        <f>"048314-070417-**-**"</f>
        <v>048314-070417-**-**</v>
      </c>
      <c r="X3017" t="s">
        <v>838</v>
      </c>
      <c r="Y3017">
        <v>625</v>
      </c>
      <c r="Z3017">
        <v>1125</v>
      </c>
      <c r="AA3017" t="str">
        <f t="shared" si="793"/>
        <v>06/08/2016</v>
      </c>
    </row>
    <row r="3018" spans="1:27" x14ac:dyDescent="0.3">
      <c r="A3018" t="str">
        <f t="shared" si="791"/>
        <v>048314</v>
      </c>
      <c r="B3018" t="str">
        <f t="shared" si="784"/>
        <v>070417</v>
      </c>
      <c r="C3018" t="s">
        <v>2807</v>
      </c>
      <c r="D3018" t="s">
        <v>3839</v>
      </c>
      <c r="E3018" t="s">
        <v>3840</v>
      </c>
      <c r="F3018" t="s">
        <v>3841</v>
      </c>
      <c r="G3018" t="s">
        <v>3842</v>
      </c>
      <c r="H3018" t="str">
        <f t="shared" si="792"/>
        <v>048314</v>
      </c>
      <c r="I3018" t="s">
        <v>833</v>
      </c>
      <c r="J3018" t="str">
        <f>"2015-07-01 00:00:00.0"</f>
        <v>2015-07-01 00:00:00.0</v>
      </c>
      <c r="K3018" t="s">
        <v>834</v>
      </c>
      <c r="L3018" t="s">
        <v>0</v>
      </c>
      <c r="M3018" t="str">
        <f t="shared" si="780"/>
        <v>048314</v>
      </c>
      <c r="N3018">
        <v>1</v>
      </c>
      <c r="O3018">
        <v>1</v>
      </c>
      <c r="P3018" t="str">
        <f>"06"</f>
        <v>06</v>
      </c>
      <c r="Q3018" t="s">
        <v>835</v>
      </c>
      <c r="S3018" t="s">
        <v>836</v>
      </c>
      <c r="T3018" t="s">
        <v>836</v>
      </c>
      <c r="U3018" t="str">
        <f>"2500-12-31 00:00:00.0"</f>
        <v>2500-12-31 00:00:00.0</v>
      </c>
      <c r="V3018" t="s">
        <v>837</v>
      </c>
      <c r="W3018" t="str">
        <f>"048314-070417-**-**"</f>
        <v>048314-070417-**-**</v>
      </c>
      <c r="X3018" t="s">
        <v>838</v>
      </c>
      <c r="Y3018">
        <v>1125</v>
      </c>
      <c r="Z3018">
        <v>1125</v>
      </c>
      <c r="AA3018" t="str">
        <f t="shared" si="793"/>
        <v>06/08/2016</v>
      </c>
    </row>
    <row r="3019" spans="1:27" x14ac:dyDescent="0.3">
      <c r="A3019" t="str">
        <f t="shared" si="791"/>
        <v>048314</v>
      </c>
      <c r="B3019" t="str">
        <f t="shared" si="784"/>
        <v>070417</v>
      </c>
      <c r="C3019" t="s">
        <v>1261</v>
      </c>
      <c r="D3019" t="s">
        <v>3839</v>
      </c>
      <c r="E3019" t="s">
        <v>3840</v>
      </c>
      <c r="F3019" t="s">
        <v>3841</v>
      </c>
      <c r="G3019" t="s">
        <v>3842</v>
      </c>
      <c r="H3019" t="str">
        <f t="shared" si="792"/>
        <v>048314</v>
      </c>
      <c r="I3019" t="s">
        <v>833</v>
      </c>
      <c r="J3019" t="str">
        <f>"2015-07-01 00:00:00.0"</f>
        <v>2015-07-01 00:00:00.0</v>
      </c>
      <c r="K3019" t="s">
        <v>834</v>
      </c>
      <c r="L3019" t="s">
        <v>0</v>
      </c>
      <c r="M3019" t="str">
        <f t="shared" si="780"/>
        <v>048314</v>
      </c>
      <c r="N3019">
        <v>1</v>
      </c>
      <c r="O3019">
        <v>1</v>
      </c>
      <c r="P3019" t="str">
        <f>"09"</f>
        <v>09</v>
      </c>
      <c r="Q3019" t="s">
        <v>835</v>
      </c>
      <c r="S3019" t="s">
        <v>836</v>
      </c>
      <c r="T3019" t="s">
        <v>836</v>
      </c>
      <c r="U3019" t="str">
        <f>"2500-12-31 00:00:00.0"</f>
        <v>2500-12-31 00:00:00.0</v>
      </c>
      <c r="V3019" t="s">
        <v>837</v>
      </c>
      <c r="W3019" t="str">
        <f>"048314-004796-**-**"</f>
        <v>048314-004796-**-**</v>
      </c>
      <c r="X3019" t="s">
        <v>838</v>
      </c>
      <c r="Y3019">
        <v>1254.5</v>
      </c>
      <c r="Z3019">
        <v>1254.5</v>
      </c>
      <c r="AA3019" t="str">
        <f t="shared" si="793"/>
        <v>06/08/2016</v>
      </c>
    </row>
    <row r="3020" spans="1:27" x14ac:dyDescent="0.3">
      <c r="A3020" t="str">
        <f t="shared" si="791"/>
        <v>048314</v>
      </c>
      <c r="B3020" t="str">
        <f t="shared" si="784"/>
        <v>070417</v>
      </c>
      <c r="C3020" t="s">
        <v>2786</v>
      </c>
      <c r="D3020" t="s">
        <v>3839</v>
      </c>
      <c r="E3020" t="s">
        <v>3840</v>
      </c>
      <c r="F3020" t="s">
        <v>3841</v>
      </c>
      <c r="G3020" t="s">
        <v>3842</v>
      </c>
      <c r="H3020" t="str">
        <f t="shared" si="792"/>
        <v>048314</v>
      </c>
      <c r="I3020" t="s">
        <v>833</v>
      </c>
      <c r="J3020" t="str">
        <f>"2015-07-01 00:00:00.0"</f>
        <v>2015-07-01 00:00:00.0</v>
      </c>
      <c r="K3020" t="s">
        <v>834</v>
      </c>
      <c r="L3020" t="s">
        <v>0</v>
      </c>
      <c r="M3020" t="str">
        <f t="shared" si="780"/>
        <v>048314</v>
      </c>
      <c r="N3020">
        <v>0.55000000000000004</v>
      </c>
      <c r="O3020">
        <v>0.55000000000000004</v>
      </c>
      <c r="P3020" t="str">
        <f>"07"</f>
        <v>07</v>
      </c>
      <c r="Q3020" t="s">
        <v>835</v>
      </c>
      <c r="S3020" t="s">
        <v>836</v>
      </c>
      <c r="T3020" t="s">
        <v>836</v>
      </c>
      <c r="U3020" t="str">
        <f>"2016-02-03 00:00:00.0"</f>
        <v>2016-02-03 00:00:00.0</v>
      </c>
      <c r="V3020" t="s">
        <v>837</v>
      </c>
      <c r="W3020" t="str">
        <f>"048314-070417-**-**"</f>
        <v>048314-070417-**-**</v>
      </c>
      <c r="X3020" t="s">
        <v>838</v>
      </c>
      <c r="Y3020">
        <v>618.75</v>
      </c>
      <c r="Z3020">
        <v>1125</v>
      </c>
      <c r="AA3020" t="str">
        <f t="shared" si="793"/>
        <v>06/08/2016</v>
      </c>
    </row>
    <row r="3021" spans="1:27" x14ac:dyDescent="0.3">
      <c r="A3021" t="str">
        <f t="shared" si="791"/>
        <v>048314</v>
      </c>
      <c r="B3021" t="str">
        <f t="shared" si="784"/>
        <v>070417</v>
      </c>
      <c r="C3021" t="s">
        <v>2786</v>
      </c>
      <c r="D3021" t="s">
        <v>3839</v>
      </c>
      <c r="E3021" t="s">
        <v>3840</v>
      </c>
      <c r="F3021" t="s">
        <v>3841</v>
      </c>
      <c r="G3021" t="s">
        <v>3842</v>
      </c>
      <c r="H3021" t="str">
        <f t="shared" si="792"/>
        <v>048314</v>
      </c>
      <c r="I3021" t="s">
        <v>833</v>
      </c>
      <c r="J3021" t="str">
        <f>"2016-02-04 00:00:00.0"</f>
        <v>2016-02-04 00:00:00.0</v>
      </c>
      <c r="K3021" t="s">
        <v>834</v>
      </c>
      <c r="L3021" t="s">
        <v>0</v>
      </c>
      <c r="M3021" t="str">
        <f t="shared" si="780"/>
        <v>048314</v>
      </c>
      <c r="N3021">
        <v>0.45</v>
      </c>
      <c r="O3021">
        <v>0.45</v>
      </c>
      <c r="P3021" t="str">
        <f>"07"</f>
        <v>07</v>
      </c>
      <c r="Q3021" t="str">
        <f>"10"</f>
        <v>10</v>
      </c>
      <c r="R3021" t="str">
        <f>"2"</f>
        <v>2</v>
      </c>
      <c r="S3021" t="s">
        <v>836</v>
      </c>
      <c r="T3021" t="s">
        <v>836</v>
      </c>
      <c r="U3021" t="str">
        <f>"2500-12-31 00:00:00.0"</f>
        <v>2500-12-31 00:00:00.0</v>
      </c>
      <c r="V3021" t="s">
        <v>837</v>
      </c>
      <c r="W3021" t="str">
        <f>"048314-070417-**-**"</f>
        <v>048314-070417-**-**</v>
      </c>
      <c r="X3021" t="s">
        <v>838</v>
      </c>
      <c r="Y3021">
        <v>506.25</v>
      </c>
      <c r="Z3021">
        <v>1125</v>
      </c>
      <c r="AA3021" t="str">
        <f t="shared" si="793"/>
        <v>06/08/2016</v>
      </c>
    </row>
    <row r="3022" spans="1:27" x14ac:dyDescent="0.3">
      <c r="A3022" t="str">
        <f t="shared" si="791"/>
        <v>048314</v>
      </c>
      <c r="B3022" t="str">
        <f t="shared" si="784"/>
        <v>070417</v>
      </c>
      <c r="C3022" t="s">
        <v>2576</v>
      </c>
      <c r="D3022" t="s">
        <v>3839</v>
      </c>
      <c r="E3022" t="s">
        <v>3840</v>
      </c>
      <c r="F3022" t="s">
        <v>3841</v>
      </c>
      <c r="G3022" t="s">
        <v>3842</v>
      </c>
      <c r="H3022" t="str">
        <f t="shared" si="792"/>
        <v>048314</v>
      </c>
      <c r="I3022" t="s">
        <v>833</v>
      </c>
      <c r="J3022" t="str">
        <f>"2015-07-01 00:00:00.0"</f>
        <v>2015-07-01 00:00:00.0</v>
      </c>
      <c r="K3022" t="s">
        <v>834</v>
      </c>
      <c r="L3022" t="s">
        <v>0</v>
      </c>
      <c r="M3022" t="str">
        <f t="shared" si="780"/>
        <v>048314</v>
      </c>
      <c r="N3022">
        <v>1</v>
      </c>
      <c r="O3022">
        <v>1</v>
      </c>
      <c r="P3022" t="str">
        <f>"06"</f>
        <v>06</v>
      </c>
      <c r="Q3022" t="s">
        <v>835</v>
      </c>
      <c r="S3022" t="s">
        <v>836</v>
      </c>
      <c r="T3022" t="s">
        <v>836</v>
      </c>
      <c r="U3022" t="str">
        <f>"2500-12-31 00:00:00.0"</f>
        <v>2500-12-31 00:00:00.0</v>
      </c>
      <c r="V3022" t="s">
        <v>837</v>
      </c>
      <c r="W3022" t="str">
        <f>"048314-070417-**-**"</f>
        <v>048314-070417-**-**</v>
      </c>
      <c r="X3022" t="s">
        <v>838</v>
      </c>
      <c r="Y3022">
        <v>1125</v>
      </c>
      <c r="Z3022">
        <v>1125</v>
      </c>
      <c r="AA3022" t="str">
        <f t="shared" si="793"/>
        <v>06/08/2016</v>
      </c>
    </row>
    <row r="3023" spans="1:27" x14ac:dyDescent="0.3">
      <c r="A3023" t="str">
        <f t="shared" si="791"/>
        <v>048314</v>
      </c>
      <c r="B3023" t="str">
        <f t="shared" si="784"/>
        <v>070417</v>
      </c>
      <c r="C3023" t="s">
        <v>872</v>
      </c>
      <c r="D3023" t="s">
        <v>3839</v>
      </c>
      <c r="E3023" t="s">
        <v>3840</v>
      </c>
      <c r="F3023" t="s">
        <v>3841</v>
      </c>
      <c r="G3023" t="s">
        <v>3842</v>
      </c>
      <c r="H3023" t="str">
        <f t="shared" si="792"/>
        <v>048314</v>
      </c>
      <c r="I3023" t="s">
        <v>833</v>
      </c>
      <c r="J3023" t="str">
        <f>"2015-08-01 00:00:00.0"</f>
        <v>2015-08-01 00:00:00.0</v>
      </c>
      <c r="K3023" t="s">
        <v>834</v>
      </c>
      <c r="L3023" t="s">
        <v>0</v>
      </c>
      <c r="M3023" t="str">
        <f t="shared" si="780"/>
        <v>048314</v>
      </c>
      <c r="N3023">
        <v>0.27777800000000002</v>
      </c>
      <c r="O3023">
        <v>0.27777800000000002</v>
      </c>
      <c r="P3023" t="str">
        <f>"06"</f>
        <v>06</v>
      </c>
      <c r="Q3023" t="s">
        <v>835</v>
      </c>
      <c r="S3023" t="s">
        <v>836</v>
      </c>
      <c r="T3023" t="s">
        <v>836</v>
      </c>
      <c r="U3023" t="str">
        <f>"2015-11-09 00:00:00.0"</f>
        <v>2015-11-09 00:00:00.0</v>
      </c>
      <c r="V3023" t="s">
        <v>837</v>
      </c>
      <c r="W3023" t="str">
        <f>"048314-070417-**-**"</f>
        <v>048314-070417-**-**</v>
      </c>
      <c r="X3023" t="s">
        <v>838</v>
      </c>
      <c r="Y3023">
        <v>312.5</v>
      </c>
      <c r="Z3023">
        <v>1125</v>
      </c>
      <c r="AA3023" t="str">
        <f t="shared" si="793"/>
        <v>06/08/2016</v>
      </c>
    </row>
    <row r="3024" spans="1:27" x14ac:dyDescent="0.3">
      <c r="A3024" t="str">
        <f t="shared" si="791"/>
        <v>048314</v>
      </c>
      <c r="B3024" t="str">
        <f t="shared" si="784"/>
        <v>070417</v>
      </c>
      <c r="C3024" t="s">
        <v>1051</v>
      </c>
      <c r="D3024" t="s">
        <v>3839</v>
      </c>
      <c r="E3024" t="s">
        <v>3840</v>
      </c>
      <c r="F3024" t="s">
        <v>3841</v>
      </c>
      <c r="G3024" t="s">
        <v>3842</v>
      </c>
      <c r="H3024" t="str">
        <f t="shared" si="792"/>
        <v>048314</v>
      </c>
      <c r="I3024" t="s">
        <v>833</v>
      </c>
      <c r="J3024" t="str">
        <f>"2015-08-01 00:00:00.0"</f>
        <v>2015-08-01 00:00:00.0</v>
      </c>
      <c r="K3024" t="s">
        <v>834</v>
      </c>
      <c r="L3024" t="s">
        <v>0</v>
      </c>
      <c r="M3024" t="str">
        <f t="shared" si="780"/>
        <v>048314</v>
      </c>
      <c r="N3024">
        <v>1</v>
      </c>
      <c r="O3024">
        <v>1</v>
      </c>
      <c r="P3024" t="str">
        <f>"05"</f>
        <v>05</v>
      </c>
      <c r="Q3024" t="s">
        <v>835</v>
      </c>
      <c r="S3024" t="s">
        <v>836</v>
      </c>
      <c r="T3024" t="s">
        <v>836</v>
      </c>
      <c r="U3024" t="str">
        <f>"2500-12-31 00:00:00.0"</f>
        <v>2500-12-31 00:00:00.0</v>
      </c>
      <c r="V3024" t="s">
        <v>837</v>
      </c>
      <c r="W3024" t="str">
        <f>"048314-070417-**-**"</f>
        <v>048314-070417-**-**</v>
      </c>
      <c r="X3024" t="s">
        <v>838</v>
      </c>
      <c r="Y3024">
        <v>1125</v>
      </c>
      <c r="Z3024">
        <v>1125</v>
      </c>
      <c r="AA3024" t="str">
        <f t="shared" si="793"/>
        <v>06/08/2016</v>
      </c>
    </row>
    <row r="3025" spans="1:27" x14ac:dyDescent="0.3">
      <c r="A3025" t="str">
        <f t="shared" si="791"/>
        <v>048314</v>
      </c>
      <c r="B3025" t="str">
        <f t="shared" si="784"/>
        <v>070417</v>
      </c>
      <c r="C3025" t="s">
        <v>2745</v>
      </c>
      <c r="D3025" t="s">
        <v>3839</v>
      </c>
      <c r="E3025" t="s">
        <v>3840</v>
      </c>
      <c r="F3025" t="s">
        <v>3841</v>
      </c>
      <c r="G3025" t="s">
        <v>3842</v>
      </c>
      <c r="H3025" t="str">
        <f>"143396"</f>
        <v>143396</v>
      </c>
      <c r="I3025" t="s">
        <v>833</v>
      </c>
      <c r="J3025" t="str">
        <f>"2015-08-17 00:00:00.0"</f>
        <v>2015-08-17 00:00:00.0</v>
      </c>
      <c r="K3025" t="s">
        <v>834</v>
      </c>
      <c r="L3025" t="s">
        <v>2</v>
      </c>
      <c r="M3025" t="str">
        <f t="shared" si="780"/>
        <v>048314</v>
      </c>
      <c r="N3025">
        <v>0.483871</v>
      </c>
      <c r="O3025">
        <v>0.483871</v>
      </c>
      <c r="P3025" t="str">
        <f>"09"</f>
        <v>09</v>
      </c>
      <c r="Q3025" t="s">
        <v>835</v>
      </c>
      <c r="S3025" t="s">
        <v>836</v>
      </c>
      <c r="T3025" t="s">
        <v>836</v>
      </c>
      <c r="U3025" t="str">
        <f>"2016-01-11 00:00:00.0"</f>
        <v>2016-01-11 00:00:00.0</v>
      </c>
      <c r="V3025" t="s">
        <v>837</v>
      </c>
      <c r="W3025" t="str">
        <f>"143396-143396-09-**"</f>
        <v>143396-143396-09-**</v>
      </c>
      <c r="X3025" t="s">
        <v>865</v>
      </c>
      <c r="Y3025">
        <v>540</v>
      </c>
      <c r="Z3025">
        <v>1116</v>
      </c>
      <c r="AA3025" t="str">
        <f>"05/25/2016"</f>
        <v>05/25/2016</v>
      </c>
    </row>
    <row r="3026" spans="1:27" x14ac:dyDescent="0.3">
      <c r="A3026" t="str">
        <f t="shared" si="791"/>
        <v>048314</v>
      </c>
      <c r="B3026" t="str">
        <f t="shared" si="784"/>
        <v>070417</v>
      </c>
      <c r="C3026" t="s">
        <v>2745</v>
      </c>
      <c r="D3026" t="s">
        <v>3839</v>
      </c>
      <c r="E3026" t="s">
        <v>3840</v>
      </c>
      <c r="F3026" t="s">
        <v>3841</v>
      </c>
      <c r="G3026" t="s">
        <v>3842</v>
      </c>
      <c r="H3026" t="str">
        <f>"143396"</f>
        <v>143396</v>
      </c>
      <c r="I3026" t="s">
        <v>833</v>
      </c>
      <c r="J3026" t="str">
        <f>"2015-08-10 00:00:00.0"</f>
        <v>2015-08-10 00:00:00.0</v>
      </c>
      <c r="K3026" t="s">
        <v>834</v>
      </c>
      <c r="L3026" t="s">
        <v>2</v>
      </c>
      <c r="M3026" t="str">
        <f t="shared" si="780"/>
        <v>048314</v>
      </c>
      <c r="N3026">
        <v>2.6882E-2</v>
      </c>
      <c r="O3026">
        <v>2.6882E-2</v>
      </c>
      <c r="P3026" t="str">
        <f>"09"</f>
        <v>09</v>
      </c>
      <c r="Q3026" t="s">
        <v>835</v>
      </c>
      <c r="S3026" t="s">
        <v>836</v>
      </c>
      <c r="T3026" t="s">
        <v>836</v>
      </c>
      <c r="U3026" t="str">
        <f>"2015-08-16 00:00:00.0"</f>
        <v>2015-08-16 00:00:00.0</v>
      </c>
      <c r="V3026" t="s">
        <v>837</v>
      </c>
      <c r="W3026" t="str">
        <f>"143396-143396-09-**"</f>
        <v>143396-143396-09-**</v>
      </c>
      <c r="X3026" t="s">
        <v>865</v>
      </c>
      <c r="Y3026">
        <v>30</v>
      </c>
      <c r="Z3026">
        <v>1116</v>
      </c>
      <c r="AA3026" t="str">
        <f>"05/25/2016"</f>
        <v>05/25/2016</v>
      </c>
    </row>
    <row r="3027" spans="1:27" x14ac:dyDescent="0.3">
      <c r="A3027" t="str">
        <f t="shared" si="791"/>
        <v>048314</v>
      </c>
      <c r="B3027" t="str">
        <f t="shared" si="784"/>
        <v>070417</v>
      </c>
      <c r="C3027" t="s">
        <v>2227</v>
      </c>
      <c r="D3027" t="s">
        <v>3839</v>
      </c>
      <c r="E3027" t="s">
        <v>3840</v>
      </c>
      <c r="F3027" t="s">
        <v>3841</v>
      </c>
      <c r="G3027" t="s">
        <v>3842</v>
      </c>
      <c r="H3027" t="str">
        <f t="shared" ref="H3027:H3032" si="794">"048314"</f>
        <v>048314</v>
      </c>
      <c r="I3027" t="s">
        <v>833</v>
      </c>
      <c r="J3027" t="str">
        <f t="shared" ref="J3027:J3038" si="795">"2015-07-01 00:00:00.0"</f>
        <v>2015-07-01 00:00:00.0</v>
      </c>
      <c r="K3027" t="s">
        <v>834</v>
      </c>
      <c r="L3027" t="s">
        <v>0</v>
      </c>
      <c r="M3027" t="str">
        <f t="shared" si="780"/>
        <v>048314</v>
      </c>
      <c r="N3027">
        <v>1</v>
      </c>
      <c r="O3027">
        <v>1</v>
      </c>
      <c r="P3027" t="str">
        <f>"07"</f>
        <v>07</v>
      </c>
      <c r="Q3027" t="s">
        <v>835</v>
      </c>
      <c r="S3027" t="s">
        <v>836</v>
      </c>
      <c r="T3027" t="s">
        <v>836</v>
      </c>
      <c r="U3027" t="str">
        <f t="shared" ref="U3027:U3037" si="796">"2500-12-31 00:00:00.0"</f>
        <v>2500-12-31 00:00:00.0</v>
      </c>
      <c r="V3027" t="s">
        <v>837</v>
      </c>
      <c r="W3027" t="str">
        <f t="shared" ref="W3027:W3032" si="797">"048314-070417-**-**"</f>
        <v>048314-070417-**-**</v>
      </c>
      <c r="X3027" t="s">
        <v>838</v>
      </c>
      <c r="Y3027">
        <v>1125</v>
      </c>
      <c r="Z3027">
        <v>1125</v>
      </c>
      <c r="AA3027" t="str">
        <f t="shared" ref="AA3027:AA3032" si="798">"06/08/2016"</f>
        <v>06/08/2016</v>
      </c>
    </row>
    <row r="3028" spans="1:27" x14ac:dyDescent="0.3">
      <c r="A3028" t="str">
        <f t="shared" si="791"/>
        <v>048314</v>
      </c>
      <c r="B3028" t="str">
        <f t="shared" si="784"/>
        <v>070417</v>
      </c>
      <c r="C3028" t="s">
        <v>3077</v>
      </c>
      <c r="D3028" t="s">
        <v>3839</v>
      </c>
      <c r="E3028" t="s">
        <v>3840</v>
      </c>
      <c r="F3028" t="s">
        <v>3841</v>
      </c>
      <c r="G3028" t="s">
        <v>3842</v>
      </c>
      <c r="H3028" t="str">
        <f t="shared" si="794"/>
        <v>048314</v>
      </c>
      <c r="I3028" t="s">
        <v>833</v>
      </c>
      <c r="J3028" t="str">
        <f t="shared" si="795"/>
        <v>2015-07-01 00:00:00.0</v>
      </c>
      <c r="K3028" t="s">
        <v>834</v>
      </c>
      <c r="L3028" t="s">
        <v>0</v>
      </c>
      <c r="M3028" t="str">
        <f t="shared" si="780"/>
        <v>048314</v>
      </c>
      <c r="N3028">
        <v>1</v>
      </c>
      <c r="O3028">
        <v>1</v>
      </c>
      <c r="P3028" t="str">
        <f>"06"</f>
        <v>06</v>
      </c>
      <c r="Q3028" t="str">
        <f>"10"</f>
        <v>10</v>
      </c>
      <c r="R3028" t="str">
        <f>"2"</f>
        <v>2</v>
      </c>
      <c r="S3028" t="s">
        <v>836</v>
      </c>
      <c r="T3028" t="s">
        <v>836</v>
      </c>
      <c r="U3028" t="str">
        <f t="shared" si="796"/>
        <v>2500-12-31 00:00:00.0</v>
      </c>
      <c r="V3028" t="s">
        <v>837</v>
      </c>
      <c r="W3028" t="str">
        <f t="shared" si="797"/>
        <v>048314-070417-**-**</v>
      </c>
      <c r="X3028" t="s">
        <v>838</v>
      </c>
      <c r="Y3028">
        <v>1125</v>
      </c>
      <c r="Z3028">
        <v>1125</v>
      </c>
      <c r="AA3028" t="str">
        <f t="shared" si="798"/>
        <v>06/08/2016</v>
      </c>
    </row>
    <row r="3029" spans="1:27" x14ac:dyDescent="0.3">
      <c r="A3029" t="str">
        <f t="shared" si="791"/>
        <v>048314</v>
      </c>
      <c r="B3029" t="str">
        <f t="shared" si="784"/>
        <v>070417</v>
      </c>
      <c r="C3029" t="s">
        <v>2746</v>
      </c>
      <c r="D3029" t="s">
        <v>3839</v>
      </c>
      <c r="E3029" t="s">
        <v>3840</v>
      </c>
      <c r="F3029" t="s">
        <v>3841</v>
      </c>
      <c r="G3029" t="s">
        <v>3842</v>
      </c>
      <c r="H3029" t="str">
        <f t="shared" si="794"/>
        <v>048314</v>
      </c>
      <c r="I3029" t="s">
        <v>833</v>
      </c>
      <c r="J3029" t="str">
        <f t="shared" si="795"/>
        <v>2015-07-01 00:00:00.0</v>
      </c>
      <c r="K3029" t="s">
        <v>834</v>
      </c>
      <c r="L3029" t="s">
        <v>0</v>
      </c>
      <c r="M3029" t="str">
        <f t="shared" si="780"/>
        <v>048314</v>
      </c>
      <c r="N3029">
        <v>1</v>
      </c>
      <c r="O3029">
        <v>1</v>
      </c>
      <c r="P3029" t="str">
        <f>"06"</f>
        <v>06</v>
      </c>
      <c r="Q3029" t="str">
        <f>"08"</f>
        <v>08</v>
      </c>
      <c r="R3029" t="str">
        <f>"3"</f>
        <v>3</v>
      </c>
      <c r="S3029" t="s">
        <v>860</v>
      </c>
      <c r="T3029" t="s">
        <v>836</v>
      </c>
      <c r="U3029" t="str">
        <f t="shared" si="796"/>
        <v>2500-12-31 00:00:00.0</v>
      </c>
      <c r="V3029" t="s">
        <v>837</v>
      </c>
      <c r="W3029" t="str">
        <f t="shared" si="797"/>
        <v>048314-070417-**-**</v>
      </c>
      <c r="X3029" t="s">
        <v>838</v>
      </c>
      <c r="Y3029">
        <v>1125</v>
      </c>
      <c r="Z3029">
        <v>1125</v>
      </c>
      <c r="AA3029" t="str">
        <f t="shared" si="798"/>
        <v>06/08/2016</v>
      </c>
    </row>
    <row r="3030" spans="1:27" x14ac:dyDescent="0.3">
      <c r="A3030" t="str">
        <f t="shared" si="791"/>
        <v>048314</v>
      </c>
      <c r="B3030" t="str">
        <f t="shared" si="784"/>
        <v>070417</v>
      </c>
      <c r="C3030" t="s">
        <v>2480</v>
      </c>
      <c r="D3030" t="s">
        <v>3839</v>
      </c>
      <c r="E3030" t="s">
        <v>3840</v>
      </c>
      <c r="F3030" t="s">
        <v>3841</v>
      </c>
      <c r="G3030" t="s">
        <v>3842</v>
      </c>
      <c r="H3030" t="str">
        <f t="shared" si="794"/>
        <v>048314</v>
      </c>
      <c r="I3030" t="s">
        <v>833</v>
      </c>
      <c r="J3030" t="str">
        <f t="shared" si="795"/>
        <v>2015-07-01 00:00:00.0</v>
      </c>
      <c r="K3030" t="s">
        <v>834</v>
      </c>
      <c r="L3030" t="s">
        <v>0</v>
      </c>
      <c r="M3030" t="str">
        <f t="shared" si="780"/>
        <v>048314</v>
      </c>
      <c r="N3030">
        <v>1</v>
      </c>
      <c r="O3030">
        <v>1</v>
      </c>
      <c r="P3030" t="str">
        <f>"07"</f>
        <v>07</v>
      </c>
      <c r="Q3030" t="str">
        <f>"10"</f>
        <v>10</v>
      </c>
      <c r="R3030" t="str">
        <f>"2"</f>
        <v>2</v>
      </c>
      <c r="S3030" t="s">
        <v>836</v>
      </c>
      <c r="T3030" t="s">
        <v>836</v>
      </c>
      <c r="U3030" t="str">
        <f t="shared" si="796"/>
        <v>2500-12-31 00:00:00.0</v>
      </c>
      <c r="V3030" t="s">
        <v>837</v>
      </c>
      <c r="W3030" t="str">
        <f t="shared" si="797"/>
        <v>048314-070417-**-**</v>
      </c>
      <c r="X3030" t="s">
        <v>838</v>
      </c>
      <c r="Y3030">
        <v>1125</v>
      </c>
      <c r="Z3030">
        <v>1125</v>
      </c>
      <c r="AA3030" t="str">
        <f t="shared" si="798"/>
        <v>06/08/2016</v>
      </c>
    </row>
    <row r="3031" spans="1:27" x14ac:dyDescent="0.3">
      <c r="A3031" t="str">
        <f t="shared" si="791"/>
        <v>048314</v>
      </c>
      <c r="B3031" t="str">
        <f t="shared" si="784"/>
        <v>070417</v>
      </c>
      <c r="C3031" t="s">
        <v>2310</v>
      </c>
      <c r="D3031" t="s">
        <v>3839</v>
      </c>
      <c r="E3031" t="s">
        <v>3840</v>
      </c>
      <c r="F3031" t="s">
        <v>3841</v>
      </c>
      <c r="G3031" t="s">
        <v>3842</v>
      </c>
      <c r="H3031" t="str">
        <f t="shared" si="794"/>
        <v>048314</v>
      </c>
      <c r="I3031" t="s">
        <v>833</v>
      </c>
      <c r="J3031" t="str">
        <f t="shared" si="795"/>
        <v>2015-07-01 00:00:00.0</v>
      </c>
      <c r="K3031" t="s">
        <v>834</v>
      </c>
      <c r="L3031" t="s">
        <v>0</v>
      </c>
      <c r="M3031" t="str">
        <f t="shared" ref="M3031:M3052" si="799">"048314"</f>
        <v>048314</v>
      </c>
      <c r="N3031">
        <v>1</v>
      </c>
      <c r="O3031">
        <v>1</v>
      </c>
      <c r="P3031" t="str">
        <f>"08"</f>
        <v>08</v>
      </c>
      <c r="Q3031" t="s">
        <v>835</v>
      </c>
      <c r="S3031" t="s">
        <v>836</v>
      </c>
      <c r="T3031" t="s">
        <v>836</v>
      </c>
      <c r="U3031" t="str">
        <f t="shared" si="796"/>
        <v>2500-12-31 00:00:00.0</v>
      </c>
      <c r="V3031" t="s">
        <v>837</v>
      </c>
      <c r="W3031" t="str">
        <f t="shared" si="797"/>
        <v>048314-070417-**-**</v>
      </c>
      <c r="X3031" t="s">
        <v>838</v>
      </c>
      <c r="Y3031">
        <v>1125</v>
      </c>
      <c r="Z3031">
        <v>1125</v>
      </c>
      <c r="AA3031" t="str">
        <f t="shared" si="798"/>
        <v>06/08/2016</v>
      </c>
    </row>
    <row r="3032" spans="1:27" x14ac:dyDescent="0.3">
      <c r="A3032" t="str">
        <f t="shared" si="791"/>
        <v>048314</v>
      </c>
      <c r="B3032" t="str">
        <f t="shared" si="784"/>
        <v>070417</v>
      </c>
      <c r="C3032" t="s">
        <v>2747</v>
      </c>
      <c r="D3032" t="s">
        <v>3839</v>
      </c>
      <c r="E3032" t="s">
        <v>3840</v>
      </c>
      <c r="F3032" t="s">
        <v>3841</v>
      </c>
      <c r="G3032" t="s">
        <v>3842</v>
      </c>
      <c r="H3032" t="str">
        <f t="shared" si="794"/>
        <v>048314</v>
      </c>
      <c r="I3032" t="s">
        <v>833</v>
      </c>
      <c r="J3032" t="str">
        <f t="shared" si="795"/>
        <v>2015-07-01 00:00:00.0</v>
      </c>
      <c r="K3032" t="s">
        <v>834</v>
      </c>
      <c r="L3032" t="s">
        <v>0</v>
      </c>
      <c r="M3032" t="str">
        <f t="shared" si="799"/>
        <v>048314</v>
      </c>
      <c r="N3032">
        <v>1</v>
      </c>
      <c r="O3032">
        <v>1</v>
      </c>
      <c r="P3032" t="str">
        <f>"06"</f>
        <v>06</v>
      </c>
      <c r="Q3032" t="s">
        <v>835</v>
      </c>
      <c r="S3032" t="s">
        <v>836</v>
      </c>
      <c r="T3032" t="s">
        <v>836</v>
      </c>
      <c r="U3032" t="str">
        <f t="shared" si="796"/>
        <v>2500-12-31 00:00:00.0</v>
      </c>
      <c r="V3032" t="s">
        <v>837</v>
      </c>
      <c r="W3032" t="str">
        <f t="shared" si="797"/>
        <v>048314-070417-**-**</v>
      </c>
      <c r="X3032" t="s">
        <v>838</v>
      </c>
      <c r="Y3032">
        <v>1125</v>
      </c>
      <c r="Z3032">
        <v>1125</v>
      </c>
      <c r="AA3032" t="str">
        <f t="shared" si="798"/>
        <v>06/08/2016</v>
      </c>
    </row>
    <row r="3033" spans="1:27" x14ac:dyDescent="0.3">
      <c r="A3033" t="str">
        <f t="shared" si="791"/>
        <v>048314</v>
      </c>
      <c r="B3033" t="str">
        <f t="shared" si="784"/>
        <v>070417</v>
      </c>
      <c r="C3033" t="s">
        <v>2469</v>
      </c>
      <c r="D3033" t="s">
        <v>3839</v>
      </c>
      <c r="E3033" t="s">
        <v>3840</v>
      </c>
      <c r="F3033" t="s">
        <v>3841</v>
      </c>
      <c r="G3033" t="s">
        <v>3842</v>
      </c>
      <c r="H3033" t="str">
        <f>"048363"</f>
        <v>048363</v>
      </c>
      <c r="I3033" t="s">
        <v>833</v>
      </c>
      <c r="J3033" t="str">
        <f t="shared" si="795"/>
        <v>2015-07-01 00:00:00.0</v>
      </c>
      <c r="K3033" t="s">
        <v>834</v>
      </c>
      <c r="L3033" t="s">
        <v>1</v>
      </c>
      <c r="M3033" t="str">
        <f t="shared" si="799"/>
        <v>048314</v>
      </c>
      <c r="N3033">
        <v>1</v>
      </c>
      <c r="O3033">
        <v>1</v>
      </c>
      <c r="P3033" t="str">
        <f>"07"</f>
        <v>07</v>
      </c>
      <c r="Q3033" t="s">
        <v>835</v>
      </c>
      <c r="S3033" t="s">
        <v>836</v>
      </c>
      <c r="T3033" t="s">
        <v>836</v>
      </c>
      <c r="U3033" t="str">
        <f t="shared" si="796"/>
        <v>2500-12-31 00:00:00.0</v>
      </c>
      <c r="V3033" t="s">
        <v>837</v>
      </c>
      <c r="W3033" t="str">
        <f>"048363-014522-**-**"</f>
        <v>048363-014522-**-**</v>
      </c>
      <c r="X3033" t="s">
        <v>838</v>
      </c>
      <c r="Y3033">
        <v>1127</v>
      </c>
      <c r="Z3033">
        <v>1127</v>
      </c>
      <c r="AA3033" t="str">
        <f>"06/15/2016"</f>
        <v>06/15/2016</v>
      </c>
    </row>
    <row r="3034" spans="1:27" x14ac:dyDescent="0.3">
      <c r="A3034" t="str">
        <f t="shared" si="791"/>
        <v>048314</v>
      </c>
      <c r="B3034" t="str">
        <f t="shared" si="784"/>
        <v>070417</v>
      </c>
      <c r="C3034" t="s">
        <v>2076</v>
      </c>
      <c r="D3034" t="s">
        <v>3839</v>
      </c>
      <c r="E3034" t="s">
        <v>3840</v>
      </c>
      <c r="F3034" t="s">
        <v>3841</v>
      </c>
      <c r="G3034" t="s">
        <v>3842</v>
      </c>
      <c r="H3034" t="str">
        <f>"048363"</f>
        <v>048363</v>
      </c>
      <c r="I3034" t="s">
        <v>833</v>
      </c>
      <c r="J3034" t="str">
        <f t="shared" si="795"/>
        <v>2015-07-01 00:00:00.0</v>
      </c>
      <c r="K3034" t="s">
        <v>834</v>
      </c>
      <c r="L3034" t="s">
        <v>1</v>
      </c>
      <c r="M3034" t="str">
        <f t="shared" si="799"/>
        <v>048314</v>
      </c>
      <c r="N3034">
        <v>1</v>
      </c>
      <c r="O3034">
        <v>1</v>
      </c>
      <c r="P3034" t="str">
        <f>"08"</f>
        <v>08</v>
      </c>
      <c r="Q3034" t="s">
        <v>835</v>
      </c>
      <c r="S3034" t="s">
        <v>836</v>
      </c>
      <c r="T3034" t="s">
        <v>836</v>
      </c>
      <c r="U3034" t="str">
        <f t="shared" si="796"/>
        <v>2500-12-31 00:00:00.0</v>
      </c>
      <c r="V3034" t="s">
        <v>837</v>
      </c>
      <c r="W3034" t="str">
        <f>"048363-014522-**-**"</f>
        <v>048363-014522-**-**</v>
      </c>
      <c r="X3034" t="s">
        <v>838</v>
      </c>
      <c r="Y3034">
        <v>1127</v>
      </c>
      <c r="Z3034">
        <v>1127</v>
      </c>
      <c r="AA3034" t="str">
        <f>"06/15/2016"</f>
        <v>06/15/2016</v>
      </c>
    </row>
    <row r="3035" spans="1:27" x14ac:dyDescent="0.3">
      <c r="A3035" t="str">
        <f t="shared" si="791"/>
        <v>048314</v>
      </c>
      <c r="B3035" t="str">
        <f t="shared" si="784"/>
        <v>070417</v>
      </c>
      <c r="C3035" t="s">
        <v>2470</v>
      </c>
      <c r="D3035" t="s">
        <v>3839</v>
      </c>
      <c r="E3035" t="s">
        <v>3840</v>
      </c>
      <c r="F3035" t="s">
        <v>3841</v>
      </c>
      <c r="G3035" t="s">
        <v>3842</v>
      </c>
      <c r="H3035" t="str">
        <f t="shared" ref="H3035:H3052" si="800">"048314"</f>
        <v>048314</v>
      </c>
      <c r="I3035" t="s">
        <v>833</v>
      </c>
      <c r="J3035" t="str">
        <f t="shared" si="795"/>
        <v>2015-07-01 00:00:00.0</v>
      </c>
      <c r="K3035" t="s">
        <v>834</v>
      </c>
      <c r="L3035" t="s">
        <v>0</v>
      </c>
      <c r="M3035" t="str">
        <f t="shared" si="799"/>
        <v>048314</v>
      </c>
      <c r="N3035">
        <v>1</v>
      </c>
      <c r="O3035">
        <v>1</v>
      </c>
      <c r="P3035" t="str">
        <f>"06"</f>
        <v>06</v>
      </c>
      <c r="Q3035" t="s">
        <v>835</v>
      </c>
      <c r="S3035" t="s">
        <v>836</v>
      </c>
      <c r="T3035" t="s">
        <v>836</v>
      </c>
      <c r="U3035" t="str">
        <f t="shared" si="796"/>
        <v>2500-12-31 00:00:00.0</v>
      </c>
      <c r="V3035" t="s">
        <v>837</v>
      </c>
      <c r="W3035" t="str">
        <f>"048314-070417-**-**"</f>
        <v>048314-070417-**-**</v>
      </c>
      <c r="X3035" t="s">
        <v>838</v>
      </c>
      <c r="Y3035">
        <v>1125</v>
      </c>
      <c r="Z3035">
        <v>1125</v>
      </c>
      <c r="AA3035" t="str">
        <f t="shared" ref="AA3035:AA3052" si="801">"06/08/2016"</f>
        <v>06/08/2016</v>
      </c>
    </row>
    <row r="3036" spans="1:27" x14ac:dyDescent="0.3">
      <c r="A3036" t="str">
        <f t="shared" si="791"/>
        <v>048314</v>
      </c>
      <c r="B3036" t="str">
        <f t="shared" si="784"/>
        <v>070417</v>
      </c>
      <c r="C3036" t="s">
        <v>1911</v>
      </c>
      <c r="D3036" t="s">
        <v>3839</v>
      </c>
      <c r="E3036" t="s">
        <v>3840</v>
      </c>
      <c r="F3036" t="s">
        <v>3841</v>
      </c>
      <c r="G3036" t="s">
        <v>3842</v>
      </c>
      <c r="H3036" t="str">
        <f t="shared" si="800"/>
        <v>048314</v>
      </c>
      <c r="I3036" t="s">
        <v>833</v>
      </c>
      <c r="J3036" t="str">
        <f t="shared" si="795"/>
        <v>2015-07-01 00:00:00.0</v>
      </c>
      <c r="K3036" t="s">
        <v>834</v>
      </c>
      <c r="L3036" t="s">
        <v>0</v>
      </c>
      <c r="M3036" t="str">
        <f t="shared" si="799"/>
        <v>048314</v>
      </c>
      <c r="N3036">
        <v>1</v>
      </c>
      <c r="O3036">
        <v>1</v>
      </c>
      <c r="P3036" t="str">
        <f>"09"</f>
        <v>09</v>
      </c>
      <c r="Q3036" t="s">
        <v>835</v>
      </c>
      <c r="S3036" t="s">
        <v>836</v>
      </c>
      <c r="T3036" t="s">
        <v>836</v>
      </c>
      <c r="U3036" t="str">
        <f t="shared" si="796"/>
        <v>2500-12-31 00:00:00.0</v>
      </c>
      <c r="V3036" t="s">
        <v>837</v>
      </c>
      <c r="W3036" t="str">
        <f>"048314-004796-**-**"</f>
        <v>048314-004796-**-**</v>
      </c>
      <c r="X3036" t="s">
        <v>838</v>
      </c>
      <c r="Y3036">
        <v>1254.5</v>
      </c>
      <c r="Z3036">
        <v>1254.5</v>
      </c>
      <c r="AA3036" t="str">
        <f t="shared" si="801"/>
        <v>06/08/2016</v>
      </c>
    </row>
    <row r="3037" spans="1:27" x14ac:dyDescent="0.3">
      <c r="A3037" t="str">
        <f t="shared" si="791"/>
        <v>048314</v>
      </c>
      <c r="B3037" t="str">
        <f t="shared" si="784"/>
        <v>070417</v>
      </c>
      <c r="C3037" t="s">
        <v>1968</v>
      </c>
      <c r="D3037" t="s">
        <v>3839</v>
      </c>
      <c r="E3037" t="s">
        <v>3840</v>
      </c>
      <c r="F3037" t="s">
        <v>3841</v>
      </c>
      <c r="G3037" t="s">
        <v>3842</v>
      </c>
      <c r="H3037" t="str">
        <f t="shared" si="800"/>
        <v>048314</v>
      </c>
      <c r="I3037" t="s">
        <v>833</v>
      </c>
      <c r="J3037" t="str">
        <f t="shared" si="795"/>
        <v>2015-07-01 00:00:00.0</v>
      </c>
      <c r="K3037" t="s">
        <v>834</v>
      </c>
      <c r="L3037" t="s">
        <v>0</v>
      </c>
      <c r="M3037" t="str">
        <f t="shared" si="799"/>
        <v>048314</v>
      </c>
      <c r="N3037">
        <v>1</v>
      </c>
      <c r="O3037">
        <v>1</v>
      </c>
      <c r="P3037" t="str">
        <f>"09"</f>
        <v>09</v>
      </c>
      <c r="Q3037" t="s">
        <v>835</v>
      </c>
      <c r="S3037" t="s">
        <v>836</v>
      </c>
      <c r="T3037" t="s">
        <v>836</v>
      </c>
      <c r="U3037" t="str">
        <f t="shared" si="796"/>
        <v>2500-12-31 00:00:00.0</v>
      </c>
      <c r="V3037" t="s">
        <v>837</v>
      </c>
      <c r="W3037" t="str">
        <f>"048314-004796-**-**"</f>
        <v>048314-004796-**-**</v>
      </c>
      <c r="X3037" t="s">
        <v>838</v>
      </c>
      <c r="Y3037">
        <v>1254.5</v>
      </c>
      <c r="Z3037">
        <v>1254.5</v>
      </c>
      <c r="AA3037" t="str">
        <f t="shared" si="801"/>
        <v>06/08/2016</v>
      </c>
    </row>
    <row r="3038" spans="1:27" x14ac:dyDescent="0.3">
      <c r="A3038" t="str">
        <f t="shared" si="791"/>
        <v>048314</v>
      </c>
      <c r="B3038" t="str">
        <f t="shared" si="784"/>
        <v>070417</v>
      </c>
      <c r="C3038" t="s">
        <v>2248</v>
      </c>
      <c r="D3038" t="s">
        <v>3839</v>
      </c>
      <c r="E3038" t="s">
        <v>3840</v>
      </c>
      <c r="F3038" t="s">
        <v>3841</v>
      </c>
      <c r="G3038" t="s">
        <v>3842</v>
      </c>
      <c r="H3038" t="str">
        <f t="shared" si="800"/>
        <v>048314</v>
      </c>
      <c r="I3038" t="s">
        <v>833</v>
      </c>
      <c r="J3038" t="str">
        <f t="shared" si="795"/>
        <v>2015-07-01 00:00:00.0</v>
      </c>
      <c r="K3038" t="s">
        <v>834</v>
      </c>
      <c r="L3038" t="s">
        <v>0</v>
      </c>
      <c r="M3038" t="str">
        <f t="shared" si="799"/>
        <v>048314</v>
      </c>
      <c r="N3038">
        <v>0.56111100000000003</v>
      </c>
      <c r="O3038">
        <v>0.56111100000000003</v>
      </c>
      <c r="P3038" t="str">
        <f>"08"</f>
        <v>08</v>
      </c>
      <c r="Q3038" t="str">
        <f>"10"</f>
        <v>10</v>
      </c>
      <c r="R3038" t="str">
        <f>"2"</f>
        <v>2</v>
      </c>
      <c r="S3038" t="s">
        <v>836</v>
      </c>
      <c r="T3038" t="s">
        <v>836</v>
      </c>
      <c r="U3038" t="str">
        <f>"2016-02-07 00:00:00.0"</f>
        <v>2016-02-07 00:00:00.0</v>
      </c>
      <c r="V3038" t="s">
        <v>837</v>
      </c>
      <c r="W3038" t="str">
        <f>"048314-070417-**-**"</f>
        <v>048314-070417-**-**</v>
      </c>
      <c r="X3038" t="s">
        <v>838</v>
      </c>
      <c r="Y3038">
        <v>631.25</v>
      </c>
      <c r="Z3038">
        <v>1125</v>
      </c>
      <c r="AA3038" t="str">
        <f t="shared" si="801"/>
        <v>06/08/2016</v>
      </c>
    </row>
    <row r="3039" spans="1:27" x14ac:dyDescent="0.3">
      <c r="A3039" t="str">
        <f t="shared" si="791"/>
        <v>048314</v>
      </c>
      <c r="B3039" t="str">
        <f t="shared" si="784"/>
        <v>070417</v>
      </c>
      <c r="C3039" t="s">
        <v>2248</v>
      </c>
      <c r="D3039" t="s">
        <v>3839</v>
      </c>
      <c r="E3039" t="s">
        <v>3840</v>
      </c>
      <c r="F3039" t="s">
        <v>3841</v>
      </c>
      <c r="G3039" t="s">
        <v>3842</v>
      </c>
      <c r="H3039" t="str">
        <f t="shared" si="800"/>
        <v>048314</v>
      </c>
      <c r="I3039" t="s">
        <v>833</v>
      </c>
      <c r="J3039" t="str">
        <f>"2016-02-08 00:00:00.0"</f>
        <v>2016-02-08 00:00:00.0</v>
      </c>
      <c r="K3039" t="s">
        <v>834</v>
      </c>
      <c r="L3039" t="s">
        <v>0</v>
      </c>
      <c r="M3039" t="str">
        <f t="shared" si="799"/>
        <v>048314</v>
      </c>
      <c r="N3039">
        <v>0.43888899999999997</v>
      </c>
      <c r="O3039">
        <v>0.43888899999999997</v>
      </c>
      <c r="P3039" t="str">
        <f>"08"</f>
        <v>08</v>
      </c>
      <c r="Q3039" t="str">
        <f>"15"</f>
        <v>15</v>
      </c>
      <c r="R3039" t="str">
        <f>"2"</f>
        <v>2</v>
      </c>
      <c r="S3039" t="s">
        <v>836</v>
      </c>
      <c r="T3039" t="s">
        <v>836</v>
      </c>
      <c r="U3039" t="str">
        <f t="shared" ref="U3039:U3052" si="802">"2500-12-31 00:00:00.0"</f>
        <v>2500-12-31 00:00:00.0</v>
      </c>
      <c r="V3039" t="s">
        <v>837</v>
      </c>
      <c r="W3039" t="str">
        <f>"048314-070417-**-**"</f>
        <v>048314-070417-**-**</v>
      </c>
      <c r="X3039" t="s">
        <v>838</v>
      </c>
      <c r="Y3039">
        <v>493.75</v>
      </c>
      <c r="Z3039">
        <v>1125</v>
      </c>
      <c r="AA3039" t="str">
        <f t="shared" si="801"/>
        <v>06/08/2016</v>
      </c>
    </row>
    <row r="3040" spans="1:27" x14ac:dyDescent="0.3">
      <c r="A3040" t="str">
        <f t="shared" si="791"/>
        <v>048314</v>
      </c>
      <c r="B3040" t="str">
        <f t="shared" si="784"/>
        <v>070417</v>
      </c>
      <c r="C3040" t="s">
        <v>2189</v>
      </c>
      <c r="D3040" t="s">
        <v>3839</v>
      </c>
      <c r="E3040" t="s">
        <v>3840</v>
      </c>
      <c r="F3040" t="s">
        <v>3841</v>
      </c>
      <c r="G3040" t="s">
        <v>3842</v>
      </c>
      <c r="H3040" t="str">
        <f t="shared" si="800"/>
        <v>048314</v>
      </c>
      <c r="I3040" t="s">
        <v>833</v>
      </c>
      <c r="J3040" t="str">
        <f>"2015-07-01 00:00:00.0"</f>
        <v>2015-07-01 00:00:00.0</v>
      </c>
      <c r="K3040" t="s">
        <v>834</v>
      </c>
      <c r="L3040" t="s">
        <v>0</v>
      </c>
      <c r="M3040" t="str">
        <f t="shared" si="799"/>
        <v>048314</v>
      </c>
      <c r="N3040">
        <v>1</v>
      </c>
      <c r="O3040">
        <v>1</v>
      </c>
      <c r="P3040" t="str">
        <f>"09"</f>
        <v>09</v>
      </c>
      <c r="Q3040" t="s">
        <v>835</v>
      </c>
      <c r="S3040" t="s">
        <v>836</v>
      </c>
      <c r="T3040" t="s">
        <v>836</v>
      </c>
      <c r="U3040" t="str">
        <f t="shared" si="802"/>
        <v>2500-12-31 00:00:00.0</v>
      </c>
      <c r="V3040" t="s">
        <v>837</v>
      </c>
      <c r="W3040" t="str">
        <f>"048314-004796-**-**"</f>
        <v>048314-004796-**-**</v>
      </c>
      <c r="X3040" t="s">
        <v>838</v>
      </c>
      <c r="Y3040">
        <v>1254.5</v>
      </c>
      <c r="Z3040">
        <v>1254.5</v>
      </c>
      <c r="AA3040" t="str">
        <f t="shared" si="801"/>
        <v>06/08/2016</v>
      </c>
    </row>
    <row r="3041" spans="1:27" x14ac:dyDescent="0.3">
      <c r="A3041" t="str">
        <f t="shared" si="791"/>
        <v>048314</v>
      </c>
      <c r="B3041" t="str">
        <f t="shared" si="784"/>
        <v>070417</v>
      </c>
      <c r="C3041" t="s">
        <v>3103</v>
      </c>
      <c r="D3041" t="s">
        <v>3839</v>
      </c>
      <c r="E3041" t="s">
        <v>3840</v>
      </c>
      <c r="F3041" t="s">
        <v>3841</v>
      </c>
      <c r="G3041" t="s">
        <v>3842</v>
      </c>
      <c r="H3041" t="str">
        <f t="shared" si="800"/>
        <v>048314</v>
      </c>
      <c r="I3041" t="s">
        <v>833</v>
      </c>
      <c r="J3041" t="str">
        <f>"2015-07-01 00:00:00.0"</f>
        <v>2015-07-01 00:00:00.0</v>
      </c>
      <c r="K3041" t="s">
        <v>834</v>
      </c>
      <c r="L3041" t="s">
        <v>0</v>
      </c>
      <c r="M3041" t="str">
        <f t="shared" si="799"/>
        <v>048314</v>
      </c>
      <c r="N3041">
        <v>1</v>
      </c>
      <c r="O3041">
        <v>1</v>
      </c>
      <c r="P3041" t="str">
        <f>"06"</f>
        <v>06</v>
      </c>
      <c r="Q3041" t="s">
        <v>835</v>
      </c>
      <c r="S3041" t="s">
        <v>836</v>
      </c>
      <c r="T3041" t="s">
        <v>836</v>
      </c>
      <c r="U3041" t="str">
        <f t="shared" si="802"/>
        <v>2500-12-31 00:00:00.0</v>
      </c>
      <c r="V3041" t="s">
        <v>837</v>
      </c>
      <c r="W3041" t="str">
        <f>"048314-070417-**-**"</f>
        <v>048314-070417-**-**</v>
      </c>
      <c r="X3041" t="s">
        <v>838</v>
      </c>
      <c r="Y3041">
        <v>1125</v>
      </c>
      <c r="Z3041">
        <v>1125</v>
      </c>
      <c r="AA3041" t="str">
        <f t="shared" si="801"/>
        <v>06/08/2016</v>
      </c>
    </row>
    <row r="3042" spans="1:27" x14ac:dyDescent="0.3">
      <c r="A3042" t="str">
        <f t="shared" si="791"/>
        <v>048314</v>
      </c>
      <c r="B3042" t="str">
        <f t="shared" si="784"/>
        <v>070417</v>
      </c>
      <c r="C3042" t="s">
        <v>1487</v>
      </c>
      <c r="D3042" t="s">
        <v>3839</v>
      </c>
      <c r="E3042" t="s">
        <v>3840</v>
      </c>
      <c r="F3042" t="s">
        <v>3841</v>
      </c>
      <c r="G3042" t="s">
        <v>3842</v>
      </c>
      <c r="H3042" t="str">
        <f t="shared" si="800"/>
        <v>048314</v>
      </c>
      <c r="I3042" t="s">
        <v>833</v>
      </c>
      <c r="J3042" t="str">
        <f>"2015-08-01 00:00:00.0"</f>
        <v>2015-08-01 00:00:00.0</v>
      </c>
      <c r="K3042" t="s">
        <v>834</v>
      </c>
      <c r="L3042" t="s">
        <v>0</v>
      </c>
      <c r="M3042" t="str">
        <f t="shared" si="799"/>
        <v>048314</v>
      </c>
      <c r="N3042">
        <v>1</v>
      </c>
      <c r="O3042">
        <v>1</v>
      </c>
      <c r="P3042" t="str">
        <f>"08"</f>
        <v>08</v>
      </c>
      <c r="Q3042" t="s">
        <v>835</v>
      </c>
      <c r="S3042" t="s">
        <v>836</v>
      </c>
      <c r="T3042" t="s">
        <v>836</v>
      </c>
      <c r="U3042" t="str">
        <f t="shared" si="802"/>
        <v>2500-12-31 00:00:00.0</v>
      </c>
      <c r="V3042" t="s">
        <v>837</v>
      </c>
      <c r="W3042" t="str">
        <f>"048314-070417-**-**"</f>
        <v>048314-070417-**-**</v>
      </c>
      <c r="X3042" t="s">
        <v>838</v>
      </c>
      <c r="Y3042">
        <v>1125</v>
      </c>
      <c r="Z3042">
        <v>1125</v>
      </c>
      <c r="AA3042" t="str">
        <f t="shared" si="801"/>
        <v>06/08/2016</v>
      </c>
    </row>
    <row r="3043" spans="1:27" x14ac:dyDescent="0.3">
      <c r="A3043" t="str">
        <f t="shared" si="791"/>
        <v>048314</v>
      </c>
      <c r="B3043" t="str">
        <f t="shared" si="784"/>
        <v>070417</v>
      </c>
      <c r="C3043" t="s">
        <v>3168</v>
      </c>
      <c r="D3043" t="s">
        <v>3839</v>
      </c>
      <c r="E3043" t="s">
        <v>3840</v>
      </c>
      <c r="F3043" t="s">
        <v>3841</v>
      </c>
      <c r="G3043" t="s">
        <v>3842</v>
      </c>
      <c r="H3043" t="str">
        <f t="shared" si="800"/>
        <v>048314</v>
      </c>
      <c r="I3043" t="s">
        <v>833</v>
      </c>
      <c r="J3043" t="str">
        <f>"2015-08-01 00:00:00.0"</f>
        <v>2015-08-01 00:00:00.0</v>
      </c>
      <c r="K3043" t="s">
        <v>834</v>
      </c>
      <c r="L3043" t="s">
        <v>0</v>
      </c>
      <c r="M3043" t="str">
        <f t="shared" si="799"/>
        <v>048314</v>
      </c>
      <c r="N3043">
        <v>1</v>
      </c>
      <c r="O3043">
        <v>1</v>
      </c>
      <c r="P3043" t="str">
        <f>"05"</f>
        <v>05</v>
      </c>
      <c r="Q3043" t="str">
        <f>"10"</f>
        <v>10</v>
      </c>
      <c r="R3043" t="str">
        <f>"2"</f>
        <v>2</v>
      </c>
      <c r="S3043" t="s">
        <v>836</v>
      </c>
      <c r="T3043" t="s">
        <v>836</v>
      </c>
      <c r="U3043" t="str">
        <f t="shared" si="802"/>
        <v>2500-12-31 00:00:00.0</v>
      </c>
      <c r="V3043" t="s">
        <v>837</v>
      </c>
      <c r="W3043" t="str">
        <f>"048314-070417-**-**"</f>
        <v>048314-070417-**-**</v>
      </c>
      <c r="X3043" t="s">
        <v>838</v>
      </c>
      <c r="Y3043">
        <v>1125</v>
      </c>
      <c r="Z3043">
        <v>1125</v>
      </c>
      <c r="AA3043" t="str">
        <f t="shared" si="801"/>
        <v>06/08/2016</v>
      </c>
    </row>
    <row r="3044" spans="1:27" x14ac:dyDescent="0.3">
      <c r="A3044" t="str">
        <f t="shared" si="791"/>
        <v>048314</v>
      </c>
      <c r="B3044" t="str">
        <f t="shared" ref="B3044:B3052" si="803">"070417"</f>
        <v>070417</v>
      </c>
      <c r="C3044" t="s">
        <v>2476</v>
      </c>
      <c r="D3044" t="s">
        <v>3839</v>
      </c>
      <c r="E3044" t="s">
        <v>3840</v>
      </c>
      <c r="F3044" t="s">
        <v>3841</v>
      </c>
      <c r="G3044" t="s">
        <v>3842</v>
      </c>
      <c r="H3044" t="str">
        <f t="shared" si="800"/>
        <v>048314</v>
      </c>
      <c r="I3044" t="s">
        <v>833</v>
      </c>
      <c r="J3044" t="str">
        <f t="shared" ref="J3044:J3052" si="804">"2015-07-01 00:00:00.0"</f>
        <v>2015-07-01 00:00:00.0</v>
      </c>
      <c r="K3044" t="s">
        <v>834</v>
      </c>
      <c r="L3044" t="s">
        <v>0</v>
      </c>
      <c r="M3044" t="str">
        <f t="shared" si="799"/>
        <v>048314</v>
      </c>
      <c r="N3044">
        <v>1</v>
      </c>
      <c r="O3044">
        <v>1</v>
      </c>
      <c r="P3044" t="str">
        <f>"07"</f>
        <v>07</v>
      </c>
      <c r="Q3044" t="s">
        <v>835</v>
      </c>
      <c r="S3044" t="s">
        <v>836</v>
      </c>
      <c r="T3044" t="s">
        <v>836</v>
      </c>
      <c r="U3044" t="str">
        <f t="shared" si="802"/>
        <v>2500-12-31 00:00:00.0</v>
      </c>
      <c r="V3044" t="s">
        <v>837</v>
      </c>
      <c r="W3044" t="str">
        <f>"048314-070417-**-**"</f>
        <v>048314-070417-**-**</v>
      </c>
      <c r="X3044" t="s">
        <v>838</v>
      </c>
      <c r="Y3044">
        <v>1125</v>
      </c>
      <c r="Z3044">
        <v>1125</v>
      </c>
      <c r="AA3044" t="str">
        <f t="shared" si="801"/>
        <v>06/08/2016</v>
      </c>
    </row>
    <row r="3045" spans="1:27" x14ac:dyDescent="0.3">
      <c r="A3045" t="str">
        <f t="shared" si="791"/>
        <v>048314</v>
      </c>
      <c r="B3045" t="str">
        <f t="shared" si="803"/>
        <v>070417</v>
      </c>
      <c r="C3045" t="s">
        <v>1912</v>
      </c>
      <c r="D3045" t="s">
        <v>3839</v>
      </c>
      <c r="E3045" t="s">
        <v>3840</v>
      </c>
      <c r="F3045" t="s">
        <v>3841</v>
      </c>
      <c r="G3045" t="s">
        <v>3842</v>
      </c>
      <c r="H3045" t="str">
        <f t="shared" si="800"/>
        <v>048314</v>
      </c>
      <c r="I3045" t="s">
        <v>833</v>
      </c>
      <c r="J3045" t="str">
        <f t="shared" si="804"/>
        <v>2015-07-01 00:00:00.0</v>
      </c>
      <c r="K3045" t="s">
        <v>834</v>
      </c>
      <c r="L3045" t="s">
        <v>0</v>
      </c>
      <c r="M3045" t="str">
        <f t="shared" si="799"/>
        <v>048314</v>
      </c>
      <c r="N3045">
        <v>1</v>
      </c>
      <c r="O3045">
        <v>1</v>
      </c>
      <c r="P3045" t="str">
        <f>"09"</f>
        <v>09</v>
      </c>
      <c r="Q3045" t="s">
        <v>835</v>
      </c>
      <c r="S3045" t="s">
        <v>836</v>
      </c>
      <c r="T3045" t="s">
        <v>836</v>
      </c>
      <c r="U3045" t="str">
        <f t="shared" si="802"/>
        <v>2500-12-31 00:00:00.0</v>
      </c>
      <c r="V3045" t="s">
        <v>837</v>
      </c>
      <c r="W3045" t="str">
        <f>"048314-004796-**-**"</f>
        <v>048314-004796-**-**</v>
      </c>
      <c r="X3045" t="s">
        <v>838</v>
      </c>
      <c r="Y3045">
        <v>1254.5</v>
      </c>
      <c r="Z3045">
        <v>1254.5</v>
      </c>
      <c r="AA3045" t="str">
        <f t="shared" si="801"/>
        <v>06/08/2016</v>
      </c>
    </row>
    <row r="3046" spans="1:27" x14ac:dyDescent="0.3">
      <c r="A3046" t="str">
        <f t="shared" si="791"/>
        <v>048314</v>
      </c>
      <c r="B3046" t="str">
        <f t="shared" si="803"/>
        <v>070417</v>
      </c>
      <c r="C3046" t="s">
        <v>1969</v>
      </c>
      <c r="D3046" t="s">
        <v>3839</v>
      </c>
      <c r="E3046" t="s">
        <v>3840</v>
      </c>
      <c r="F3046" t="s">
        <v>3841</v>
      </c>
      <c r="G3046" t="s">
        <v>3842</v>
      </c>
      <c r="H3046" t="str">
        <f t="shared" si="800"/>
        <v>048314</v>
      </c>
      <c r="I3046" t="s">
        <v>833</v>
      </c>
      <c r="J3046" t="str">
        <f t="shared" si="804"/>
        <v>2015-07-01 00:00:00.0</v>
      </c>
      <c r="K3046" t="s">
        <v>834</v>
      </c>
      <c r="L3046" t="s">
        <v>0</v>
      </c>
      <c r="M3046" t="str">
        <f t="shared" si="799"/>
        <v>048314</v>
      </c>
      <c r="N3046">
        <v>1</v>
      </c>
      <c r="O3046">
        <v>1</v>
      </c>
      <c r="P3046" t="str">
        <f>"09"</f>
        <v>09</v>
      </c>
      <c r="Q3046" t="s">
        <v>835</v>
      </c>
      <c r="S3046" t="s">
        <v>836</v>
      </c>
      <c r="T3046" t="s">
        <v>836</v>
      </c>
      <c r="U3046" t="str">
        <f t="shared" si="802"/>
        <v>2500-12-31 00:00:00.0</v>
      </c>
      <c r="V3046" t="s">
        <v>837</v>
      </c>
      <c r="W3046" t="str">
        <f>"048314-004796-**-**"</f>
        <v>048314-004796-**-**</v>
      </c>
      <c r="X3046" t="s">
        <v>838</v>
      </c>
      <c r="Y3046">
        <v>1254.5</v>
      </c>
      <c r="Z3046">
        <v>1254.5</v>
      </c>
      <c r="AA3046" t="str">
        <f t="shared" si="801"/>
        <v>06/08/2016</v>
      </c>
    </row>
    <row r="3047" spans="1:27" x14ac:dyDescent="0.3">
      <c r="A3047" t="str">
        <f t="shared" si="791"/>
        <v>048314</v>
      </c>
      <c r="B3047" t="str">
        <f t="shared" si="803"/>
        <v>070417</v>
      </c>
      <c r="C3047" t="s">
        <v>2505</v>
      </c>
      <c r="D3047" t="s">
        <v>3839</v>
      </c>
      <c r="E3047" t="s">
        <v>3840</v>
      </c>
      <c r="F3047" t="s">
        <v>3841</v>
      </c>
      <c r="G3047" t="s">
        <v>3842</v>
      </c>
      <c r="H3047" t="str">
        <f t="shared" si="800"/>
        <v>048314</v>
      </c>
      <c r="I3047" t="s">
        <v>833</v>
      </c>
      <c r="J3047" t="str">
        <f t="shared" si="804"/>
        <v>2015-07-01 00:00:00.0</v>
      </c>
      <c r="K3047" t="s">
        <v>834</v>
      </c>
      <c r="L3047" t="s">
        <v>0</v>
      </c>
      <c r="M3047" t="str">
        <f t="shared" si="799"/>
        <v>048314</v>
      </c>
      <c r="N3047">
        <v>1</v>
      </c>
      <c r="O3047">
        <v>1</v>
      </c>
      <c r="P3047" t="str">
        <f>"07"</f>
        <v>07</v>
      </c>
      <c r="Q3047" t="s">
        <v>835</v>
      </c>
      <c r="S3047" t="s">
        <v>836</v>
      </c>
      <c r="T3047" t="s">
        <v>836</v>
      </c>
      <c r="U3047" t="str">
        <f t="shared" si="802"/>
        <v>2500-12-31 00:00:00.0</v>
      </c>
      <c r="V3047" t="s">
        <v>837</v>
      </c>
      <c r="W3047" t="str">
        <f>"048314-070417-**-**"</f>
        <v>048314-070417-**-**</v>
      </c>
      <c r="X3047" t="s">
        <v>838</v>
      </c>
      <c r="Y3047">
        <v>1125</v>
      </c>
      <c r="Z3047">
        <v>1125</v>
      </c>
      <c r="AA3047" t="str">
        <f t="shared" si="801"/>
        <v>06/08/2016</v>
      </c>
    </row>
    <row r="3048" spans="1:27" x14ac:dyDescent="0.3">
      <c r="A3048" t="str">
        <f t="shared" si="791"/>
        <v>048314</v>
      </c>
      <c r="B3048" t="str">
        <f t="shared" si="803"/>
        <v>070417</v>
      </c>
      <c r="C3048" t="s">
        <v>2748</v>
      </c>
      <c r="D3048" t="s">
        <v>3839</v>
      </c>
      <c r="E3048" t="s">
        <v>3840</v>
      </c>
      <c r="F3048" t="s">
        <v>3841</v>
      </c>
      <c r="G3048" t="s">
        <v>3842</v>
      </c>
      <c r="H3048" t="str">
        <f t="shared" si="800"/>
        <v>048314</v>
      </c>
      <c r="I3048" t="s">
        <v>833</v>
      </c>
      <c r="J3048" t="str">
        <f t="shared" si="804"/>
        <v>2015-07-01 00:00:00.0</v>
      </c>
      <c r="K3048" t="s">
        <v>834</v>
      </c>
      <c r="L3048" t="s">
        <v>0</v>
      </c>
      <c r="M3048" t="str">
        <f t="shared" si="799"/>
        <v>048314</v>
      </c>
      <c r="N3048">
        <v>1</v>
      </c>
      <c r="O3048">
        <v>1</v>
      </c>
      <c r="P3048" t="str">
        <f>"06"</f>
        <v>06</v>
      </c>
      <c r="Q3048" t="s">
        <v>835</v>
      </c>
      <c r="S3048" t="s">
        <v>836</v>
      </c>
      <c r="T3048" t="s">
        <v>836</v>
      </c>
      <c r="U3048" t="str">
        <f t="shared" si="802"/>
        <v>2500-12-31 00:00:00.0</v>
      </c>
      <c r="V3048" t="s">
        <v>837</v>
      </c>
      <c r="W3048" t="str">
        <f>"048314-070417-**-**"</f>
        <v>048314-070417-**-**</v>
      </c>
      <c r="X3048" t="s">
        <v>838</v>
      </c>
      <c r="Y3048">
        <v>1125</v>
      </c>
      <c r="Z3048">
        <v>1125</v>
      </c>
      <c r="AA3048" t="str">
        <f t="shared" si="801"/>
        <v>06/08/2016</v>
      </c>
    </row>
    <row r="3049" spans="1:27" x14ac:dyDescent="0.3">
      <c r="A3049" t="str">
        <f t="shared" si="791"/>
        <v>048314</v>
      </c>
      <c r="B3049" t="str">
        <f t="shared" si="803"/>
        <v>070417</v>
      </c>
      <c r="C3049" t="s">
        <v>2749</v>
      </c>
      <c r="D3049" t="s">
        <v>3839</v>
      </c>
      <c r="E3049" t="s">
        <v>3840</v>
      </c>
      <c r="F3049" t="s">
        <v>3841</v>
      </c>
      <c r="G3049" t="s">
        <v>3842</v>
      </c>
      <c r="H3049" t="str">
        <f t="shared" si="800"/>
        <v>048314</v>
      </c>
      <c r="I3049" t="s">
        <v>833</v>
      </c>
      <c r="J3049" t="str">
        <f t="shared" si="804"/>
        <v>2015-07-01 00:00:00.0</v>
      </c>
      <c r="K3049" t="s">
        <v>834</v>
      </c>
      <c r="L3049" t="s">
        <v>0</v>
      </c>
      <c r="M3049" t="str">
        <f t="shared" si="799"/>
        <v>048314</v>
      </c>
      <c r="N3049">
        <v>1</v>
      </c>
      <c r="O3049">
        <v>1</v>
      </c>
      <c r="P3049" t="str">
        <f>"07"</f>
        <v>07</v>
      </c>
      <c r="Q3049" t="s">
        <v>835</v>
      </c>
      <c r="S3049" t="s">
        <v>836</v>
      </c>
      <c r="T3049" t="s">
        <v>836</v>
      </c>
      <c r="U3049" t="str">
        <f t="shared" si="802"/>
        <v>2500-12-31 00:00:00.0</v>
      </c>
      <c r="V3049" t="s">
        <v>837</v>
      </c>
      <c r="W3049" t="str">
        <f>"048314-070417-**-**"</f>
        <v>048314-070417-**-**</v>
      </c>
      <c r="X3049" t="s">
        <v>838</v>
      </c>
      <c r="Y3049">
        <v>1125</v>
      </c>
      <c r="Z3049">
        <v>1125</v>
      </c>
      <c r="AA3049" t="str">
        <f t="shared" si="801"/>
        <v>06/08/2016</v>
      </c>
    </row>
    <row r="3050" spans="1:27" x14ac:dyDescent="0.3">
      <c r="A3050" t="str">
        <f t="shared" si="791"/>
        <v>048314</v>
      </c>
      <c r="B3050" t="str">
        <f t="shared" si="803"/>
        <v>070417</v>
      </c>
      <c r="C3050" t="s">
        <v>2166</v>
      </c>
      <c r="D3050" t="s">
        <v>3839</v>
      </c>
      <c r="E3050" t="s">
        <v>3840</v>
      </c>
      <c r="F3050" t="s">
        <v>3841</v>
      </c>
      <c r="G3050" t="s">
        <v>3842</v>
      </c>
      <c r="H3050" t="str">
        <f t="shared" si="800"/>
        <v>048314</v>
      </c>
      <c r="I3050" t="s">
        <v>833</v>
      </c>
      <c r="J3050" t="str">
        <f t="shared" si="804"/>
        <v>2015-07-01 00:00:00.0</v>
      </c>
      <c r="K3050" t="s">
        <v>834</v>
      </c>
      <c r="L3050" t="s">
        <v>0</v>
      </c>
      <c r="M3050" t="str">
        <f t="shared" si="799"/>
        <v>048314</v>
      </c>
      <c r="N3050">
        <v>1</v>
      </c>
      <c r="O3050">
        <v>1</v>
      </c>
      <c r="P3050" t="str">
        <f>"08"</f>
        <v>08</v>
      </c>
      <c r="Q3050" t="s">
        <v>835</v>
      </c>
      <c r="S3050" t="s">
        <v>836</v>
      </c>
      <c r="T3050" t="s">
        <v>836</v>
      </c>
      <c r="U3050" t="str">
        <f t="shared" si="802"/>
        <v>2500-12-31 00:00:00.0</v>
      </c>
      <c r="V3050" t="s">
        <v>837</v>
      </c>
      <c r="W3050" t="str">
        <f>"048314-070417-**-**"</f>
        <v>048314-070417-**-**</v>
      </c>
      <c r="X3050" t="s">
        <v>838</v>
      </c>
      <c r="Y3050">
        <v>1125</v>
      </c>
      <c r="Z3050">
        <v>1125</v>
      </c>
      <c r="AA3050" t="str">
        <f t="shared" si="801"/>
        <v>06/08/2016</v>
      </c>
    </row>
    <row r="3051" spans="1:27" x14ac:dyDescent="0.3">
      <c r="A3051" t="str">
        <f t="shared" si="791"/>
        <v>048314</v>
      </c>
      <c r="B3051" t="str">
        <f t="shared" si="803"/>
        <v>070417</v>
      </c>
      <c r="C3051" t="s">
        <v>1970</v>
      </c>
      <c r="D3051" t="s">
        <v>3839</v>
      </c>
      <c r="E3051" t="s">
        <v>3840</v>
      </c>
      <c r="F3051" t="s">
        <v>3841</v>
      </c>
      <c r="G3051" t="s">
        <v>3842</v>
      </c>
      <c r="H3051" t="str">
        <f t="shared" si="800"/>
        <v>048314</v>
      </c>
      <c r="I3051" t="s">
        <v>833</v>
      </c>
      <c r="J3051" t="str">
        <f t="shared" si="804"/>
        <v>2015-07-01 00:00:00.0</v>
      </c>
      <c r="K3051" t="s">
        <v>834</v>
      </c>
      <c r="L3051" t="s">
        <v>0</v>
      </c>
      <c r="M3051" t="str">
        <f t="shared" si="799"/>
        <v>048314</v>
      </c>
      <c r="N3051">
        <v>1</v>
      </c>
      <c r="O3051">
        <v>1</v>
      </c>
      <c r="P3051" t="str">
        <f>"09"</f>
        <v>09</v>
      </c>
      <c r="Q3051" t="s">
        <v>835</v>
      </c>
      <c r="S3051" t="s">
        <v>836</v>
      </c>
      <c r="T3051" t="s">
        <v>836</v>
      </c>
      <c r="U3051" t="str">
        <f t="shared" si="802"/>
        <v>2500-12-31 00:00:00.0</v>
      </c>
      <c r="V3051" t="s">
        <v>837</v>
      </c>
      <c r="W3051" t="str">
        <f>"048314-004796-**-**"</f>
        <v>048314-004796-**-**</v>
      </c>
      <c r="X3051" t="s">
        <v>838</v>
      </c>
      <c r="Y3051">
        <v>1254.5</v>
      </c>
      <c r="Z3051">
        <v>1254.5</v>
      </c>
      <c r="AA3051" t="str">
        <f t="shared" si="801"/>
        <v>06/08/2016</v>
      </c>
    </row>
    <row r="3052" spans="1:27" x14ac:dyDescent="0.3">
      <c r="A3052" t="str">
        <f t="shared" si="791"/>
        <v>048314</v>
      </c>
      <c r="B3052" t="str">
        <f t="shared" si="803"/>
        <v>070417</v>
      </c>
      <c r="C3052" t="s">
        <v>1079</v>
      </c>
      <c r="D3052" t="s">
        <v>3839</v>
      </c>
      <c r="E3052" t="s">
        <v>3840</v>
      </c>
      <c r="F3052" t="s">
        <v>3841</v>
      </c>
      <c r="G3052" t="s">
        <v>3842</v>
      </c>
      <c r="H3052" t="str">
        <f t="shared" si="800"/>
        <v>048314</v>
      </c>
      <c r="I3052" t="s">
        <v>833</v>
      </c>
      <c r="J3052" t="str">
        <f t="shared" si="804"/>
        <v>2015-07-01 00:00:00.0</v>
      </c>
      <c r="K3052" t="s">
        <v>834</v>
      </c>
      <c r="L3052" t="s">
        <v>0</v>
      </c>
      <c r="M3052" t="str">
        <f t="shared" si="799"/>
        <v>048314</v>
      </c>
      <c r="N3052">
        <v>1</v>
      </c>
      <c r="O3052">
        <v>1</v>
      </c>
      <c r="P3052" t="str">
        <f>"07"</f>
        <v>07</v>
      </c>
      <c r="Q3052" t="s">
        <v>835</v>
      </c>
      <c r="S3052" t="s">
        <v>836</v>
      </c>
      <c r="T3052" t="s">
        <v>836</v>
      </c>
      <c r="U3052" t="str">
        <f t="shared" si="802"/>
        <v>2500-12-31 00:00:00.0</v>
      </c>
      <c r="V3052" t="s">
        <v>837</v>
      </c>
      <c r="W3052" t="str">
        <f>"048314-070417-**-**"</f>
        <v>048314-070417-**-**</v>
      </c>
      <c r="X3052" t="s">
        <v>838</v>
      </c>
      <c r="Y3052">
        <v>1125</v>
      </c>
      <c r="Z3052">
        <v>1125</v>
      </c>
      <c r="AA3052" t="str">
        <f t="shared" si="801"/>
        <v>06/08/2016</v>
      </c>
    </row>
    <row r="3054" spans="1:27" x14ac:dyDescent="0.3">
      <c r="O3054">
        <f>SUBTOTAL(9,O2:O3052)</f>
        <v>2859.281790999999</v>
      </c>
    </row>
  </sheetData>
  <autoFilter ref="A1:AA3052"/>
  <sortState ref="A2:AG13451">
    <sortCondition ref="P2:P1345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43"/>
  <sheetViews>
    <sheetView tabSelected="1" workbookViewId="0">
      <pane xSplit="3" ySplit="5" topLeftCell="G6" activePane="bottomRight" state="frozen"/>
      <selection pane="topRight" activeCell="D1" sqref="D1"/>
      <selection pane="bottomLeft" activeCell="A6" sqref="A6"/>
      <selection pane="bottomRight" activeCell="U24" sqref="U24"/>
    </sheetView>
  </sheetViews>
  <sheetFormatPr defaultRowHeight="14.4" x14ac:dyDescent="0.3"/>
  <cols>
    <col min="1" max="1" width="6.21875" customWidth="1"/>
    <col min="3" max="3" width="31.5546875" customWidth="1"/>
    <col min="4" max="4" width="9.109375" customWidth="1"/>
    <col min="5" max="7" width="5.5546875" customWidth="1"/>
    <col min="8" max="8" width="8.6640625" customWidth="1"/>
    <col min="9" max="9" width="5.5546875" customWidth="1"/>
    <col min="10" max="10" width="10.109375" bestFit="1" customWidth="1"/>
    <col min="11" max="11" width="7.6640625" bestFit="1" customWidth="1"/>
    <col min="12" max="12" width="8.109375" bestFit="1" customWidth="1"/>
    <col min="13" max="13" width="6.6640625" customWidth="1"/>
    <col min="14" max="14" width="5.77734375" customWidth="1"/>
    <col min="15" max="15" width="5.33203125" customWidth="1"/>
    <col min="16" max="17" width="6.6640625" customWidth="1"/>
    <col min="18" max="18" width="7.44140625" customWidth="1"/>
    <col min="19" max="19" width="10.109375" customWidth="1"/>
    <col min="20" max="20" width="9" customWidth="1"/>
    <col min="21" max="21" width="8.21875" customWidth="1"/>
    <col min="22" max="22" width="11.5546875" bestFit="1" customWidth="1"/>
    <col min="23" max="23" width="11.109375" customWidth="1"/>
    <col min="24" max="24" width="11.33203125" bestFit="1" customWidth="1"/>
    <col min="25" max="26" width="8.88671875" customWidth="1"/>
  </cols>
  <sheetData>
    <row r="1" spans="1:26" x14ac:dyDescent="0.3">
      <c r="C1" s="1"/>
      <c r="D1" s="56"/>
      <c r="E1" s="1"/>
      <c r="F1" s="1"/>
      <c r="G1" s="1"/>
      <c r="H1" s="1"/>
      <c r="I1" s="1"/>
      <c r="J1" s="1"/>
      <c r="K1" s="1"/>
      <c r="L1" s="1"/>
      <c r="M1" s="1"/>
      <c r="N1" s="1"/>
      <c r="O1" s="1"/>
      <c r="P1" s="1"/>
      <c r="Q1" s="1"/>
      <c r="R1" s="1"/>
      <c r="S1" s="1"/>
      <c r="T1" s="1"/>
    </row>
    <row r="2" spans="1:26" x14ac:dyDescent="0.3">
      <c r="E2" s="55"/>
      <c r="F2" s="55"/>
      <c r="G2" s="55"/>
      <c r="H2" s="55"/>
    </row>
    <row r="3" spans="1:26" ht="15" thickBot="1" x14ac:dyDescent="0.35">
      <c r="D3" s="81" t="s">
        <v>105</v>
      </c>
      <c r="E3" s="81"/>
      <c r="F3" s="81"/>
      <c r="G3" s="81"/>
      <c r="H3" s="55" t="s">
        <v>759</v>
      </c>
      <c r="I3" s="81" t="s">
        <v>106</v>
      </c>
      <c r="J3" s="81"/>
      <c r="K3" s="81"/>
      <c r="L3" s="81"/>
      <c r="M3" s="81"/>
      <c r="N3" s="81"/>
      <c r="O3" s="81"/>
      <c r="P3" s="81"/>
      <c r="Q3" s="81"/>
      <c r="R3" s="81"/>
      <c r="S3" s="39" t="s">
        <v>130</v>
      </c>
      <c r="T3" s="39" t="s">
        <v>131</v>
      </c>
      <c r="U3" s="39" t="s">
        <v>132</v>
      </c>
      <c r="V3" s="39" t="s">
        <v>133</v>
      </c>
      <c r="W3" s="41" t="s">
        <v>82</v>
      </c>
      <c r="X3" s="4" t="s">
        <v>83</v>
      </c>
      <c r="Y3" s="4"/>
    </row>
    <row r="4" spans="1:26" ht="15.6" thickTop="1" thickBot="1" x14ac:dyDescent="0.35">
      <c r="A4" s="4" t="s">
        <v>92</v>
      </c>
      <c r="B4" s="47">
        <v>48314</v>
      </c>
      <c r="C4" s="38" t="str">
        <f>VLOOKUP(B4,IRN!$A$2:$B$664,2)</f>
        <v>CANFIELD LSD</v>
      </c>
      <c r="D4" s="81" t="s">
        <v>757</v>
      </c>
      <c r="E4" s="81"/>
      <c r="F4" s="81"/>
      <c r="G4" s="81"/>
      <c r="H4" s="55" t="s">
        <v>760</v>
      </c>
      <c r="I4" s="81" t="s">
        <v>758</v>
      </c>
      <c r="J4" s="81"/>
      <c r="K4" s="81"/>
      <c r="L4" s="81"/>
      <c r="M4" s="81"/>
      <c r="N4" s="81"/>
      <c r="O4" s="81"/>
      <c r="P4" s="81"/>
      <c r="Q4" s="81"/>
      <c r="R4" s="81"/>
      <c r="S4" s="39" t="s">
        <v>81</v>
      </c>
      <c r="T4" s="39" t="s">
        <v>5</v>
      </c>
      <c r="U4" s="39" t="s">
        <v>5</v>
      </c>
      <c r="V4" s="39" t="s">
        <v>5</v>
      </c>
      <c r="W4" s="41" t="s">
        <v>134</v>
      </c>
      <c r="X4" s="33" t="s">
        <v>3751</v>
      </c>
      <c r="Y4" s="4" t="s">
        <v>129</v>
      </c>
    </row>
    <row r="5" spans="1:26" ht="15" thickTop="1" x14ac:dyDescent="0.3">
      <c r="A5" s="5" t="s">
        <v>8</v>
      </c>
      <c r="B5" s="6" t="s">
        <v>9</v>
      </c>
      <c r="C5" s="7"/>
      <c r="D5" s="29" t="s">
        <v>0</v>
      </c>
      <c r="E5" s="29" t="s">
        <v>97</v>
      </c>
      <c r="F5" s="29" t="s">
        <v>769</v>
      </c>
      <c r="G5" s="29" t="s">
        <v>3</v>
      </c>
      <c r="H5" s="65" t="s">
        <v>102</v>
      </c>
      <c r="I5" s="30" t="s">
        <v>98</v>
      </c>
      <c r="J5" s="30" t="s">
        <v>2</v>
      </c>
      <c r="K5" s="30" t="s">
        <v>99</v>
      </c>
      <c r="L5" s="30" t="s">
        <v>138</v>
      </c>
      <c r="M5" s="30" t="s">
        <v>1</v>
      </c>
      <c r="N5" s="30" t="s">
        <v>100</v>
      </c>
      <c r="O5" s="30" t="s">
        <v>101</v>
      </c>
      <c r="P5" s="30" t="s">
        <v>4</v>
      </c>
      <c r="Q5" s="30" t="s">
        <v>770</v>
      </c>
      <c r="R5" s="30" t="s">
        <v>96</v>
      </c>
      <c r="S5" s="35" t="s">
        <v>103</v>
      </c>
      <c r="T5" s="39" t="s">
        <v>135</v>
      </c>
      <c r="U5" s="39" t="s">
        <v>136</v>
      </c>
      <c r="V5" s="39" t="s">
        <v>137</v>
      </c>
      <c r="W5" s="41" t="s">
        <v>103</v>
      </c>
      <c r="X5" s="35" t="s">
        <v>5</v>
      </c>
      <c r="Y5" t="s">
        <v>7</v>
      </c>
    </row>
    <row r="6" spans="1:26" x14ac:dyDescent="0.3">
      <c r="A6" s="5"/>
      <c r="B6" s="5" t="s">
        <v>10</v>
      </c>
      <c r="C6" s="6" t="s">
        <v>11</v>
      </c>
      <c r="D6" s="8">
        <f t="shared" ref="D6:V6" si="0">SUM((D7-(D8*0.5)))</f>
        <v>2684.9616879999999</v>
      </c>
      <c r="E6" s="8">
        <f t="shared" si="0"/>
        <v>0</v>
      </c>
      <c r="F6" s="8">
        <f t="shared" ref="F6" si="1">SUM((F7-(F8*0.5)))</f>
        <v>0</v>
      </c>
      <c r="G6" s="8">
        <f t="shared" ref="G6:H6" si="2">SUM((G7-(G8*0.5)))</f>
        <v>0</v>
      </c>
      <c r="H6" s="8">
        <f t="shared" si="2"/>
        <v>0</v>
      </c>
      <c r="I6" s="8">
        <f t="shared" si="0"/>
        <v>0</v>
      </c>
      <c r="J6" s="8">
        <f t="shared" si="0"/>
        <v>15.629173</v>
      </c>
      <c r="K6" s="8">
        <f t="shared" si="0"/>
        <v>4</v>
      </c>
      <c r="L6" s="8">
        <f>SUM((L7-(L8*0.5)))</f>
        <v>1</v>
      </c>
      <c r="M6" s="8">
        <f t="shared" si="0"/>
        <v>121.15420399999998</v>
      </c>
      <c r="N6" s="8">
        <f t="shared" si="0"/>
        <v>5.1954549999999999</v>
      </c>
      <c r="O6" s="8">
        <f t="shared" si="0"/>
        <v>0</v>
      </c>
      <c r="P6" s="8">
        <f t="shared" si="0"/>
        <v>0.59363200000000005</v>
      </c>
      <c r="Q6" s="8">
        <f>SUM((Q7-(Q8*0.5)))</f>
        <v>0</v>
      </c>
      <c r="R6" s="8">
        <f>SUM((R7-(R8*0.5)))</f>
        <v>0</v>
      </c>
      <c r="S6" s="26">
        <f t="shared" ref="S6:S11" si="3">SUM(D6:R6)</f>
        <v>2832.5341519999997</v>
      </c>
      <c r="T6" s="8">
        <f t="shared" si="0"/>
        <v>0</v>
      </c>
      <c r="U6" s="8">
        <f t="shared" si="0"/>
        <v>10</v>
      </c>
      <c r="V6" s="8">
        <f t="shared" si="0"/>
        <v>12.8</v>
      </c>
      <c r="W6" s="8">
        <f>SUM((W7-(W8*0.5)))</f>
        <v>2855.3341519999999</v>
      </c>
      <c r="X6" s="45">
        <f>SUM((X7-(X8*0.5)))</f>
        <v>2855.11</v>
      </c>
      <c r="Y6" s="3">
        <f>W6-X6</f>
        <v>0.22415199999977631</v>
      </c>
    </row>
    <row r="7" spans="1:26" x14ac:dyDescent="0.3">
      <c r="A7" s="5"/>
      <c r="B7" s="5" t="s">
        <v>12</v>
      </c>
      <c r="C7" s="9" t="s">
        <v>13</v>
      </c>
      <c r="D7" s="8">
        <f>SUMIFS('FTE Detail'!$O$1:$O$99999,'FTE Detail'!$L$1:$L$99999,D$5,'FTE Detail'!$A$1:$A$99999,SFPR!$B$4)</f>
        <v>2684.9616879999999</v>
      </c>
      <c r="E7" s="8">
        <f>SUMIFS('FTE Detail'!$O$1:$O$99999,'FTE Detail'!$L$1:$L$99999,E$5,'FTE Detail'!$A$1:$A$99999,SFPR!$B$4)</f>
        <v>0</v>
      </c>
      <c r="F7" s="8">
        <f>SUMIFS('FTE Detail'!$O$1:$O$99999,'FTE Detail'!$L$1:$L$99999,F$5,'FTE Detail'!$A$1:$A$99999,SFPR!$B$4,'FTE Detail'!$V$1:$V$99999,"FULL")</f>
        <v>0</v>
      </c>
      <c r="G7" s="8">
        <f>SUMIFS('FTE Detail'!$O$1:$O$99999,'FTE Detail'!$L$1:$L$99999,G$5,'FTE Detail'!$A$1:$A$99999,SFPR!$B$4,'FTE Detail'!$V$1:$V$99999,"FULL")</f>
        <v>0</v>
      </c>
      <c r="H7" s="8">
        <f>SUMIFS('FTE Detail'!$O$1:$O$99999,'FTE Detail'!$L$1:$L$99999,H$5,'FTE Detail'!$H$1:$H$99999,SFPR!$B$4,'FTE Detail'!$V$1:$V$99999,"PART")</f>
        <v>0</v>
      </c>
      <c r="I7" s="8">
        <f>SUMIFS('FTE Detail'!$O$1:$O$99999,'FTE Detail'!$L$1:$L$99999,I$5,'FTE Detail'!$M$1:$M$99999,SFPR!$B$4)</f>
        <v>0</v>
      </c>
      <c r="J7" s="8">
        <f>SUMIFS('FTE Detail'!$O$1:$O$99999,'FTE Detail'!$L$1:$L$99999,J$5,'FTE Detail'!$M$1:$M$99999,SFPR!$B$4)</f>
        <v>15.629173</v>
      </c>
      <c r="K7" s="8">
        <f>SUMIFS('FTE Detail'!$O$1:$O$99999,'FTE Detail'!$L$1:$L$99999,K$5,'FTE Detail'!$M$1:$M$99999,SFPR!$B$4)</f>
        <v>4</v>
      </c>
      <c r="L7" s="8">
        <f>SUMIFS('FTE Detail'!$O$1:$O$99999,'FTE Detail'!$L$1:$L$99999,L$5,'FTE Detail'!$M$1:$M$99999,SFPR!$B$4,'FTE Detail'!$V$1:$V$99999,"FULL")</f>
        <v>1</v>
      </c>
      <c r="M7" s="8">
        <f>SUMIFS('FTE Detail'!$O$1:$O$99999,'FTE Detail'!$L$1:$L$99999,M$5,'FTE Detail'!$M$1:$M$99999,SFPR!$B$4,'FTE Detail'!$V$1:$V$99999,"FULL")</f>
        <v>121.15420399999998</v>
      </c>
      <c r="N7" s="8">
        <f>SUMIFS('FTE Detail'!$O$1:$O$99999,'FTE Detail'!$L$1:$L$99999,N$5,'FTE Detail'!$M$1:$M$99999,SFPR!$B$4)</f>
        <v>5.1954549999999999</v>
      </c>
      <c r="O7" s="8">
        <f>SUMIFS('FTE Detail'!$O$1:$O$99999,'FTE Detail'!$L$1:$L$99999,O$5,'FTE Detail'!$M$1:$M$99999,SFPR!$B$4)</f>
        <v>0</v>
      </c>
      <c r="P7" s="8">
        <f>SUMIFS('FTE Detail'!$O$1:$O$99999,'FTE Detail'!$L$1:$L$99999,P$5,'FTE Detail'!$M$1:$M$99999,SFPR!$B$4)</f>
        <v>0.59363200000000005</v>
      </c>
      <c r="Q7" s="8">
        <f>SUMIFS('FTE Detail'!$O$1:$O$99999,'FTE Detail'!$L$1:$L$99999,Q$5,'FTE Detail'!$M$1:$M$99999,SFPR!$B$4)</f>
        <v>0</v>
      </c>
      <c r="R7" s="8">
        <f>SUMIFS('FTE Detail'!$O$1:$O$99999,'FTE Detail'!$L$1:$L$99999,R$5,'FTE Detail'!$M$1:$M$99999,SFPR!$B$4)</f>
        <v>0</v>
      </c>
      <c r="S7" s="8">
        <f t="shared" si="3"/>
        <v>2832.5341519999997</v>
      </c>
      <c r="T7" s="24">
        <v>0</v>
      </c>
      <c r="U7" s="24">
        <v>10</v>
      </c>
      <c r="V7" s="24">
        <f>14.41-1.61</f>
        <v>12.8</v>
      </c>
      <c r="W7" s="8">
        <f>SUM(S7:V7)</f>
        <v>2855.3341519999999</v>
      </c>
      <c r="X7" s="10">
        <v>2855.11</v>
      </c>
      <c r="Y7" s="3">
        <f t="shared" ref="Y7:Y18" si="4">W7-X7</f>
        <v>0.22415199999977631</v>
      </c>
      <c r="Z7" s="3"/>
    </row>
    <row r="8" spans="1:26" x14ac:dyDescent="0.3">
      <c r="A8" s="5"/>
      <c r="B8" s="5" t="s">
        <v>14</v>
      </c>
      <c r="C8" s="6" t="s">
        <v>15</v>
      </c>
      <c r="D8" s="6"/>
      <c r="E8" s="24">
        <f>SUMIFS('FTE Detail'!$O$1:$O$99999,'FTE Detail'!$L$1:$L$99999,E$5,'FTE Detail'!$A$1:$A$99999,SFPR!$B$4,'FTE Detail'!$V$1:$V$99999,"FULL")</f>
        <v>0</v>
      </c>
      <c r="F8" s="6"/>
      <c r="G8" s="6"/>
      <c r="H8" s="6"/>
      <c r="I8" s="24">
        <f>SUMIFS('FTE Detail'!$O$1:$O$99999,'FTE Detail'!$L$1:$L$99999,I$5,'FTE Detail'!$M$1:$M$99999,SFPR!$B$4,'FTE Detail'!$V$1:$V$99999,"FULL")</f>
        <v>0</v>
      </c>
      <c r="J8" s="6"/>
      <c r="K8" s="6"/>
      <c r="L8" s="6"/>
      <c r="M8" s="6"/>
      <c r="N8" s="6"/>
      <c r="O8" s="6"/>
      <c r="P8" s="6"/>
      <c r="Q8" s="6"/>
      <c r="R8" s="6"/>
      <c r="S8" s="8">
        <f t="shared" si="3"/>
        <v>0</v>
      </c>
      <c r="T8" s="24">
        <v>0</v>
      </c>
      <c r="U8" s="24">
        <v>0</v>
      </c>
      <c r="V8" s="24">
        <v>0</v>
      </c>
      <c r="W8" s="8">
        <f>SUM(S8:V8)</f>
        <v>0</v>
      </c>
      <c r="X8" s="10">
        <v>0</v>
      </c>
      <c r="Y8" s="3">
        <f t="shared" si="4"/>
        <v>0</v>
      </c>
    </row>
    <row r="9" spans="1:26" x14ac:dyDescent="0.3">
      <c r="A9" s="5"/>
      <c r="B9" s="5" t="s">
        <v>16</v>
      </c>
      <c r="C9" s="9" t="s">
        <v>17</v>
      </c>
      <c r="D9" s="8">
        <f>SUMIFS('FTE Detail'!$O$1:$O$99999,'FTE Detail'!$L$1:$L$99999,D$5,'FTE Detail'!$A$1:$A$99999,SFPR!$B$4,'FTE Detail'!$V$1:$V$99999,"PART")</f>
        <v>23.661249999999999</v>
      </c>
      <c r="E9" s="8"/>
      <c r="F9" s="8"/>
      <c r="G9" s="8"/>
      <c r="H9" s="8">
        <f>SUMIFS('FTE Detail'!$O$1:$O$99999,'FTE Detail'!$L$1:$L$99999,H$5,'FTE Detail'!$H$1:$H$99999,SFPR!$B$4,'FTE Detail'!$V$1:$V$99999,"PART")</f>
        <v>0</v>
      </c>
      <c r="I9" s="8"/>
      <c r="J9" s="8"/>
      <c r="K9" s="8"/>
      <c r="L9" s="8"/>
      <c r="M9" s="8"/>
      <c r="N9" s="8">
        <f>SUMIFS('FTE Detail'!$O$1:$O$99999,'FTE Detail'!$L$1:$L$99999,N$5,'FTE Detail'!$M$1:$M$99999,SFPR!$B$4,'FTE Detail'!$V$1:$V$99999,"PART")</f>
        <v>5.1954549999999999</v>
      </c>
      <c r="O9" s="8">
        <f>SUMIFS('FTE Detail'!$O$1:$O$99999,'FTE Detail'!$L$1:$L$99999,O$5,'FTE Detail'!$M$1:$M$99999,SFPR!$B$4,'FTE Detail'!$V$1:$V$99999,"FULL")</f>
        <v>0</v>
      </c>
      <c r="P9" s="8"/>
      <c r="Q9" s="8"/>
      <c r="R9" s="8">
        <f>SUMIFS('FTE Detail'!$O$1:$O$99999,'FTE Detail'!$L$1:$L$99999,R$5,'FTE Detail'!$M$1:$M$99999,SFPR!$B$4,'FTE Detail'!$V$1:$V$99999,"PART")</f>
        <v>0</v>
      </c>
      <c r="S9" s="8">
        <f t="shared" si="3"/>
        <v>28.856704999999998</v>
      </c>
      <c r="T9" s="24">
        <v>0</v>
      </c>
      <c r="U9" s="24">
        <v>0</v>
      </c>
      <c r="V9" s="24">
        <v>0</v>
      </c>
      <c r="W9" s="8">
        <f>SUM(S9:V9)</f>
        <v>28.856704999999998</v>
      </c>
      <c r="X9" s="10">
        <v>28.86</v>
      </c>
      <c r="Y9" s="3">
        <f t="shared" si="4"/>
        <v>-3.2950000000013802E-3</v>
      </c>
    </row>
    <row r="10" spans="1:26" x14ac:dyDescent="0.3">
      <c r="A10" s="5"/>
      <c r="B10" s="5" t="s">
        <v>18</v>
      </c>
      <c r="C10" s="11" t="s">
        <v>19</v>
      </c>
      <c r="D10" s="11"/>
      <c r="E10" s="11"/>
      <c r="F10" s="8">
        <f>SUMIFS('FTE Detail'!$O$1:$O$99999,'FTE Detail'!$L$1:$L$99999,F$5,'FTE Detail'!$A$1:$A$99999,SFPR!$B$4,'FTE Detail'!$V$1:$V$99999,"FULL")</f>
        <v>0</v>
      </c>
      <c r="G10" s="8">
        <f>SUMIFS('FTE Detail'!$O$1:$O$99999,'FTE Detail'!$L$1:$L$99999,G$5,'FTE Detail'!$A$1:$A$99999,SFPR!$B$4,'FTE Detail'!$V$1:$V$99999,"FULL")</f>
        <v>0</v>
      </c>
      <c r="H10" s="11"/>
      <c r="I10" s="11"/>
      <c r="J10" s="11"/>
      <c r="K10" s="11"/>
      <c r="L10" s="5"/>
      <c r="M10" s="11"/>
      <c r="N10" s="11"/>
      <c r="O10" s="11"/>
      <c r="P10" s="5"/>
      <c r="Q10" s="8">
        <f>SUMIFS('FTE Detail'!$O$1:$O$99999,'FTE Detail'!$L$1:$L$99999,Q$5,'FTE Detail'!$A$1:$A$99999,SFPR!$B$4,'FTE Detail'!$V$1:$V$99999,"FULL")</f>
        <v>0</v>
      </c>
      <c r="R10" s="11"/>
      <c r="S10" s="24">
        <f t="shared" si="3"/>
        <v>0</v>
      </c>
      <c r="T10" s="24">
        <v>0</v>
      </c>
      <c r="U10" s="24">
        <v>0</v>
      </c>
      <c r="V10" s="24">
        <v>0</v>
      </c>
      <c r="W10" s="8">
        <f>SUM(S10:V10)</f>
        <v>0</v>
      </c>
      <c r="X10" s="10">
        <v>0</v>
      </c>
      <c r="Y10" s="3">
        <f t="shared" si="4"/>
        <v>0</v>
      </c>
    </row>
    <row r="11" spans="1:26" x14ac:dyDescent="0.3">
      <c r="A11" s="5"/>
      <c r="B11" s="5" t="s">
        <v>20</v>
      </c>
      <c r="C11" s="9" t="s">
        <v>21</v>
      </c>
      <c r="D11" s="8">
        <f>SUM((D6-(0.8*D9)+(0.2*D10)))</f>
        <v>2666.0326879999998</v>
      </c>
      <c r="E11" s="8">
        <f t="shared" ref="E11:V11" si="5">SUM((E6-(0.8*E9)+(0.2*E10)))</f>
        <v>0</v>
      </c>
      <c r="F11" s="8">
        <f t="shared" si="5"/>
        <v>0</v>
      </c>
      <c r="G11" s="8">
        <f t="shared" ref="G11:H11" si="6">SUM((G6-(0.8*G9)+(0.2*G10)))</f>
        <v>0</v>
      </c>
      <c r="H11" s="8">
        <f t="shared" si="6"/>
        <v>0</v>
      </c>
      <c r="I11" s="8">
        <f t="shared" si="5"/>
        <v>0</v>
      </c>
      <c r="J11" s="8">
        <f t="shared" si="5"/>
        <v>15.629173</v>
      </c>
      <c r="K11" s="8">
        <f t="shared" si="5"/>
        <v>4</v>
      </c>
      <c r="L11" s="8">
        <f t="shared" ref="L11" si="7">SUM((L6-(0.8*L9)+(0.2*L10)))</f>
        <v>1</v>
      </c>
      <c r="M11" s="8">
        <f t="shared" si="5"/>
        <v>121.15420399999998</v>
      </c>
      <c r="N11" s="8">
        <f t="shared" si="5"/>
        <v>1.039091</v>
      </c>
      <c r="O11" s="8">
        <f t="shared" si="5"/>
        <v>0</v>
      </c>
      <c r="P11" s="8">
        <f t="shared" si="5"/>
        <v>0.59363200000000005</v>
      </c>
      <c r="Q11" s="8">
        <f>SUM((Q6-(0.8*Q9)+(0.2*Q10)))</f>
        <v>0</v>
      </c>
      <c r="R11" s="8">
        <f>SUM((R6-(0.8*R9)+(0.2*R10)))</f>
        <v>0</v>
      </c>
      <c r="S11" s="26">
        <f t="shared" si="3"/>
        <v>2809.4487879999997</v>
      </c>
      <c r="T11" s="8">
        <f t="shared" si="5"/>
        <v>0</v>
      </c>
      <c r="U11" s="8">
        <f t="shared" si="5"/>
        <v>10</v>
      </c>
      <c r="V11" s="8">
        <f t="shared" si="5"/>
        <v>12.8</v>
      </c>
      <c r="W11" s="8">
        <f>SUM((W6-(0.8*W9)+(0.2*W10)))</f>
        <v>2832.2487879999999</v>
      </c>
      <c r="X11" s="45">
        <f>SUM((X6-(0.8*X9)+(0.2*X10)))</f>
        <v>2832.0219999999999</v>
      </c>
      <c r="Y11" s="3">
        <f t="shared" si="4"/>
        <v>0.22678799999994226</v>
      </c>
    </row>
    <row r="12" spans="1:26" x14ac:dyDescent="0.3">
      <c r="A12" s="5" t="s">
        <v>22</v>
      </c>
      <c r="B12" s="12" t="s">
        <v>23</v>
      </c>
      <c r="C12" s="13"/>
      <c r="D12" s="13"/>
      <c r="E12" s="13"/>
      <c r="F12" s="14"/>
      <c r="G12" s="14"/>
      <c r="H12" s="14"/>
      <c r="I12" s="13"/>
      <c r="J12" s="13"/>
      <c r="K12" s="13"/>
      <c r="L12" s="14"/>
      <c r="M12" s="13"/>
      <c r="N12" s="14"/>
      <c r="O12" s="14"/>
      <c r="P12" s="14"/>
      <c r="Q12" s="14"/>
      <c r="R12" s="14"/>
      <c r="S12" s="13"/>
      <c r="T12" s="13"/>
      <c r="U12" s="13"/>
      <c r="V12" s="13"/>
      <c r="X12" s="14"/>
    </row>
    <row r="13" spans="1:26" x14ac:dyDescent="0.3">
      <c r="A13" s="18"/>
      <c r="B13" s="5" t="s">
        <v>24</v>
      </c>
      <c r="C13" s="9" t="s">
        <v>25</v>
      </c>
      <c r="D13" s="8">
        <f>SUMIFS('FTE Detail'!$O$1:$O$99999,'FTE Detail'!$L$1:$L$99999,D$5,'FTE Detail'!$A$1:$A$99999,SFPR!$B$4,'FTE Detail'!$V$1:$V$99999,"FULL",'FTE Detail'!$R$1:$R$99999,1)</f>
        <v>42.506418999999994</v>
      </c>
      <c r="E13" s="8">
        <f>SUMIFS('FTE Detail'!$O$1:$O$99999,'FTE Detail'!$L$1:$L$99999,E$5,'FTE Detail'!$A$1:$A$99999,SFPR!$B$4,'FTE Detail'!$V$1:$V$99999,"FULL",'FTE Detail'!$R$1:$R$99999,1)</f>
        <v>0</v>
      </c>
      <c r="F13" s="8">
        <f>SUMIFS('FTE Detail'!$O$1:$O$99999,'FTE Detail'!$L$1:$L$99999,F$5,'FTE Detail'!$A$1:$A$99999,SFPR!$B$4,'FTE Detail'!$V$1:$V$99999,"FULL",'FTE Detail'!$R$1:$R$99999,1)</f>
        <v>0</v>
      </c>
      <c r="G13" s="8">
        <f>SUMIFS('FTE Detail'!$O$1:$O$99999,'FTE Detail'!$L$1:$L$99999,G$5,'FTE Detail'!$A$1:$A$99999,SFPR!$B$4,'FTE Detail'!$V$1:$V$99999,"FULL",'FTE Detail'!$R$1:$R$99999,1)</f>
        <v>0</v>
      </c>
      <c r="H13" s="28"/>
      <c r="I13" s="8">
        <f>SUMIFS('FTE Detail'!$O$1:$O$99999,'FTE Detail'!$L$1:$L$99999,I$5,'FTE Detail'!$M$1:$M$99999,SFPR!$B$4,'FTE Detail'!$V$1:$V$99999,"FULL",'FTE Detail'!$R$1:$R$99999,1)</f>
        <v>0</v>
      </c>
      <c r="J13" s="8">
        <f>SUMIFS('FTE Detail'!$O$1:$O$99999,'FTE Detail'!$L$1:$L$99999,J$5,'FTE Detail'!$M$1:$M$99999,SFPR!$B$4,'FTE Detail'!$V$1:$V$99999,"FULL",'FTE Detail'!$R$1:$R$99999,1)</f>
        <v>1</v>
      </c>
      <c r="K13" s="8">
        <f>SUMIFS('FTE Detail'!$O$1:$O$99999,'FTE Detail'!$L$1:$L$99999,K$5,'FTE Detail'!$M$1:$M$99999,SFPR!$B$4,'FTE Detail'!$V$1:$V$99999,"FULL",'FTE Detail'!$R$1:$R$99999,1)</f>
        <v>0</v>
      </c>
      <c r="L13" s="8">
        <f>SUMIFS('FTE Detail'!$O$1:$O$99999,'FTE Detail'!$L$1:$L$99999,L$5,'FTE Detail'!$M$1:$M$99999,SFPR!$B$4,'FTE Detail'!$V$1:$V$99999,"FULL",'FTE Detail'!$R$1:$R$99999,1,'FTE Detail'!$V$1:$V$99999,"FULL")</f>
        <v>0</v>
      </c>
      <c r="M13" s="8">
        <f>SUMIFS('FTE Detail'!$O$1:$O$99999,'FTE Detail'!$L$1:$L$99999,M$5,'FTE Detail'!$M$1:$M$99999,SFPR!$B$4,'FTE Detail'!$V$1:$V$99999,"FULL",'FTE Detail'!$R$1:$R$99999,1)</f>
        <v>2</v>
      </c>
      <c r="N13" s="28"/>
      <c r="O13" s="28"/>
      <c r="P13" s="28"/>
      <c r="Q13" s="28"/>
      <c r="R13" s="28"/>
      <c r="S13" s="27">
        <f t="shared" ref="S13:S18" si="8">SUM(D13:R13)</f>
        <v>45.506418999999994</v>
      </c>
      <c r="T13" s="24">
        <v>0</v>
      </c>
      <c r="U13" s="24">
        <v>3</v>
      </c>
      <c r="V13" s="24">
        <v>0</v>
      </c>
      <c r="W13" s="8">
        <f>SUM(S13:V13)</f>
        <v>48.506418999999994</v>
      </c>
      <c r="X13" s="8">
        <v>48.48</v>
      </c>
      <c r="Y13" s="3">
        <f t="shared" si="4"/>
        <v>2.6418999999997084E-2</v>
      </c>
    </row>
    <row r="14" spans="1:26" x14ac:dyDescent="0.3">
      <c r="A14" s="18"/>
      <c r="B14" s="5" t="s">
        <v>26</v>
      </c>
      <c r="C14" s="9" t="s">
        <v>27</v>
      </c>
      <c r="D14" s="8">
        <f>SUMIFS('FTE Detail'!$O$1:$O$99999,'FTE Detail'!$L$1:$L$99999,D$5,'FTE Detail'!$A$1:$A$99999,SFPR!$B$4,'FTE Detail'!$V$1:$V$99999,"FULL",'FTE Detail'!$R$1:$R$99999,2)</f>
        <v>163.24309499999995</v>
      </c>
      <c r="E14" s="8">
        <f>SUMIFS('FTE Detail'!$O$1:$O$99999,'FTE Detail'!$L$1:$L$99999,E$5,'FTE Detail'!$A$1:$A$99999,SFPR!$B$4,'FTE Detail'!$V$1:$V$99999,"FULL",'FTE Detail'!$R$1:$R$99999,2)</f>
        <v>0</v>
      </c>
      <c r="F14" s="8">
        <f>SUMIFS('FTE Detail'!$O$1:$O$99999,'FTE Detail'!$L$1:$L$99999,F$5,'FTE Detail'!$A$1:$A$99999,SFPR!$B$4,'FTE Detail'!$V$1:$V$99999,"FULL",'FTE Detail'!$R$1:$R$99999,2)</f>
        <v>0</v>
      </c>
      <c r="G14" s="8">
        <f>SUMIFS('FTE Detail'!$O$1:$O$99999,'FTE Detail'!$L$1:$L$99999,G$5,'FTE Detail'!$A$1:$A$99999,SFPR!$B$4,'FTE Detail'!$V$1:$V$99999,"FULL",'FTE Detail'!$R$1:$R$99999,2)</f>
        <v>0</v>
      </c>
      <c r="H14" s="28"/>
      <c r="I14" s="8">
        <f>SUMIFS('FTE Detail'!$O$1:$O$99999,'FTE Detail'!$L$1:$L$99999,I$5,'FTE Detail'!$M$1:$M$99999,SFPR!$B$4,'FTE Detail'!$V$1:$V$99999,"FULL",'FTE Detail'!$R$1:$R$99999,2)</f>
        <v>0</v>
      </c>
      <c r="J14" s="8">
        <f>SUMIFS('FTE Detail'!$O$1:$O$99999,'FTE Detail'!$L$1:$L$99999,J$5,'FTE Detail'!$M$1:$M$99999,SFPR!$B$4,'FTE Detail'!$V$1:$V$99999,"FULL",'FTE Detail'!$R$1:$R$99999,2)</f>
        <v>2.1181239999999999</v>
      </c>
      <c r="K14" s="8">
        <f>SUMIFS('FTE Detail'!$O$1:$O$99999,'FTE Detail'!$L$1:$L$99999,K$5,'FTE Detail'!$M$1:$M$99999,SFPR!$B$4,'FTE Detail'!$V$1:$V$99999,"FULL",'FTE Detail'!$R$1:$R$99999,2)</f>
        <v>0</v>
      </c>
      <c r="L14" s="8">
        <f>SUMIFS('FTE Detail'!$O$1:$O$99999,'FTE Detail'!$L$1:$L$99999,L$5,'FTE Detail'!$M$1:$M$99999,SFPR!$B$4,'FTE Detail'!$V$1:$V$99999,"FULL",'FTE Detail'!$R$1:$R$99999,2,'FTE Detail'!$V$1:$V$99999,"FULL")</f>
        <v>0</v>
      </c>
      <c r="M14" s="8">
        <f>SUMIFS('FTE Detail'!$O$1:$O$99999,'FTE Detail'!$L$1:$L$99999,M$5,'FTE Detail'!$M$1:$M$99999,SFPR!$B$4,'FTE Detail'!$V$1:$V$99999,"FULL",'FTE Detail'!$R$1:$R$99999,2)</f>
        <v>11.489331</v>
      </c>
      <c r="N14" s="28"/>
      <c r="O14" s="28"/>
      <c r="P14" s="28"/>
      <c r="Q14" s="28"/>
      <c r="R14" s="28"/>
      <c r="S14" s="27">
        <f t="shared" si="8"/>
        <v>176.85054999999994</v>
      </c>
      <c r="T14" s="24">
        <v>0</v>
      </c>
      <c r="U14" s="24">
        <v>4.5</v>
      </c>
      <c r="V14" s="24">
        <v>0</v>
      </c>
      <c r="W14" s="8">
        <f t="shared" ref="W14:W18" si="9">SUM(S14:V14)</f>
        <v>181.35054999999994</v>
      </c>
      <c r="X14" s="8">
        <v>180.48</v>
      </c>
      <c r="Y14" s="3">
        <f t="shared" si="4"/>
        <v>0.87054999999995175</v>
      </c>
    </row>
    <row r="15" spans="1:26" x14ac:dyDescent="0.3">
      <c r="A15" s="18"/>
      <c r="B15" s="5" t="s">
        <v>28</v>
      </c>
      <c r="C15" s="9" t="s">
        <v>29</v>
      </c>
      <c r="D15" s="8">
        <f>SUMIFS('FTE Detail'!$O$1:$O$99999,'FTE Detail'!$L$1:$L$99999,D$5,'FTE Detail'!$A$1:$A$99999,SFPR!$B$4,'FTE Detail'!$V$1:$V$99999,"FULL",'FTE Detail'!$R$1:$R$99999,3)</f>
        <v>7.1837080000000002</v>
      </c>
      <c r="E15" s="8">
        <f>SUMIFS('FTE Detail'!$O$1:$O$99999,'FTE Detail'!$L$1:$L$99999,E$5,'FTE Detail'!$A$1:$A$99999,SFPR!$B$4,'FTE Detail'!$V$1:$V$99999,"FULL",'FTE Detail'!$R$1:$R$99999,3)</f>
        <v>0</v>
      </c>
      <c r="F15" s="8">
        <f>SUMIFS('FTE Detail'!$O$1:$O$99999,'FTE Detail'!$L$1:$L$99999,F$5,'FTE Detail'!$A$1:$A$99999,SFPR!$B$4,'FTE Detail'!$V$1:$V$99999,"FULL",'FTE Detail'!$R$1:$R$99999,3)</f>
        <v>0</v>
      </c>
      <c r="G15" s="8">
        <f>SUMIFS('FTE Detail'!$O$1:$O$99999,'FTE Detail'!$L$1:$L$99999,G$5,'FTE Detail'!$A$1:$A$99999,SFPR!$B$4,'FTE Detail'!$V$1:$V$99999,"FULL",'FTE Detail'!$R$1:$R$99999,3)</f>
        <v>0</v>
      </c>
      <c r="H15" s="28"/>
      <c r="I15" s="8">
        <f>SUMIFS('FTE Detail'!$O$1:$O$99999,'FTE Detail'!$L$1:$L$99999,I$5,'FTE Detail'!$M$1:$M$99999,SFPR!$B$4,'FTE Detail'!$V$1:$V$99999,"FULL",'FTE Detail'!$R$1:$R$99999,3)</f>
        <v>0</v>
      </c>
      <c r="J15" s="8">
        <f>SUMIFS('FTE Detail'!$O$1:$O$99999,'FTE Detail'!$L$1:$L$99999,J$5,'FTE Detail'!$M$1:$M$99999,SFPR!$B$4,'FTE Detail'!$V$1:$V$99999,"FULL",'FTE Detail'!$R$1:$R$99999,3)</f>
        <v>0</v>
      </c>
      <c r="K15" s="8">
        <f>SUMIFS('FTE Detail'!$O$1:$O$99999,'FTE Detail'!$L$1:$L$99999,K$5,'FTE Detail'!$M$1:$M$99999,SFPR!$B$4,'FTE Detail'!$V$1:$V$99999,"FULL",'FTE Detail'!$R$1:$R$99999,3)</f>
        <v>0</v>
      </c>
      <c r="L15" s="8">
        <f>SUMIFS('FTE Detail'!$O$1:$O$99999,'FTE Detail'!$L$1:$L$99999,L$5,'FTE Detail'!$M$1:$M$99999,SFPR!$B$4,'FTE Detail'!$V$1:$V$99999,"FULL",'FTE Detail'!$R$1:$R$99999,3,'FTE Detail'!$V$1:$V$99999,"FULL")</f>
        <v>0</v>
      </c>
      <c r="M15" s="8">
        <f>SUMIFS('FTE Detail'!$O$1:$O$99999,'FTE Detail'!$L$1:$L$99999,M$5,'FTE Detail'!$M$1:$M$99999,SFPR!$B$4,'FTE Detail'!$V$1:$V$99999,"FULL",'FTE Detail'!$R$1:$R$99999,3)</f>
        <v>1</v>
      </c>
      <c r="N15" s="28"/>
      <c r="O15" s="28"/>
      <c r="P15" s="28"/>
      <c r="Q15" s="28"/>
      <c r="R15" s="28"/>
      <c r="S15" s="27">
        <f t="shared" si="8"/>
        <v>8.1837079999999993</v>
      </c>
      <c r="T15" s="24">
        <v>0</v>
      </c>
      <c r="U15" s="24">
        <v>0</v>
      </c>
      <c r="V15" s="24">
        <v>0</v>
      </c>
      <c r="W15" s="8">
        <f t="shared" si="9"/>
        <v>8.1837079999999993</v>
      </c>
      <c r="X15" s="8">
        <v>8.19</v>
      </c>
      <c r="Y15" s="3">
        <f t="shared" si="4"/>
        <v>-6.2920000000001863E-3</v>
      </c>
      <c r="Z15" t="s">
        <v>95</v>
      </c>
    </row>
    <row r="16" spans="1:26" x14ac:dyDescent="0.3">
      <c r="A16" s="18"/>
      <c r="B16" s="5" t="s">
        <v>30</v>
      </c>
      <c r="C16" s="9" t="s">
        <v>31</v>
      </c>
      <c r="D16" s="8">
        <f>SUMIFS('FTE Detail'!$O$1:$O$99999,'FTE Detail'!$L$1:$L$99999,D$5,'FTE Detail'!$A$1:$A$99999,SFPR!$B$4,'FTE Detail'!$V$1:$V$99999,"FULL",'FTE Detail'!$R$1:$R$99999,4)</f>
        <v>0</v>
      </c>
      <c r="E16" s="8">
        <f>SUMIFS('FTE Detail'!$O$1:$O$99999,'FTE Detail'!$L$1:$L$99999,E$5,'FTE Detail'!$A$1:$A$99999,SFPR!$B$4,'FTE Detail'!$V$1:$V$99999,"FULL",'FTE Detail'!$R$1:$R$99999,4)</f>
        <v>0</v>
      </c>
      <c r="F16" s="8">
        <f>SUMIFS('FTE Detail'!$O$1:$O$99999,'FTE Detail'!$L$1:$L$99999,F$5,'FTE Detail'!$A$1:$A$99999,SFPR!$B$4,'FTE Detail'!$V$1:$V$99999,"FULL",'FTE Detail'!$R$1:$R$99999,4)</f>
        <v>0</v>
      </c>
      <c r="G16" s="8">
        <f>SUMIFS('FTE Detail'!$O$1:$O$99999,'FTE Detail'!$L$1:$L$99999,G$5,'FTE Detail'!$A$1:$A$99999,SFPR!$B$4,'FTE Detail'!$V$1:$V$99999,"FULL",'FTE Detail'!$R$1:$R$99999,4)</f>
        <v>0</v>
      </c>
      <c r="H16" s="28"/>
      <c r="I16" s="8">
        <f>SUMIFS('FTE Detail'!$O$1:$O$99999,'FTE Detail'!$L$1:$L$99999,I$5,'FTE Detail'!$M$1:$M$99999,SFPR!$B$4,'FTE Detail'!$V$1:$V$99999,"FULL",'FTE Detail'!$R$1:$R$99999,4)</f>
        <v>0</v>
      </c>
      <c r="J16" s="8">
        <f>SUMIFS('FTE Detail'!$O$1:$O$99999,'FTE Detail'!$L$1:$L$99999,J$5,'FTE Detail'!$M$1:$M$99999,SFPR!$B$4,'FTE Detail'!$V$1:$V$99999,"FULL",'FTE Detail'!$R$1:$R$99999,4)</f>
        <v>0</v>
      </c>
      <c r="K16" s="8">
        <f>SUMIFS('FTE Detail'!$O$1:$O$99999,'FTE Detail'!$L$1:$L$99999,K$5,'FTE Detail'!$M$1:$M$99999,SFPR!$B$4,'FTE Detail'!$V$1:$V$99999,"FULL",'FTE Detail'!$R$1:$R$99999,4)</f>
        <v>0</v>
      </c>
      <c r="L16" s="8">
        <f>SUMIFS('FTE Detail'!$O$1:$O$99999,'FTE Detail'!$L$1:$L$99999,L$5,'FTE Detail'!$M$1:$M$99999,SFPR!$B$4,'FTE Detail'!$V$1:$V$99999,"FULL",'FTE Detail'!$R$1:$R$99999,4,'FTE Detail'!$V$1:$V$99999,"FULL")</f>
        <v>0</v>
      </c>
      <c r="M16" s="8">
        <f>SUMIFS('FTE Detail'!$O$1:$O$99999,'FTE Detail'!$L$1:$L$99999,M$5,'FTE Detail'!$M$1:$M$99999,SFPR!$B$4,'FTE Detail'!$V$1:$V$99999,"FULL",'FTE Detail'!$R$1:$R$99999,4)</f>
        <v>0</v>
      </c>
      <c r="N16" s="28"/>
      <c r="O16" s="28"/>
      <c r="P16" s="28"/>
      <c r="Q16" s="28"/>
      <c r="R16" s="28"/>
      <c r="S16" s="27">
        <f t="shared" si="8"/>
        <v>0</v>
      </c>
      <c r="T16" s="24">
        <v>0</v>
      </c>
      <c r="U16" s="24">
        <v>0</v>
      </c>
      <c r="V16" s="24">
        <v>0</v>
      </c>
      <c r="W16" s="8">
        <f t="shared" si="9"/>
        <v>0</v>
      </c>
      <c r="X16" s="8">
        <v>0</v>
      </c>
      <c r="Y16" s="3">
        <f t="shared" si="4"/>
        <v>0</v>
      </c>
    </row>
    <row r="17" spans="1:25" x14ac:dyDescent="0.3">
      <c r="A17" s="18"/>
      <c r="B17" s="5" t="s">
        <v>32</v>
      </c>
      <c r="C17" s="9" t="s">
        <v>33</v>
      </c>
      <c r="D17" s="8">
        <f>SUMIFS('FTE Detail'!$O$1:$O$99999,'FTE Detail'!$L$1:$L$99999,D$5,'FTE Detail'!$A$1:$A$99999,SFPR!$B$4,'FTE Detail'!$V$1:$V$99999,"FULL",'FTE Detail'!$R$1:$R$99999,5)</f>
        <v>12.559585999999999</v>
      </c>
      <c r="E17" s="8">
        <f>SUMIFS('FTE Detail'!$O$1:$O$99999,'FTE Detail'!$L$1:$L$99999,E$5,'FTE Detail'!$A$1:$A$99999,SFPR!$B$4,'FTE Detail'!$V$1:$V$99999,"FULL",'FTE Detail'!$R$1:$R$99999,5)</f>
        <v>0</v>
      </c>
      <c r="F17" s="8">
        <f>SUMIFS('FTE Detail'!$O$1:$O$99999,'FTE Detail'!$L$1:$L$99999,F$5,'FTE Detail'!$A$1:$A$99999,SFPR!$B$4,'FTE Detail'!$V$1:$V$99999,"FULL",'FTE Detail'!$R$1:$R$99999,5)</f>
        <v>0</v>
      </c>
      <c r="G17" s="8">
        <f>SUMIFS('FTE Detail'!$O$1:$O$99999,'FTE Detail'!$L$1:$L$99999,G$5,'FTE Detail'!$A$1:$A$99999,SFPR!$B$4,'FTE Detail'!$V$1:$V$99999,"FULL",'FTE Detail'!$R$1:$R$99999,5)</f>
        <v>0</v>
      </c>
      <c r="H17" s="28"/>
      <c r="I17" s="8">
        <f>SUMIFS('FTE Detail'!$O$1:$O$99999,'FTE Detail'!$L$1:$L$99999,I$5,'FTE Detail'!$M$1:$M$99999,SFPR!$B$4,'FTE Detail'!$V$1:$V$99999,"FULL",'FTE Detail'!$R$1:$R$99999,5)</f>
        <v>0</v>
      </c>
      <c r="J17" s="8">
        <f>SUMIFS('FTE Detail'!$O$1:$O$99999,'FTE Detail'!$L$1:$L$99999,J$5,'FTE Detail'!$M$1:$M$99999,SFPR!$B$4,'FTE Detail'!$V$1:$V$99999,"FULL",'FTE Detail'!$R$1:$R$99999,5)</f>
        <v>0</v>
      </c>
      <c r="K17" s="8">
        <f>SUMIFS('FTE Detail'!$O$1:$O$99999,'FTE Detail'!$L$1:$L$99999,K$5,'FTE Detail'!$M$1:$M$99999,SFPR!$B$4,'FTE Detail'!$V$1:$V$99999,"FULL",'FTE Detail'!$R$1:$R$99999,5)</f>
        <v>0</v>
      </c>
      <c r="L17" s="8">
        <f>SUMIFS('FTE Detail'!$O$1:$O$99999,'FTE Detail'!$L$1:$L$99999,L$5,'FTE Detail'!$M$1:$M$99999,SFPR!$B$4,'FTE Detail'!$V$1:$V$99999,"FULL",'FTE Detail'!$R$1:$R$99999,5,'FTE Detail'!$V$1:$V$99999,"FULL")</f>
        <v>0</v>
      </c>
      <c r="M17" s="8">
        <f>SUMIFS('FTE Detail'!$O$1:$O$99999,'FTE Detail'!$L$1:$L$99999,M$5,'FTE Detail'!$M$1:$M$99999,SFPR!$B$4,'FTE Detail'!$V$1:$V$99999,"FULL",'FTE Detail'!$R$1:$R$99999,5)</f>
        <v>0</v>
      </c>
      <c r="N17" s="28"/>
      <c r="O17" s="28"/>
      <c r="P17" s="28"/>
      <c r="Q17" s="28"/>
      <c r="R17" s="28"/>
      <c r="S17" s="27">
        <f t="shared" si="8"/>
        <v>12.559585999999999</v>
      </c>
      <c r="T17" s="24">
        <v>0</v>
      </c>
      <c r="U17" s="24">
        <v>1</v>
      </c>
      <c r="V17" s="24">
        <v>0</v>
      </c>
      <c r="W17" s="8">
        <f t="shared" si="9"/>
        <v>13.559585999999999</v>
      </c>
      <c r="X17" s="8">
        <v>13.56</v>
      </c>
      <c r="Y17" s="3">
        <f t="shared" si="4"/>
        <v>-4.1400000000102466E-4</v>
      </c>
    </row>
    <row r="18" spans="1:25" x14ac:dyDescent="0.3">
      <c r="A18" s="18"/>
      <c r="B18" s="5" t="s">
        <v>34</v>
      </c>
      <c r="C18" s="9" t="s">
        <v>35</v>
      </c>
      <c r="D18" s="8">
        <f>SUMIFS('FTE Detail'!$O$1:$O$99999,'FTE Detail'!$L$1:$L$99999,D$5,'FTE Detail'!$A$1:$A$99999,SFPR!$B$4,'FTE Detail'!$V$1:$V$99999,"FULL",'FTE Detail'!$R$1:$R$99999,6)</f>
        <v>24.244645999999999</v>
      </c>
      <c r="E18" s="8">
        <f>SUMIFS('FTE Detail'!$O$1:$O$99999,'FTE Detail'!$L$1:$L$99999,E$5,'FTE Detail'!$A$1:$A$99999,SFPR!$B$4,'FTE Detail'!$V$1:$V$99999,"FULL",'FTE Detail'!$R$1:$R$99999,6)</f>
        <v>0</v>
      </c>
      <c r="F18" s="8">
        <f>SUMIFS('FTE Detail'!$O$1:$O$99999,'FTE Detail'!$L$1:$L$99999,F$5,'FTE Detail'!$A$1:$A$99999,SFPR!$B$4,'FTE Detail'!$V$1:$V$99999,"FULL",'FTE Detail'!$R$1:$R$99999,6)</f>
        <v>0</v>
      </c>
      <c r="G18" s="8">
        <f>SUMIFS('FTE Detail'!$O$1:$O$99999,'FTE Detail'!$L$1:$L$99999,G$5,'FTE Detail'!$A$1:$A$99999,SFPR!$B$4,'FTE Detail'!$V$1:$V$99999,"FULL",'FTE Detail'!$R$1:$R$99999,6)</f>
        <v>0</v>
      </c>
      <c r="H18" s="28"/>
      <c r="I18" s="8">
        <f>SUMIFS('FTE Detail'!$O$1:$O$99999,'FTE Detail'!$L$1:$L$99999,I$5,'FTE Detail'!$M$1:$M$99999,SFPR!$B$4,'FTE Detail'!$V$1:$V$99999,"FULL",'FTE Detail'!$R$1:$R$99999,6)</f>
        <v>0</v>
      </c>
      <c r="J18" s="8">
        <f>SUMIFS('FTE Detail'!$O$1:$O$99999,'FTE Detail'!$L$1:$L$99999,J$5,'FTE Detail'!$M$1:$M$99999,SFPR!$B$4,'FTE Detail'!$V$1:$V$99999,"FULL",'FTE Detail'!$R$1:$R$99999,6)</f>
        <v>1</v>
      </c>
      <c r="K18" s="8">
        <f>SUMIFS('FTE Detail'!$O$1:$O$99999,'FTE Detail'!$L$1:$L$99999,K$5,'FTE Detail'!$M$1:$M$99999,SFPR!$B$4,'FTE Detail'!$V$1:$V$99999,"FULL",'FTE Detail'!$R$1:$R$99999,6)</f>
        <v>0</v>
      </c>
      <c r="L18" s="8">
        <f>SUMIFS('FTE Detail'!$O$1:$O$99999,'FTE Detail'!$L$1:$L$99999,L$5,'FTE Detail'!$M$1:$M$99999,SFPR!$B$4,'FTE Detail'!$V$1:$V$99999,"FULL",'FTE Detail'!$R$1:$R$99999,6,'FTE Detail'!$V$1:$V$99999,"FULL")</f>
        <v>0</v>
      </c>
      <c r="M18" s="8">
        <f>SUMIFS('FTE Detail'!$O$1:$O$99999,'FTE Detail'!$L$1:$L$99999,M$5,'FTE Detail'!$M$1:$M$99999,SFPR!$B$4,'FTE Detail'!$V$1:$V$99999,"FULL",'FTE Detail'!$R$1:$R$99999,6)</f>
        <v>0</v>
      </c>
      <c r="N18" s="28"/>
      <c r="O18" s="28"/>
      <c r="P18" s="28"/>
      <c r="Q18" s="28"/>
      <c r="R18" s="28"/>
      <c r="S18" s="27">
        <f t="shared" si="8"/>
        <v>25.244645999999999</v>
      </c>
      <c r="T18" s="24">
        <v>0</v>
      </c>
      <c r="U18" s="24">
        <v>1.5</v>
      </c>
      <c r="V18" s="24">
        <v>12.8</v>
      </c>
      <c r="W18" s="8">
        <f t="shared" si="9"/>
        <v>39.544646</v>
      </c>
      <c r="X18" s="8">
        <v>39.549999999999997</v>
      </c>
      <c r="Y18" s="3">
        <f t="shared" si="4"/>
        <v>-5.3539999999969723E-3</v>
      </c>
    </row>
    <row r="19" spans="1:25" x14ac:dyDescent="0.3">
      <c r="A19" s="5" t="s">
        <v>36</v>
      </c>
      <c r="B19" s="12" t="s">
        <v>37</v>
      </c>
      <c r="C19" s="14"/>
      <c r="D19" s="14"/>
      <c r="E19" s="14"/>
      <c r="F19" s="14"/>
      <c r="G19" s="14"/>
      <c r="H19" s="14"/>
      <c r="I19" s="14"/>
      <c r="J19" s="14"/>
      <c r="K19" s="14"/>
      <c r="L19" s="14"/>
      <c r="M19" s="14"/>
      <c r="N19" s="14"/>
      <c r="O19" s="14"/>
      <c r="P19" s="14"/>
      <c r="Q19" s="14"/>
      <c r="R19" s="14"/>
      <c r="S19" s="14"/>
      <c r="T19" s="14"/>
      <c r="U19" s="14"/>
      <c r="V19" s="14"/>
      <c r="X19" s="15"/>
    </row>
    <row r="20" spans="1:25" x14ac:dyDescent="0.3">
      <c r="A20" s="5"/>
      <c r="B20" s="5" t="s">
        <v>38</v>
      </c>
      <c r="C20" s="9" t="s">
        <v>39</v>
      </c>
      <c r="D20" s="9"/>
      <c r="E20" s="9"/>
      <c r="F20" s="9"/>
      <c r="G20" s="9"/>
      <c r="H20" s="9"/>
      <c r="I20" s="9"/>
      <c r="J20" s="9"/>
      <c r="K20" s="9"/>
      <c r="L20" s="9"/>
      <c r="M20" s="9"/>
      <c r="N20" s="9"/>
      <c r="O20" s="9"/>
      <c r="P20" s="9"/>
      <c r="Q20" s="9"/>
      <c r="R20" s="9"/>
      <c r="S20" s="9"/>
      <c r="T20" s="9"/>
      <c r="U20" s="9"/>
      <c r="V20" s="9"/>
      <c r="X20" s="8">
        <v>0.13</v>
      </c>
      <c r="Y20" t="s">
        <v>107</v>
      </c>
    </row>
    <row r="21" spans="1:25" x14ac:dyDescent="0.3">
      <c r="A21" s="5"/>
      <c r="B21" s="5" t="s">
        <v>40</v>
      </c>
      <c r="C21" s="9" t="s">
        <v>41</v>
      </c>
      <c r="D21" s="9"/>
      <c r="E21" s="9"/>
      <c r="F21" s="9"/>
      <c r="G21" s="9"/>
      <c r="H21" s="9"/>
      <c r="I21" s="9"/>
      <c r="J21" s="9"/>
      <c r="K21" s="9"/>
      <c r="L21" s="9"/>
      <c r="M21" s="9"/>
      <c r="N21" s="9"/>
      <c r="O21" s="9"/>
      <c r="P21" s="9"/>
      <c r="Q21" s="9"/>
      <c r="R21" s="9"/>
      <c r="S21" s="9"/>
      <c r="T21" s="9"/>
      <c r="U21" s="9"/>
      <c r="V21" s="9"/>
      <c r="X21" s="8">
        <v>0.49</v>
      </c>
      <c r="Y21" t="s">
        <v>107</v>
      </c>
    </row>
    <row r="22" spans="1:25" x14ac:dyDescent="0.3">
      <c r="A22" s="5"/>
      <c r="B22" s="5" t="s">
        <v>42</v>
      </c>
      <c r="C22" s="9" t="s">
        <v>43</v>
      </c>
      <c r="D22" s="9"/>
      <c r="E22" s="9"/>
      <c r="F22" s="9"/>
      <c r="G22" s="9"/>
      <c r="H22" s="9"/>
      <c r="I22" s="9"/>
      <c r="J22" s="9"/>
      <c r="K22" s="9"/>
      <c r="L22" s="9"/>
      <c r="M22" s="9"/>
      <c r="N22" s="9"/>
      <c r="O22" s="9"/>
      <c r="P22" s="9"/>
      <c r="Q22" s="9"/>
      <c r="R22" s="9"/>
      <c r="S22" s="9"/>
      <c r="T22" s="9"/>
      <c r="U22" s="9"/>
      <c r="V22" s="9"/>
      <c r="X22" s="8">
        <v>11.48</v>
      </c>
      <c r="Y22" t="s">
        <v>107</v>
      </c>
    </row>
    <row r="23" spans="1:25" x14ac:dyDescent="0.3">
      <c r="A23" s="5"/>
      <c r="B23" s="5" t="s">
        <v>44</v>
      </c>
      <c r="C23" s="9" t="s">
        <v>45</v>
      </c>
      <c r="D23" s="9"/>
      <c r="E23" s="9"/>
      <c r="F23" s="9"/>
      <c r="G23" s="9"/>
      <c r="H23" s="9"/>
      <c r="I23" s="9"/>
      <c r="J23" s="9"/>
      <c r="K23" s="9"/>
      <c r="L23" s="9"/>
      <c r="M23" s="9"/>
      <c r="N23" s="9"/>
      <c r="O23" s="9"/>
      <c r="P23" s="9"/>
      <c r="Q23" s="9"/>
      <c r="R23" s="9"/>
      <c r="S23" s="9"/>
      <c r="T23" s="9"/>
      <c r="U23" s="9"/>
      <c r="V23" s="9"/>
      <c r="X23" s="8">
        <v>0.53</v>
      </c>
      <c r="Y23" t="s">
        <v>107</v>
      </c>
    </row>
    <row r="24" spans="1:25" x14ac:dyDescent="0.3">
      <c r="A24" s="5"/>
      <c r="B24" s="5" t="s">
        <v>46</v>
      </c>
      <c r="C24" s="9" t="s">
        <v>47</v>
      </c>
      <c r="D24" s="9"/>
      <c r="E24" s="9"/>
      <c r="F24" s="9"/>
      <c r="G24" s="9"/>
      <c r="H24" s="9"/>
      <c r="I24" s="9"/>
      <c r="J24" s="9"/>
      <c r="K24" s="9"/>
      <c r="L24" s="9"/>
      <c r="M24" s="9"/>
      <c r="N24" s="9"/>
      <c r="O24" s="9"/>
      <c r="P24" s="9"/>
      <c r="Q24" s="9"/>
      <c r="R24" s="9"/>
      <c r="S24" s="9"/>
      <c r="T24" s="9"/>
      <c r="U24" s="9"/>
      <c r="V24" s="9"/>
      <c r="X24" s="8">
        <v>16.18</v>
      </c>
      <c r="Y24" t="s">
        <v>107</v>
      </c>
    </row>
    <row r="25" spans="1:25" x14ac:dyDescent="0.3">
      <c r="A25" s="16" t="s">
        <v>48</v>
      </c>
      <c r="B25" s="12" t="s">
        <v>49</v>
      </c>
      <c r="C25" s="14"/>
      <c r="D25" s="14"/>
      <c r="E25" s="14"/>
      <c r="F25" s="14"/>
      <c r="G25" s="14"/>
      <c r="H25" s="14"/>
      <c r="I25" s="14"/>
      <c r="J25" s="14"/>
      <c r="K25" s="14"/>
      <c r="L25" s="14"/>
      <c r="M25" s="14"/>
      <c r="N25" s="14"/>
      <c r="O25" s="14"/>
      <c r="P25" s="14"/>
      <c r="Q25" s="14"/>
      <c r="R25" s="14"/>
      <c r="S25" s="14"/>
      <c r="T25" s="14"/>
      <c r="U25" s="14"/>
      <c r="V25" s="14"/>
      <c r="X25" s="14"/>
    </row>
    <row r="26" spans="1:25" x14ac:dyDescent="0.3">
      <c r="A26" s="5"/>
      <c r="B26" s="5" t="s">
        <v>50</v>
      </c>
      <c r="C26" s="9" t="s">
        <v>51</v>
      </c>
      <c r="D26" s="8">
        <f>SUMIFS('FTE Detail'!$O$1:$O$99999,'FTE Detail'!$L$1:$L$99999,D$5,'FTE Detail'!$A$1:$A$99999,SFPR!$B$4,'FTE Detail'!$V$1:$V$99999,"FULL",'FTE Detail'!$T$1:$T$99999,"L")</f>
        <v>1.891192</v>
      </c>
      <c r="E26" s="8">
        <f>SUMIFS('FTE Detail'!$O$1:$O$99999,'FTE Detail'!$L$1:$L$99999,E$5,'FTE Detail'!$A$1:$A$99999,SFPR!$B$4,'FTE Detail'!$V$1:$V$99999,"FULL",'FTE Detail'!$T$1:$T$99999,"L")</f>
        <v>0</v>
      </c>
      <c r="F26" s="8">
        <f>SUMIFS('FTE Detail'!$O$1:$O$99999,'FTE Detail'!$L$1:$L$99999,F$5,'FTE Detail'!$A$1:$A$99999,SFPR!$B$4,'FTE Detail'!$V$1:$V$99999,"FULL",'FTE Detail'!$T$1:$T$99999,"L")</f>
        <v>0</v>
      </c>
      <c r="G26" s="8">
        <f>SUMIFS('FTE Detail'!$O$1:$O$99999,'FTE Detail'!$L$1:$L$99999,G$5,'FTE Detail'!$A$1:$A$99999,SFPR!$B$4,'FTE Detail'!$V$1:$V$99999,"FULL",'FTE Detail'!$T$1:$T$99999,"L")</f>
        <v>0</v>
      </c>
      <c r="H26" s="28"/>
      <c r="I26" s="8">
        <f>SUMIFS('FTE Detail'!$O$1:$O$99999,'FTE Detail'!$L$1:$L$99999,I$5,'FTE Detail'!$M$1:$M$99999,SFPR!$B$4,'FTE Detail'!$V$1:$V$99999,"FULL",'FTE Detail'!$T$1:$T$99999,"L")</f>
        <v>0</v>
      </c>
      <c r="J26" s="8">
        <f>SUMIFS('FTE Detail'!$O$1:$O$99999,'FTE Detail'!$L$1:$L$99999,J$5,'FTE Detail'!$M$1:$M$99999,SFPR!$B$4,'FTE Detail'!$V$1:$V$99999,"FULL",'FTE Detail'!$X$1:$X$99999,"B&amp;M Comm",'FTE Detail'!$T$1:$T$99999,"L")</f>
        <v>0</v>
      </c>
      <c r="K26" s="8">
        <f>SUMIFS('FTE Detail'!$O$1:$O$99999,'FTE Detail'!$L$1:$L$99999,K$5,'FTE Detail'!$M$1:$M$99999,SFPR!$B$4,'FTE Detail'!$V$1:$V$99999,"FULL",'FTE Detail'!$T$1:$T$99999,"L")</f>
        <v>0</v>
      </c>
      <c r="L26" s="8">
        <f>SUMIFS('FTE Detail'!$O$1:$O$99999,'FTE Detail'!$L$1:$L$99999,L$5,'FTE Detail'!$M$1:$M$99999,SFPR!$B$4,'FTE Detail'!$V$1:$V$99999,"FULL",'FTE Detail'!$T$1:$T$99999,"L",'FTE Detail'!$V$1:$V$99999,"FULL")</f>
        <v>0</v>
      </c>
      <c r="M26" s="8">
        <f>SUMIFS('FTE Detail'!$O$1:$O$99999,'FTE Detail'!$L$1:$L$99999,M$5,'FTE Detail'!$M$1:$M$99999,SFPR!$B$4,'FTE Detail'!$V$1:$V$99999,"FULL",'FTE Detail'!$T$1:$T$99999,"L")</f>
        <v>0</v>
      </c>
      <c r="N26" s="28"/>
      <c r="O26" s="28"/>
      <c r="P26" s="28"/>
      <c r="Q26" s="28"/>
      <c r="R26" s="28"/>
      <c r="S26" s="27">
        <f>SUM(D26:R26)</f>
        <v>1.891192</v>
      </c>
      <c r="T26" s="27"/>
      <c r="U26" s="27"/>
      <c r="V26" s="27"/>
      <c r="W26" s="8">
        <f>S26</f>
        <v>1.891192</v>
      </c>
      <c r="X26" s="8">
        <v>1.89</v>
      </c>
      <c r="Y26" s="3">
        <f t="shared" ref="Y26:Y38" si="10">W26-X26</f>
        <v>1.1920000000000819E-3</v>
      </c>
    </row>
    <row r="27" spans="1:25" x14ac:dyDescent="0.3">
      <c r="A27" s="5"/>
      <c r="B27" s="5" t="s">
        <v>52</v>
      </c>
      <c r="C27" s="9" t="s">
        <v>53</v>
      </c>
      <c r="D27" s="8">
        <f>SUMIFS('FTE Detail'!$O$1:$O$99999,'FTE Detail'!$L$1:$L$99999,D$5,'FTE Detail'!$A$1:$A$99999,SFPR!$B$4,'FTE Detail'!$V$1:$V$99999,"FULL",'FTE Detail'!$T$1:$T$99999,"Y")</f>
        <v>5</v>
      </c>
      <c r="E27" s="8">
        <f>SUMIFS('FTE Detail'!$O$1:$O$99999,'FTE Detail'!$L$1:$L$99999,E$5,'FTE Detail'!$A$1:$A$99999,SFPR!$B$4,'FTE Detail'!$V$1:$V$99999,"FULL",'FTE Detail'!$T$1:$T$99999,"Y")</f>
        <v>0</v>
      </c>
      <c r="F27" s="8">
        <f>SUMIFS('FTE Detail'!$O$1:$O$99999,'FTE Detail'!$L$1:$L$99999,F$5,'FTE Detail'!$A$1:$A$99999,SFPR!$B$4,'FTE Detail'!$V$1:$V$99999,"FULL",'FTE Detail'!$T$1:$T$99999,"Y")</f>
        <v>0</v>
      </c>
      <c r="G27" s="8">
        <f>SUMIFS('FTE Detail'!$O$1:$O$99999,'FTE Detail'!$L$1:$L$99999,G$5,'FTE Detail'!$A$1:$A$99999,SFPR!$B$4,'FTE Detail'!$V$1:$V$99999,"FULL",'FTE Detail'!$T$1:$T$99999,"Y")</f>
        <v>0</v>
      </c>
      <c r="H27" s="28"/>
      <c r="I27" s="8">
        <f>SUMIFS('FTE Detail'!$O$1:$O$99999,'FTE Detail'!$L$1:$L$99999,I$5,'FTE Detail'!$M$1:$M$99999,SFPR!$B$4,'FTE Detail'!$V$1:$V$99999,"FULL",'FTE Detail'!$T$1:$T$99999,"Y")</f>
        <v>0</v>
      </c>
      <c r="J27" s="8">
        <f>SUMIFS('FTE Detail'!$O$1:$O$99999,'FTE Detail'!$L$1:$L$99999,J$5,'FTE Detail'!$M$1:$M$99999,SFPR!$B$4,'FTE Detail'!$V$1:$V$99999,"FULL",'FTE Detail'!$X$1:$X$99999,"B&amp;M Comm",'FTE Detail'!$T$1:$T$99999,"Y")</f>
        <v>0</v>
      </c>
      <c r="K27" s="8">
        <f>SUMIFS('FTE Detail'!$O$1:$O$99999,'FTE Detail'!$L$1:$L$99999,K$5,'FTE Detail'!$M$1:$M$99999,SFPR!$B$4,'FTE Detail'!$V$1:$V$99999,"FULL",'FTE Detail'!$T$1:$T$99999,"Y")</f>
        <v>0</v>
      </c>
      <c r="L27" s="8">
        <f>SUMIFS('FTE Detail'!$O$1:$O$99999,'FTE Detail'!$L$1:$L$99999,L$5,'FTE Detail'!$M$1:$M$99999,SFPR!$B$4,'FTE Detail'!$V$1:$V$99999,"FULL",'FTE Detail'!$T$1:$T$99999,"Y",'FTE Detail'!$V$1:$V$99999,"FULL")</f>
        <v>0</v>
      </c>
      <c r="M27" s="8">
        <f>SUMIFS('FTE Detail'!$O$1:$O$99999,'FTE Detail'!$L$1:$L$99999,M$5,'FTE Detail'!$M$1:$M$99999,SFPR!$B$4,'FTE Detail'!$V$1:$V$99999,"FULL",'FTE Detail'!$T$1:$T$99999,"Y")</f>
        <v>0</v>
      </c>
      <c r="N27" s="28"/>
      <c r="O27" s="28"/>
      <c r="P27" s="28"/>
      <c r="Q27" s="28"/>
      <c r="R27" s="28"/>
      <c r="S27" s="27">
        <f>SUM(D27:R27)</f>
        <v>5</v>
      </c>
      <c r="T27" s="27"/>
      <c r="U27" s="27"/>
      <c r="V27" s="27"/>
      <c r="W27" s="8">
        <f>S27</f>
        <v>5</v>
      </c>
      <c r="X27" s="8">
        <v>5</v>
      </c>
      <c r="Y27" s="3">
        <f t="shared" si="10"/>
        <v>0</v>
      </c>
    </row>
    <row r="28" spans="1:25" x14ac:dyDescent="0.3">
      <c r="A28" s="5"/>
      <c r="B28" s="5" t="s">
        <v>54</v>
      </c>
      <c r="C28" s="9" t="s">
        <v>55</v>
      </c>
      <c r="D28" s="8">
        <f>SUMIFS('FTE Detail'!$O$1:$O$99999,'FTE Detail'!$L$1:$L$99999,D$5,'FTE Detail'!$A$1:$A$99999,SFPR!$B$4,'FTE Detail'!$V$1:$V$99999,"FULL",'FTE Detail'!$T$1:$T$99999,"M")</f>
        <v>4</v>
      </c>
      <c r="E28" s="8">
        <f>SUMIFS('FTE Detail'!$O$1:$O$99999,'FTE Detail'!$L$1:$L$99999,E$5,'FTE Detail'!$A$1:$A$99999,SFPR!$B$4,'FTE Detail'!$V$1:$V$99999,"FULL",'FTE Detail'!$T$1:$T$99999,"M")</f>
        <v>0</v>
      </c>
      <c r="F28" s="8">
        <f>SUMIFS('FTE Detail'!$O$1:$O$99999,'FTE Detail'!$L$1:$L$99999,F$5,'FTE Detail'!$A$1:$A$99999,SFPR!$B$4,'FTE Detail'!$V$1:$V$99999,"FULL",'FTE Detail'!$T$1:$T$99999,"M")</f>
        <v>0</v>
      </c>
      <c r="G28" s="8">
        <f>SUMIFS('FTE Detail'!$O$1:$O$99999,'FTE Detail'!$L$1:$L$99999,G$5,'FTE Detail'!$A$1:$A$99999,SFPR!$B$4,'FTE Detail'!$V$1:$V$99999,"FULL",'FTE Detail'!$T$1:$T$99999,"M")</f>
        <v>0</v>
      </c>
      <c r="H28" s="28"/>
      <c r="I28" s="8">
        <f>SUMIFS('FTE Detail'!$O$1:$O$99999,'FTE Detail'!$L$1:$L$99999,I$5,'FTE Detail'!$M$1:$M$99999,SFPR!$B$4,'FTE Detail'!$V$1:$V$99999,"FULL",'FTE Detail'!$T$1:$T$99999,"M")</f>
        <v>0</v>
      </c>
      <c r="J28" s="8">
        <f>SUMIFS('FTE Detail'!$O$1:$O$99999,'FTE Detail'!$L$1:$L$99999,J$5,'FTE Detail'!$M$1:$M$99999,SFPR!$B$4,'FTE Detail'!$V$1:$V$99999,"FULL",'FTE Detail'!$X$1:$X$99999,"B&amp;M Comm",'FTE Detail'!$T$1:$T$99999,"M")</f>
        <v>0</v>
      </c>
      <c r="K28" s="8">
        <f>SUMIFS('FTE Detail'!$O$1:$O$99999,'FTE Detail'!$L$1:$L$99999,K$5,'FTE Detail'!$M$1:$M$99999,SFPR!$B$4,'FTE Detail'!$V$1:$V$99999,"FULL",'FTE Detail'!$T$1:$T$99999,"M")</f>
        <v>0</v>
      </c>
      <c r="L28" s="8">
        <f>SUMIFS('FTE Detail'!$O$1:$O$99999,'FTE Detail'!$L$1:$L$99999,L$5,'FTE Detail'!$M$1:$M$99999,SFPR!$B$4,'FTE Detail'!$V$1:$V$99999,"FULL",'FTE Detail'!$T$1:$T$99999,"M",'FTE Detail'!$V$1:$V$99999,"FULL")</f>
        <v>0</v>
      </c>
      <c r="M28" s="8">
        <f>SUMIFS('FTE Detail'!$O$1:$O$99999,'FTE Detail'!$L$1:$L$99999,M$5,'FTE Detail'!$M$1:$M$99999,SFPR!$B$4,'FTE Detail'!$V$1:$V$99999,"FULL",'FTE Detail'!$T$1:$T$99999,"M")</f>
        <v>0</v>
      </c>
      <c r="N28" s="28"/>
      <c r="O28" s="28"/>
      <c r="P28" s="28"/>
      <c r="Q28" s="28"/>
      <c r="R28" s="28"/>
      <c r="S28" s="27">
        <f>SUM(D28:R28)</f>
        <v>4</v>
      </c>
      <c r="T28" s="27"/>
      <c r="U28" s="27"/>
      <c r="V28" s="27"/>
      <c r="W28" s="8">
        <f>S28</f>
        <v>4</v>
      </c>
      <c r="X28" s="8">
        <v>4</v>
      </c>
      <c r="Y28" s="3">
        <f t="shared" si="10"/>
        <v>0</v>
      </c>
    </row>
    <row r="29" spans="1:25" x14ac:dyDescent="0.3">
      <c r="A29" s="5" t="s">
        <v>56</v>
      </c>
      <c r="B29" s="12" t="s">
        <v>57</v>
      </c>
      <c r="C29" s="14"/>
      <c r="D29" s="14"/>
      <c r="E29" s="14"/>
      <c r="F29" s="14"/>
      <c r="G29" s="14"/>
      <c r="H29" s="14"/>
      <c r="I29" s="14"/>
      <c r="J29" s="14"/>
      <c r="K29" s="14"/>
      <c r="L29" s="14"/>
      <c r="M29" s="14"/>
      <c r="N29" s="14"/>
      <c r="O29" s="14"/>
      <c r="P29" s="14"/>
      <c r="Q29" s="14"/>
      <c r="R29" s="14"/>
      <c r="S29" s="14"/>
      <c r="T29" s="14"/>
      <c r="U29" s="14"/>
      <c r="V29" s="14"/>
      <c r="X29" s="15"/>
    </row>
    <row r="30" spans="1:25" x14ac:dyDescent="0.3">
      <c r="A30" s="5"/>
      <c r="B30" s="5" t="s">
        <v>58</v>
      </c>
      <c r="C30" s="9" t="s">
        <v>59</v>
      </c>
      <c r="D30" s="17">
        <f>SUMIFS('FTE Detail'!$O$1:$O$99999,'FTE Detail'!$A$1:$A$99999,SFPR!$B$4,'FTE Detail'!$L$1:$L$99999,SFPR!D$5,'FTE Detail'!$P$1:$P$99999,1,'FTE Detail'!$V$1:$V$99999,"FULL")+SUMIFS('FTE Detail'!$O$1:$O$99999,'FTE Detail'!$A$1:$A$99999,$B$4,'FTE Detail'!$L$1:$L$99999,SFPR!D$5,'FTE Detail'!$P$1:$P$99999,2,'FTE Detail'!$V$1:$V$99999,"FULL")+SUMIFS('FTE Detail'!$O$1:$O$99999,'FTE Detail'!$A$1:$A$99999,$B$4,'FTE Detail'!$L$1:$L$99999,SFPR!D$5,'FTE Detail'!$P$1:$P$99999,3,'FTE Detail'!$V$1:$V$99999,"FULL")+SUMIFS('FTE Detail'!$O$1:$O$99999,'FTE Detail'!$A$1:$A$99999,SFPR!$B$4,'FTE Detail'!$L$1:$L$99999,SFPR!D$5,'FTE Detail'!$P$1:$P$99999,"KG",'FTE Detail'!$V$1:$V$99999,"FULL")</f>
        <v>679.4107140000001</v>
      </c>
      <c r="E30" s="17">
        <f>SUMIFS('FTE Detail'!$O$1:$O$99999,'FTE Detail'!$A$1:$A$99999,SFPR!$B$4,'FTE Detail'!$L$1:$L$99999,SFPR!E$5,'FTE Detail'!$P$1:$P$99999,K,'FTE Detail'!$V$1:$V$99999,"FULL")</f>
        <v>0</v>
      </c>
      <c r="F30" s="28"/>
      <c r="G30" s="28"/>
      <c r="H30" s="28"/>
      <c r="I30" s="17">
        <f>SUMIFS('FTE Detail'!$O$1:$O$99999,'FTE Detail'!$A$1:$A$99999,SFPR!$B$4,'FTE Detail'!$L$1:$L$99999,SFPR!I$5,'FTE Detail'!$P$1:$P$99999,K,'FTE Detail'!$V$1:$V$99999,"FULL")</f>
        <v>0</v>
      </c>
      <c r="J30" s="17">
        <f>SUMIFS('FTE Detail'!$O$1:$O$99999,'FTE Detail'!$M$1:$M$99999,SFPR!$B$4,'FTE Detail'!$L$1:$L$99999,SFPR!J$5,'FTE Detail'!$P$1:$P$99999,1,'FTE Detail'!$V$1:$V$99999,"FULL")+SUMIFS('FTE Detail'!$O$1:$O$99999,'FTE Detail'!$M$1:$M$99999,$B$4,'FTE Detail'!$L$1:$L$99999,SFPR!J$5,'FTE Detail'!$P$1:$P$99999,2,'FTE Detail'!$V$1:$V$99999,"FULL")+SUMIFS('FTE Detail'!$O$1:$O$99999,'FTE Detail'!$M$1:$M$99999,$B$4,'FTE Detail'!$L$1:$L$99999,SFPR!J$5,'FTE Detail'!$P$1:$P$99999,3,'FTE Detail'!$V$1:$V$99999,"FULL")+SUMIFS('FTE Detail'!$O$1:$O$99999,'FTE Detail'!$M$1:$M$99999,SFPR!$B$4,'FTE Detail'!$L$1:$L$99999,SFPR!J$5,'FTE Detail'!$P$1:$P$99999,"KG",'FTE Detail'!$V$1:$V$99999,"FULL")</f>
        <v>1.5268820000000001</v>
      </c>
      <c r="K30" s="17">
        <f>SUMIFS('FTE Detail'!$O$1:$O$99999,'FTE Detail'!$M$1:$M$99999,SFPR!$B$4,'FTE Detail'!$L$1:$L$99999,SFPR!K$5,'FTE Detail'!$P$1:$P$99999,1,'FTE Detail'!$V$1:$V$99999,"FULL")+SUMIFS('FTE Detail'!$O$1:$O$99999,'FTE Detail'!$M$1:$M$99999,$B$4,'FTE Detail'!$L$1:$L$99999,SFPR!K$5,'FTE Detail'!$P$1:$P$99999,2,'FTE Detail'!$V$1:$V$99999,"FULL")+SUMIFS('FTE Detail'!$O$1:$O$99999,'FTE Detail'!$M$1:$M$99999,$B$4,'FTE Detail'!$L$1:$L$99999,SFPR!K$5,'FTE Detail'!$P$1:$P$99999,3,'FTE Detail'!$V$1:$V$99999,"FULL")+SUMIFS('FTE Detail'!$O$1:$O$99999,'FTE Detail'!$M$1:$M$99999,SFPR!$B$4,'FTE Detail'!$L$1:$L$99999,SFPR!K$5,'FTE Detail'!$P$1:$P$99999,"KG",'FTE Detail'!$V$1:$V$99999,"FULL")</f>
        <v>0</v>
      </c>
      <c r="L30" s="17">
        <f>SUMIFS('FTE Detail'!$O$1:$O$99999,'FTE Detail'!$M$1:$M$99999,SFPR!$B$4,'FTE Detail'!$L$1:$L$99999,SFPR!L$5,'FTE Detail'!$P$1:$P$99999,1,'FTE Detail'!$V$1:$V$99999,"FULL")+SUMIFS('FTE Detail'!$O$1:$O$99999,'FTE Detail'!$M$1:$M$99999,$B$4,'FTE Detail'!$L$1:$L$99999,SFPR!L$5,'FTE Detail'!$P$1:$P$99999,2,'FTE Detail'!$V$1:$V$99999,"FULL")+SUMIFS('FTE Detail'!$O$1:$O$99999,'FTE Detail'!$M$1:$M$99999,$B$4,'FTE Detail'!$L$1:$L$99999,SFPR!L$5,'FTE Detail'!$P$1:$P$99999,3,'FTE Detail'!$V$1:$V$99999,"FULL")+SUMIFS('FTE Detail'!$O$1:$O$99999,'FTE Detail'!$M$1:$M$99999,SFPR!$B$4,'FTE Detail'!$L$1:$L$99999,SFPR!L$5,'FTE Detail'!$P$1:$P$99999,"KG",'FTE Detail'!$V$1:$V$99999,"FULL")</f>
        <v>0</v>
      </c>
      <c r="M30" s="17">
        <f>SUMIFS('FTE Detail'!$O$1:$O$99999,'FTE Detail'!$M$1:$M$99999,SFPR!$B$4,'FTE Detail'!$L$1:$L$99999,SFPR!M$5,'FTE Detail'!$P$1:$P$99999,1,'FTE Detail'!$V$1:$V$99999,"FULL")+SUMIFS('FTE Detail'!$O$1:$O$99999,'FTE Detail'!$M$1:$M$99999,$B$4,'FTE Detail'!$L$1:$L$99999,SFPR!M$5,'FTE Detail'!$P$1:$P$99999,2,'FTE Detail'!$V$1:$V$99999,"FULL")+SUMIFS('FTE Detail'!$O$1:$O$99999,'FTE Detail'!$M$1:$M$99999,$B$4,'FTE Detail'!$L$1:$L$99999,SFPR!M$5,'FTE Detail'!$P$1:$P$99999,3,'FTE Detail'!$V$1:$V$99999,"FULL")+SUMIFS('FTE Detail'!$O$1:$O$99999,'FTE Detail'!$M$1:$M$99999,SFPR!$B$4,'FTE Detail'!$L$1:$L$99999,SFPR!M$5,'FTE Detail'!$P$1:$P$99999,"KG",'FTE Detail'!$V$1:$V$99999,"FULL")</f>
        <v>34.288365999999996</v>
      </c>
      <c r="N30" s="28"/>
      <c r="O30" s="28"/>
      <c r="P30" s="28"/>
      <c r="Q30" s="28"/>
      <c r="R30" s="28"/>
      <c r="S30" s="25">
        <f>SUM(D30:R30)</f>
        <v>715.2259620000001</v>
      </c>
      <c r="T30" s="25"/>
      <c r="U30" s="25"/>
      <c r="V30" s="25"/>
      <c r="W30" s="8">
        <f>S30</f>
        <v>715.2259620000001</v>
      </c>
      <c r="X30" s="8">
        <v>727.66</v>
      </c>
      <c r="Y30" s="3">
        <f t="shared" si="10"/>
        <v>-12.434037999999873</v>
      </c>
    </row>
    <row r="31" spans="1:25" x14ac:dyDescent="0.3">
      <c r="A31" s="5"/>
      <c r="B31" s="5" t="s">
        <v>60</v>
      </c>
      <c r="C31" s="9" t="s">
        <v>61</v>
      </c>
      <c r="D31" s="28"/>
      <c r="E31" s="28"/>
      <c r="F31" s="28"/>
      <c r="G31" s="28"/>
      <c r="H31" s="28"/>
      <c r="I31" s="28"/>
      <c r="J31" s="17">
        <f>SUMIFS('FTE Detail'!$O$1:$O$99999,'FTE Detail'!$L$1:$L$99999,SFPR!J$5,'FTE Detail'!$M$1:$M$99999,SFPR!$B$4,'FTE Detail'!$P$1:$P$99999,1,'FTE Detail'!$V$1:$V$99999,"FULL",'FTE Detail'!$X$1:$X$99999,"E-School")+SUMIFS('FTE Detail'!$O$1:$O$99999,'FTE Detail'!$L$1:$L$99999,SFPR!J$5,'FTE Detail'!$M$1:$M$99999,SFPR!$B$4,'FTE Detail'!$P$1:$P$99999,2,'FTE Detail'!$V$1:$V$99999,"FULL",'FTE Detail'!$X$1:$X$99999,"E-School")+SUMIFS('FTE Detail'!$O$1:$O$99999,'FTE Detail'!$L$1:$L$99999,SFPR!J$5,'FTE Detail'!$M$1:$M$99999,SFPR!$B$4,'FTE Detail'!$P$1:$P$99999,3,'FTE Detail'!$V$1:$V$99999,"FULL",'FTE Detail'!$X$1:$X$99999,"E-School")+SUMIFS('FTE Detail'!$O$1:$O$99999,'FTE Detail'!$L$1:$L$99999,SFPR!J$5,'FTE Detail'!$M$1:$M$99999,SFPR!$B$4,'FTE Detail'!$P$1:$P$99999,"KG",'FTE Detail'!$V$1:$V$99999,"FULL",'FTE Detail'!$X$1:$X$99999,"E-School")</f>
        <v>1.5268820000000001</v>
      </c>
      <c r="K31" s="28"/>
      <c r="L31" s="28"/>
      <c r="M31" s="28"/>
      <c r="N31" s="28"/>
      <c r="O31" s="28"/>
      <c r="P31" s="28"/>
      <c r="Q31" s="28"/>
      <c r="R31" s="28"/>
      <c r="S31" s="25">
        <f>SUM(D31:R31)</f>
        <v>1.5268820000000001</v>
      </c>
      <c r="T31" s="25"/>
      <c r="U31" s="25"/>
      <c r="V31" s="25"/>
      <c r="W31" s="8">
        <f>S31</f>
        <v>1.5268820000000001</v>
      </c>
      <c r="X31" s="8">
        <v>1.53</v>
      </c>
      <c r="Y31" s="3">
        <f t="shared" si="10"/>
        <v>-3.1179999999999541E-3</v>
      </c>
    </row>
    <row r="32" spans="1:25" x14ac:dyDescent="0.3">
      <c r="A32" s="5"/>
      <c r="B32" s="5" t="s">
        <v>62</v>
      </c>
      <c r="C32" s="9" t="s">
        <v>63</v>
      </c>
      <c r="D32" s="8">
        <f>(D11-(D33*0.75)-D34-(D35-D36)-D37-D38)</f>
        <v>2666.0326879999998</v>
      </c>
      <c r="E32" s="8">
        <f t="shared" ref="E32:P32" si="11">(E11-(E33*0.75)-E34-(E35-E36)-E37-E38)</f>
        <v>0</v>
      </c>
      <c r="F32" s="8">
        <f t="shared" si="11"/>
        <v>0</v>
      </c>
      <c r="G32" s="8">
        <f t="shared" ref="G32:H32" si="12">(G11-(G33*0.75)-G34-(G35-G36)-G37-G38)</f>
        <v>0</v>
      </c>
      <c r="H32" s="8">
        <f t="shared" si="12"/>
        <v>0</v>
      </c>
      <c r="I32" s="8">
        <f t="shared" si="11"/>
        <v>0</v>
      </c>
      <c r="J32" s="8">
        <f t="shared" si="11"/>
        <v>0.24999999999999822</v>
      </c>
      <c r="K32" s="8">
        <f t="shared" si="11"/>
        <v>1</v>
      </c>
      <c r="L32" s="8">
        <f t="shared" ref="L32" si="13">(L11-(L33*0.75)-L34-(L35-L36)-L37-L38)</f>
        <v>1</v>
      </c>
      <c r="M32" s="8">
        <f t="shared" si="11"/>
        <v>121.15420399999998</v>
      </c>
      <c r="N32" s="8">
        <f t="shared" si="11"/>
        <v>1.039091</v>
      </c>
      <c r="O32" s="8">
        <f t="shared" si="11"/>
        <v>0</v>
      </c>
      <c r="P32" s="8">
        <f t="shared" si="11"/>
        <v>0.59363200000000005</v>
      </c>
      <c r="Q32" s="8"/>
      <c r="R32" s="8">
        <f>(R11-(R33*0.75)-R34-(R35-R36)-R37-R38)</f>
        <v>0</v>
      </c>
      <c r="S32" s="25">
        <f>SUM(D32:R32)</f>
        <v>2791.0696149999999</v>
      </c>
      <c r="T32" s="25"/>
      <c r="U32" s="25"/>
      <c r="V32" s="25"/>
      <c r="W32" s="8">
        <f>S32</f>
        <v>2791.0696149999999</v>
      </c>
      <c r="X32" s="45">
        <f>(X11-(X33*0.75)-X34-(X35-X36)-X37-X38)</f>
        <v>2791.2019999999998</v>
      </c>
      <c r="Y32" s="3">
        <f t="shared" si="10"/>
        <v>-0.13238499999988562</v>
      </c>
    </row>
    <row r="33" spans="1:32" x14ac:dyDescent="0.3">
      <c r="A33" s="5"/>
      <c r="B33" s="5" t="s">
        <v>64</v>
      </c>
      <c r="C33" s="9" t="s">
        <v>65</v>
      </c>
      <c r="D33" s="9"/>
      <c r="E33" s="9"/>
      <c r="F33" s="9"/>
      <c r="G33" s="9"/>
      <c r="H33" s="9"/>
      <c r="I33" s="9"/>
      <c r="J33" s="31">
        <f>SUMIFS('FTE Detail'!$O$1:$O$99999,'FTE Detail'!$L$1:$L$99999,SFPR!J5,'FTE Detail'!$X$1:$X$99999,"B&amp;M Comm")</f>
        <v>1</v>
      </c>
      <c r="K33" s="31">
        <f>SUMIFS('FTE Detail'!$O$1:$O$99999,'FTE Detail'!$L$1:$L$99999,SFPR!K5)</f>
        <v>4</v>
      </c>
      <c r="L33" s="9"/>
      <c r="M33" s="9"/>
      <c r="N33" s="9"/>
      <c r="O33" s="9"/>
      <c r="P33" s="9"/>
      <c r="Q33" s="9"/>
      <c r="R33" s="9"/>
      <c r="S33" s="25">
        <f>SUM(D33:R33)</f>
        <v>5</v>
      </c>
      <c r="T33" s="25"/>
      <c r="U33" s="25"/>
      <c r="V33" s="25"/>
      <c r="W33" s="8">
        <f>S33</f>
        <v>5</v>
      </c>
      <c r="X33" s="8">
        <v>5</v>
      </c>
      <c r="Y33" s="3">
        <f t="shared" si="10"/>
        <v>0</v>
      </c>
    </row>
    <row r="34" spans="1:32" x14ac:dyDescent="0.3">
      <c r="A34" s="5"/>
      <c r="B34" s="5" t="s">
        <v>66</v>
      </c>
      <c r="C34" s="9" t="s">
        <v>67</v>
      </c>
      <c r="D34" s="9"/>
      <c r="E34" s="9"/>
      <c r="F34" s="9"/>
      <c r="G34" s="9"/>
      <c r="H34" s="9"/>
      <c r="I34" s="9"/>
      <c r="J34" s="31">
        <f>SUMIFS('FTE Detail'!$O$1:$O$99999,'FTE Detail'!$L$1:$L$99999,SFPR!J5,'FTE Detail'!$X$1:$X$99999,"E-School")</f>
        <v>14.629173000000002</v>
      </c>
      <c r="K34" s="9"/>
      <c r="L34" s="9"/>
      <c r="M34" s="9"/>
      <c r="N34" s="9"/>
      <c r="O34" s="9"/>
      <c r="P34" s="9"/>
      <c r="Q34" s="9"/>
      <c r="R34" s="9"/>
      <c r="S34" s="25">
        <f>SUM(D34:R34)</f>
        <v>14.629173000000002</v>
      </c>
      <c r="T34" s="25"/>
      <c r="U34" s="25"/>
      <c r="V34" s="25"/>
      <c r="W34" s="8">
        <f>S34</f>
        <v>14.629173000000002</v>
      </c>
      <c r="X34" s="8">
        <v>14.27</v>
      </c>
      <c r="Y34" s="3">
        <f t="shared" si="10"/>
        <v>0.35917300000000196</v>
      </c>
    </row>
    <row r="35" spans="1:32" x14ac:dyDescent="0.3">
      <c r="A35" s="5"/>
      <c r="B35" s="5" t="s">
        <v>68</v>
      </c>
      <c r="C35" s="9" t="s">
        <v>69</v>
      </c>
      <c r="D35" s="9"/>
      <c r="E35" s="9"/>
      <c r="F35" s="9"/>
      <c r="G35" s="9"/>
      <c r="H35" s="9"/>
      <c r="I35" s="9"/>
      <c r="J35" s="9"/>
      <c r="K35" s="9"/>
      <c r="L35" s="9"/>
      <c r="M35" s="9"/>
      <c r="N35" s="9"/>
      <c r="O35" s="9"/>
      <c r="P35" s="9"/>
      <c r="Q35" s="9"/>
      <c r="R35" s="9"/>
      <c r="S35" s="9"/>
      <c r="T35" s="9"/>
      <c r="U35" s="9"/>
      <c r="V35" s="9"/>
      <c r="X35" s="8">
        <v>14.41</v>
      </c>
      <c r="Y35" s="3">
        <f t="shared" si="10"/>
        <v>-14.41</v>
      </c>
      <c r="Z35" t="s">
        <v>128</v>
      </c>
    </row>
    <row r="36" spans="1:32" x14ac:dyDescent="0.3">
      <c r="A36" s="5"/>
      <c r="B36" s="5" t="s">
        <v>70</v>
      </c>
      <c r="C36" s="9" t="s">
        <v>71</v>
      </c>
      <c r="D36" s="9"/>
      <c r="E36" s="9"/>
      <c r="F36" s="9"/>
      <c r="G36" s="9"/>
      <c r="H36" s="9"/>
      <c r="I36" s="9"/>
      <c r="J36" s="9"/>
      <c r="K36" s="9"/>
      <c r="L36" s="9"/>
      <c r="M36" s="9"/>
      <c r="N36" s="9"/>
      <c r="O36" s="9"/>
      <c r="P36" s="9"/>
      <c r="Q36" s="9"/>
      <c r="R36" s="9"/>
      <c r="S36" s="9"/>
      <c r="T36" s="9"/>
      <c r="U36" s="9"/>
      <c r="V36" s="9"/>
      <c r="X36" s="8">
        <v>1.61</v>
      </c>
      <c r="Y36" s="3">
        <f t="shared" si="10"/>
        <v>-1.61</v>
      </c>
      <c r="Z36" t="s">
        <v>128</v>
      </c>
    </row>
    <row r="37" spans="1:32" x14ac:dyDescent="0.3">
      <c r="A37" s="5"/>
      <c r="B37" s="5" t="s">
        <v>72</v>
      </c>
      <c r="C37" s="9" t="s">
        <v>73</v>
      </c>
      <c r="D37" s="9"/>
      <c r="E37" s="9"/>
      <c r="F37" s="9"/>
      <c r="G37" s="9"/>
      <c r="H37" s="9"/>
      <c r="I37" s="9"/>
      <c r="J37" s="9"/>
      <c r="K37" s="9"/>
      <c r="L37" s="9"/>
      <c r="M37" s="9"/>
      <c r="N37" s="9"/>
      <c r="O37" s="9"/>
      <c r="P37" s="9"/>
      <c r="Q37" s="9"/>
      <c r="R37" s="9"/>
      <c r="S37" s="9"/>
      <c r="T37" s="9"/>
      <c r="U37" s="9"/>
      <c r="V37" s="9"/>
      <c r="X37" s="8">
        <v>10</v>
      </c>
      <c r="Y37" s="3">
        <f t="shared" si="10"/>
        <v>-10</v>
      </c>
      <c r="Z37" t="s">
        <v>128</v>
      </c>
    </row>
    <row r="38" spans="1:32" x14ac:dyDescent="0.3">
      <c r="A38" s="5"/>
      <c r="B38" s="5" t="s">
        <v>74</v>
      </c>
      <c r="C38" s="9" t="s">
        <v>75</v>
      </c>
      <c r="D38" s="9"/>
      <c r="E38" s="9"/>
      <c r="F38" s="9"/>
      <c r="G38" s="9"/>
      <c r="H38" s="9"/>
      <c r="I38" s="9"/>
      <c r="J38" s="9"/>
      <c r="K38" s="9"/>
      <c r="L38" s="9"/>
      <c r="M38" s="9"/>
      <c r="N38" s="9"/>
      <c r="O38" s="9"/>
      <c r="P38" s="9"/>
      <c r="Q38" s="9"/>
      <c r="R38" s="9"/>
      <c r="S38" s="9"/>
      <c r="T38" s="9"/>
      <c r="U38" s="9"/>
      <c r="V38" s="9"/>
      <c r="X38" s="8">
        <v>0</v>
      </c>
      <c r="Y38" s="3">
        <f t="shared" si="10"/>
        <v>0</v>
      </c>
      <c r="Z38" t="s">
        <v>128</v>
      </c>
    </row>
    <row r="39" spans="1:32" x14ac:dyDescent="0.3">
      <c r="A39" s="5"/>
      <c r="B39" s="5" t="s">
        <v>76</v>
      </c>
      <c r="C39" s="9" t="s">
        <v>77</v>
      </c>
      <c r="D39" s="24">
        <f>SUMIFS('FTE Detail'!$O$1:$O$99999,'FTE Detail'!$A$1:$A$99999,SFPR!$B$4,'FTE Detail'!$L$1:$L$99999,SFPR!D$5,'FTE Detail'!$S$1:$S$99999,"Y")</f>
        <v>270.13618699999984</v>
      </c>
      <c r="E39" s="24">
        <f>SUMIFS('FTE Detail'!$O$1:$O$99999,'FTE Detail'!$A$1:$A$99999,SFPR!$B$4,'FTE Detail'!$L$1:$L$99999,SFPR!E$5,'FTE Detail'!$S$1:$S$99999,"Y")</f>
        <v>0</v>
      </c>
      <c r="F39" s="24">
        <f>SUMIFS('FTE Detail'!$O$1:$O$99999,'FTE Detail'!$H$1:$H$99999,SFPR!$B$4,'FTE Detail'!$L$1:$L$99999,SFPR!F$5,'FTE Detail'!$S$1:$S$99999,"Y")</f>
        <v>0</v>
      </c>
      <c r="G39" s="24">
        <f>SUMIFS('FTE Detail'!$O$1:$O$99999,'FTE Detail'!$H$1:$H$99999,SFPR!$B$4,'FTE Detail'!$L$1:$L$99999,SFPR!G$5,'FTE Detail'!$S$1:$S$99999,"Y")</f>
        <v>0</v>
      </c>
      <c r="H39" s="24">
        <f>SUMIFS('FTE Detail'!$O$1:$O$99999,'FTE Detail'!$H$1:$H$99999,SFPR!$B$4,'FTE Detail'!$L$1:$L$99999,SFPR!H$5,'FTE Detail'!$S$1:$S$99999,"Y")</f>
        <v>0</v>
      </c>
      <c r="I39" s="24">
        <f>SUMIFS('FTE Detail'!$O$1:$O$99999,'FTE Detail'!$M$1:$M$99999,SFPR!$B$4,'FTE Detail'!$L$1:$L$99999,SFPR!I$5,'FTE Detail'!$S$1:$S$99999,"Y")</f>
        <v>0</v>
      </c>
      <c r="J39" s="24">
        <f>SUMIFS('FTE Detail'!$O$1:$O$99999,'FTE Detail'!$M$1:$M$99999,SFPR!$B$4,'FTE Detail'!$L$1:$L$99999,SFPR!J$5,'FTE Detail'!$S$1:$S$99999,"Y")</f>
        <v>4.9772999999999996</v>
      </c>
      <c r="K39" s="24">
        <f>SUMIFS('FTE Detail'!$O$1:$O$99999,'FTE Detail'!$M$1:$M$99999,SFPR!$B$4,'FTE Detail'!$L$1:$L$99999,SFPR!K$5,'FTE Detail'!$S$1:$S$99999,"Y")</f>
        <v>0</v>
      </c>
      <c r="L39" s="24">
        <f>SUMIFS('FTE Detail'!$O$1:$O$99999,'FTE Detail'!$M$1:$M$99999,SFPR!$B$4,'FTE Detail'!$L$1:$L$99999,SFPR!L$5,'FTE Detail'!$S$1:$S$99999,"Y",'FTE Detail'!$V$1:$V$99999,"FULL")</f>
        <v>0</v>
      </c>
      <c r="M39" s="24">
        <f>SUMIFS('FTE Detail'!$O$1:$O$99999,'FTE Detail'!$M$1:$M$99999,SFPR!$B$4,'FTE Detail'!$L$1:$L$99999,SFPR!M$5,'FTE Detail'!$S$1:$S$99999,"Y")</f>
        <v>29.288366</v>
      </c>
      <c r="N39" s="24">
        <f>SUMIFS('FTE Detail'!$O$1:$O$99999,'FTE Detail'!$M$1:$M$99999,SFPR!$B$4,'FTE Detail'!$L$1:$L$99999,SFPR!N$5,'FTE Detail'!$S$1:$S$99999,"Y")</f>
        <v>1.0823530000000001</v>
      </c>
      <c r="O39" s="24">
        <f>SUMIFS('FTE Detail'!$O$1:$O$99999,'FTE Detail'!$M$1:$M$99999,SFPR!$B$4,'FTE Detail'!$L$1:$L$99999,SFPR!O$5,'FTE Detail'!$S$1:$S$99999,"Y")</f>
        <v>0</v>
      </c>
      <c r="P39" s="24">
        <f>SUMIFS('FTE Detail'!$O$1:$O$99999,'FTE Detail'!$M$1:$M$99999,SFPR!$B$4,'FTE Detail'!$L$1:$L$99999,SFPR!P$5,'FTE Detail'!$S$1:$S$99999,"Y")</f>
        <v>0</v>
      </c>
      <c r="Q39" s="24"/>
      <c r="R39" s="24">
        <f>SUMIFS('FTE Detail'!$O$1:$O$99999,'FTE Detail'!$M$1:$M$99999,SFPR!$B$4,'FTE Detail'!$L$1:$L$99999,SFPR!R$5,'FTE Detail'!$S$1:$S$99999,"Y")</f>
        <v>0</v>
      </c>
      <c r="S39" s="25">
        <f>SUM(D39:R39)</f>
        <v>305.48420599999986</v>
      </c>
      <c r="T39" s="25"/>
      <c r="U39" s="25"/>
      <c r="V39" s="25"/>
      <c r="W39" s="8">
        <f>S39</f>
        <v>305.48420599999986</v>
      </c>
      <c r="X39" s="10">
        <v>305.06</v>
      </c>
      <c r="Y39" s="3">
        <f>W39-X39</f>
        <v>0.42420599999985598</v>
      </c>
    </row>
    <row r="40" spans="1:32" x14ac:dyDescent="0.3">
      <c r="A40" s="5"/>
      <c r="B40" s="5" t="s">
        <v>78</v>
      </c>
      <c r="C40" s="9" t="s">
        <v>767</v>
      </c>
      <c r="D40" s="9"/>
      <c r="E40" s="9"/>
      <c r="F40" s="9"/>
      <c r="G40" s="9"/>
      <c r="H40" s="9"/>
      <c r="I40" s="9"/>
      <c r="J40" s="9"/>
      <c r="K40" s="9"/>
      <c r="L40" s="9"/>
      <c r="M40" s="9"/>
      <c r="N40" s="9"/>
      <c r="O40" s="9"/>
      <c r="P40" s="9"/>
      <c r="Q40" s="9"/>
      <c r="R40" s="9"/>
      <c r="S40" s="32">
        <f>S39/S6</f>
        <v>0.10784837520292673</v>
      </c>
      <c r="T40" s="32"/>
      <c r="U40" s="32"/>
      <c r="V40" s="32"/>
      <c r="W40" s="42">
        <f>S40</f>
        <v>0.10784837520292673</v>
      </c>
      <c r="X40" s="43">
        <f>X39/X7</f>
        <v>0.10684702165590818</v>
      </c>
      <c r="Y40" s="44">
        <f>X40-W40</f>
        <v>-1.0013535470185519E-3</v>
      </c>
    </row>
    <row r="41" spans="1:32" x14ac:dyDescent="0.3">
      <c r="A41" s="5"/>
      <c r="B41" s="5" t="s">
        <v>79</v>
      </c>
      <c r="C41" s="11" t="s">
        <v>80</v>
      </c>
      <c r="D41" s="11"/>
      <c r="E41" s="11"/>
      <c r="F41" s="11"/>
      <c r="G41" s="11"/>
      <c r="H41" s="11"/>
      <c r="I41" s="11"/>
      <c r="J41" s="24">
        <f>SUMIFS('FTE Detail'!$O$1:$O$99999,'FTE Detail'!$M$1:$M$99999,SFPR!$B$4,'FTE Detail'!$L$1:$L$99999,SFPR!J$5,'FTE Detail'!$S$1:$S$99999,"Y",'FTE Detail'!$X$1:$X$99999,"E-School")</f>
        <v>3.9772999999999996</v>
      </c>
      <c r="K41" s="11"/>
      <c r="L41" s="11"/>
      <c r="M41" s="11"/>
      <c r="N41" s="11"/>
      <c r="O41" s="11"/>
      <c r="P41" s="11"/>
      <c r="Q41" s="11"/>
      <c r="R41" s="11"/>
      <c r="S41" s="25">
        <f>SUM(D41:R41)</f>
        <v>3.9772999999999996</v>
      </c>
      <c r="T41" s="25"/>
      <c r="U41" s="25"/>
      <c r="V41" s="25"/>
      <c r="W41" s="8">
        <f>S41</f>
        <v>3.9772999999999996</v>
      </c>
      <c r="X41" s="10">
        <v>3.61</v>
      </c>
      <c r="Y41" s="3">
        <f>W41-X41</f>
        <v>0.36729999999999974</v>
      </c>
    </row>
    <row r="42" spans="1:32" x14ac:dyDescent="0.3">
      <c r="S42" s="48" t="s">
        <v>81</v>
      </c>
      <c r="AA42" s="40"/>
      <c r="AB42" s="40"/>
      <c r="AC42" s="40"/>
      <c r="AD42" s="40"/>
      <c r="AE42" s="40"/>
      <c r="AF42" s="40"/>
    </row>
    <row r="43" spans="1:32" ht="18" x14ac:dyDescent="0.35">
      <c r="C43" s="21" t="s">
        <v>85</v>
      </c>
      <c r="D43" s="54" t="s">
        <v>140</v>
      </c>
      <c r="E43" s="54" t="s">
        <v>141</v>
      </c>
      <c r="F43" s="54"/>
      <c r="G43" s="54" t="s">
        <v>142</v>
      </c>
      <c r="H43" s="54" t="s">
        <v>768</v>
      </c>
      <c r="J43" s="21"/>
      <c r="K43" s="21"/>
      <c r="L43" s="21"/>
      <c r="M43" s="21"/>
      <c r="N43" s="21"/>
      <c r="O43" s="21"/>
      <c r="P43" s="21"/>
      <c r="Q43" s="21"/>
      <c r="R43" s="21"/>
      <c r="S43" s="35" t="s">
        <v>103</v>
      </c>
      <c r="T43" s="21"/>
      <c r="U43" s="21"/>
      <c r="V43" s="21"/>
      <c r="W43" s="4" t="s">
        <v>81</v>
      </c>
      <c r="X43" s="4" t="str">
        <f>X4</f>
        <v>June #2</v>
      </c>
      <c r="Y43" t="s">
        <v>7</v>
      </c>
      <c r="AA43" s="40"/>
      <c r="AB43" s="40"/>
      <c r="AC43" s="40"/>
      <c r="AD43" s="40"/>
      <c r="AE43" s="40"/>
      <c r="AF43" s="40"/>
    </row>
    <row r="44" spans="1:32" x14ac:dyDescent="0.3">
      <c r="B44">
        <v>1</v>
      </c>
      <c r="C44" s="9" t="s">
        <v>86</v>
      </c>
      <c r="D44" s="8">
        <f>SUMIFS('FTE Detail'!$O$1:$O$99999,'FTE Detail'!$L$1:$L$99999,D$43,'FTE Detail'!$A$1:$A$99999,SFPR!$B$4,'FTE Detail'!$V$1:$V$99999,"FULL",'FTE Detail'!$R$1:$R$99999,1)</f>
        <v>0</v>
      </c>
      <c r="E44" s="8">
        <f>SUMIFS('FTE Detail'!$O$1:$O$99999,'FTE Detail'!$L$1:$L$99999,E$43,'FTE Detail'!$A$1:$A$99999,SFPR!$B$4,'FTE Detail'!$V$1:$V$99999,"FULL",'FTE Detail'!$R$1:$R$99999,1)</f>
        <v>0</v>
      </c>
      <c r="F44" s="8"/>
      <c r="G44" s="8">
        <f>SUMIFS('FTE Detail'!$O$1:$O$99999,'FTE Detail'!$L$1:$L$99999,G$43,'FTE Detail'!$A$1:$A$99999,SFPR!$B$4,'FTE Detail'!$V$1:$V$99999,"FULL",'FTE Detail'!$R$1:$R$99999,1)</f>
        <v>13.457489000000002</v>
      </c>
      <c r="H44" s="8">
        <f>SUMIFS('FTE Detail'!$O$1:$O$99999,'FTE Detail'!$L$1:$L$99999,H$43,'FTE Detail'!$A$1:$A$99999,SFPR!$B$4,'FTE Detail'!$V$1:$V$99999,"FULL",'FTE Detail'!$R$1:$R$99999,1)</f>
        <v>0</v>
      </c>
      <c r="J44" s="9"/>
      <c r="K44" s="9"/>
      <c r="L44" s="9"/>
      <c r="M44" s="9"/>
      <c r="N44" s="9"/>
      <c r="O44" s="9"/>
      <c r="P44" s="9"/>
      <c r="Q44" s="9"/>
      <c r="R44" s="9"/>
      <c r="S44" s="27">
        <f t="shared" ref="S44:S49" si="14">SUM(D44:R44)</f>
        <v>13.457489000000002</v>
      </c>
      <c r="T44" s="9"/>
      <c r="U44" s="9"/>
      <c r="V44" s="9"/>
      <c r="W44" s="17">
        <f>S44</f>
        <v>13.457489000000002</v>
      </c>
      <c r="X44">
        <v>13.46</v>
      </c>
      <c r="Y44" s="3">
        <f>W44-X44</f>
        <v>-2.5109999999983756E-3</v>
      </c>
    </row>
    <row r="45" spans="1:32" x14ac:dyDescent="0.3">
      <c r="B45">
        <v>2</v>
      </c>
      <c r="C45" s="9" t="s">
        <v>87</v>
      </c>
      <c r="D45" s="8">
        <f>SUMIFS('FTE Detail'!$O$1:$O$99999,'FTE Detail'!$L$1:$L$99999,D$43,'FTE Detail'!$A$1:$A$99999,SFPR!$B$4,'FTE Detail'!$V$1:$V$99999,"FULL",'FTE Detail'!$R$1:$R$99999,2)</f>
        <v>0</v>
      </c>
      <c r="E45" s="8">
        <f>SUMIFS('FTE Detail'!$O$1:$O$99999,'FTE Detail'!$L$1:$L$99999,E$43,'FTE Detail'!$A$1:$A$99999,SFPR!$B$4,'FTE Detail'!$V$1:$V$99999,"FULL",'FTE Detail'!$R$1:$R$99999,2)</f>
        <v>0</v>
      </c>
      <c r="F45" s="8"/>
      <c r="G45" s="8">
        <f>SUMIFS('FTE Detail'!$O$1:$O$99999,'FTE Detail'!$L$1:$L$99999,G$43,'FTE Detail'!$A$1:$A$99999,SFPR!$B$4,'FTE Detail'!$V$1:$V$99999,"FULL",'FTE Detail'!$R$1:$R$99999,2)</f>
        <v>6.7004060000000001</v>
      </c>
      <c r="H45" s="8">
        <f>SUMIFS('FTE Detail'!$O$1:$O$99999,'FTE Detail'!$L$1:$L$99999,H$43,'FTE Detail'!$A$1:$A$99999,SFPR!$B$4,'FTE Detail'!$V$1:$V$99999,"FULL",'FTE Detail'!$R$1:$R$99999,2)</f>
        <v>0</v>
      </c>
      <c r="J45" s="9"/>
      <c r="K45" s="9"/>
      <c r="L45" s="9"/>
      <c r="M45" s="9"/>
      <c r="N45" s="9"/>
      <c r="O45" s="9"/>
      <c r="P45" s="9"/>
      <c r="Q45" s="9"/>
      <c r="R45" s="9"/>
      <c r="S45" s="27">
        <f t="shared" si="14"/>
        <v>6.7004060000000001</v>
      </c>
      <c r="T45" s="9"/>
      <c r="U45" s="9"/>
      <c r="V45" s="9"/>
      <c r="W45" s="17">
        <f t="shared" ref="W45:W49" si="15">S45</f>
        <v>6.7004060000000001</v>
      </c>
      <c r="X45">
        <v>6.46</v>
      </c>
      <c r="Y45" s="3">
        <f t="shared" ref="Y45:Y50" si="16">W45-X45</f>
        <v>0.24040600000000012</v>
      </c>
    </row>
    <row r="46" spans="1:32" x14ac:dyDescent="0.3">
      <c r="B46">
        <v>3</v>
      </c>
      <c r="C46" s="9" t="s">
        <v>88</v>
      </c>
      <c r="D46" s="8">
        <f>SUMIFS('FTE Detail'!$O$1:$O$99999,'FTE Detail'!$L$1:$L$99999,D$43,'FTE Detail'!$A$1:$A$99999,SFPR!$B$4,'FTE Detail'!$V$1:$V$99999,"FULL",'FTE Detail'!$R$1:$R$99999,3)</f>
        <v>0</v>
      </c>
      <c r="E46" s="8">
        <f>SUMIFS('FTE Detail'!$O$1:$O$99999,'FTE Detail'!$L$1:$L$99999,E$43,'FTE Detail'!$A$1:$A$99999,SFPR!$B$4,'FTE Detail'!$V$1:$V$99999,"FULL",'FTE Detail'!$R$1:$R$99999,3)</f>
        <v>0</v>
      </c>
      <c r="F46" s="8"/>
      <c r="G46" s="8">
        <f>SUMIFS('FTE Detail'!$O$1:$O$99999,'FTE Detail'!$L$1:$L$99999,G$43,'FTE Detail'!$A$1:$A$99999,SFPR!$B$4,'FTE Detail'!$V$1:$V$99999,"FULL",'FTE Detail'!$R$1:$R$99999,3)</f>
        <v>1</v>
      </c>
      <c r="H46" s="8">
        <f>SUMIFS('FTE Detail'!$O$1:$O$99999,'FTE Detail'!$L$1:$L$99999,H$43,'FTE Detail'!$A$1:$A$99999,SFPR!$B$4,'FTE Detail'!$V$1:$V$99999,"FULL",'FTE Detail'!$R$1:$R$99999,3)</f>
        <v>0</v>
      </c>
      <c r="J46" s="9"/>
      <c r="K46" s="9"/>
      <c r="L46" s="9"/>
      <c r="M46" s="9"/>
      <c r="N46" s="9"/>
      <c r="O46" s="9"/>
      <c r="P46" s="9"/>
      <c r="Q46" s="9"/>
      <c r="R46" s="9"/>
      <c r="S46" s="27">
        <f t="shared" si="14"/>
        <v>1</v>
      </c>
      <c r="T46" s="9"/>
      <c r="U46" s="9"/>
      <c r="V46" s="9"/>
      <c r="W46" s="17">
        <f t="shared" si="15"/>
        <v>1</v>
      </c>
      <c r="X46">
        <v>1</v>
      </c>
      <c r="Y46" s="3">
        <f t="shared" si="16"/>
        <v>0</v>
      </c>
    </row>
    <row r="47" spans="1:32" x14ac:dyDescent="0.3">
      <c r="B47">
        <v>4</v>
      </c>
      <c r="C47" s="9" t="s">
        <v>89</v>
      </c>
      <c r="D47" s="8">
        <f>SUMIFS('FTE Detail'!$O$1:$O$99999,'FTE Detail'!$L$1:$L$99999,D$43,'FTE Detail'!$A$1:$A$99999,SFPR!$B$4,'FTE Detail'!$V$1:$V$99999,"FULL",'FTE Detail'!$R$1:$R$99999,4)</f>
        <v>0</v>
      </c>
      <c r="E47" s="8">
        <f>SUMIFS('FTE Detail'!$O$1:$O$99999,'FTE Detail'!$L$1:$L$99999,E$43,'FTE Detail'!$A$1:$A$99999,SFPR!$B$4,'FTE Detail'!$V$1:$V$99999,"FULL",'FTE Detail'!$R$1:$R$99999,4)</f>
        <v>0</v>
      </c>
      <c r="F47" s="8"/>
      <c r="G47" s="8">
        <f>SUMIFS('FTE Detail'!$O$1:$O$99999,'FTE Detail'!$L$1:$L$99999,G$43,'FTE Detail'!$A$1:$A$99999,SFPR!$B$4,'FTE Detail'!$V$1:$V$99999,"FULL",'FTE Detail'!$R$1:$R$99999,4)</f>
        <v>0.69230800000000003</v>
      </c>
      <c r="H47" s="8">
        <f>SUMIFS('FTE Detail'!$O$1:$O$99999,'FTE Detail'!$L$1:$L$99999,H$43,'FTE Detail'!$A$1:$A$99999,SFPR!$B$4,'FTE Detail'!$V$1:$V$99999,"FULL",'FTE Detail'!$R$1:$R$99999,4)</f>
        <v>0</v>
      </c>
      <c r="J47" s="9"/>
      <c r="K47" s="9"/>
      <c r="L47" s="9"/>
      <c r="M47" s="9"/>
      <c r="N47" s="9"/>
      <c r="O47" s="9"/>
      <c r="P47" s="9"/>
      <c r="Q47" s="9"/>
      <c r="R47" s="9"/>
      <c r="S47" s="27">
        <f t="shared" si="14"/>
        <v>0.69230800000000003</v>
      </c>
      <c r="T47" s="9"/>
      <c r="U47" s="9"/>
      <c r="V47" s="9"/>
      <c r="W47" s="17">
        <f t="shared" si="15"/>
        <v>0.69230800000000003</v>
      </c>
      <c r="X47">
        <v>0.69</v>
      </c>
      <c r="Y47" s="3">
        <f t="shared" si="16"/>
        <v>2.3080000000000878E-3</v>
      </c>
    </row>
    <row r="48" spans="1:32" x14ac:dyDescent="0.3">
      <c r="B48">
        <v>5</v>
      </c>
      <c r="C48" s="9" t="s">
        <v>90</v>
      </c>
      <c r="D48" s="8">
        <f>SUMIFS('FTE Detail'!$O$1:$O$99999,'FTE Detail'!$L$1:$L$99999,D$43,'FTE Detail'!$A$1:$A$99999,SFPR!$B$4,'FTE Detail'!$V$1:$V$99999,"FULL",'FTE Detail'!$R$1:$R$99999,5)</f>
        <v>0</v>
      </c>
      <c r="E48" s="8">
        <f>SUMIFS('FTE Detail'!$O$1:$O$99999,'FTE Detail'!$L$1:$L$99999,E$43,'FTE Detail'!$A$1:$A$99999,SFPR!$B$4,'FTE Detail'!$V$1:$V$99999,"FULL",'FTE Detail'!$R$1:$R$99999,5)</f>
        <v>0</v>
      </c>
      <c r="F48" s="8"/>
      <c r="G48" s="8">
        <f>SUMIFS('FTE Detail'!$O$1:$O$99999,'FTE Detail'!$L$1:$L$99999,G$43,'FTE Detail'!$A$1:$A$99999,SFPR!$B$4,'FTE Detail'!$V$1:$V$99999,"FULL",'FTE Detail'!$R$1:$R$99999,5)</f>
        <v>0</v>
      </c>
      <c r="H48" s="8">
        <f>SUMIFS('FTE Detail'!$O$1:$O$99999,'FTE Detail'!$L$1:$L$99999,H$43,'FTE Detail'!$A$1:$A$99999,SFPR!$B$4,'FTE Detail'!$V$1:$V$99999,"FULL",'FTE Detail'!$R$1:$R$99999,5)</f>
        <v>0</v>
      </c>
      <c r="J48" s="9"/>
      <c r="K48" s="9"/>
      <c r="L48" s="9"/>
      <c r="M48" s="9"/>
      <c r="N48" s="9"/>
      <c r="O48" s="9"/>
      <c r="P48" s="9"/>
      <c r="Q48" s="9"/>
      <c r="R48" s="9"/>
      <c r="S48" s="27">
        <f t="shared" si="14"/>
        <v>0</v>
      </c>
      <c r="T48" s="9"/>
      <c r="U48" s="9"/>
      <c r="V48" s="9"/>
      <c r="W48" s="17">
        <f t="shared" si="15"/>
        <v>0</v>
      </c>
      <c r="X48">
        <v>0</v>
      </c>
      <c r="Y48" s="3">
        <f t="shared" si="16"/>
        <v>0</v>
      </c>
    </row>
    <row r="49" spans="2:32" x14ac:dyDescent="0.3">
      <c r="B49">
        <v>6</v>
      </c>
      <c r="C49" s="9" t="s">
        <v>91</v>
      </c>
      <c r="D49" s="8">
        <f>SUMIFS('FTE Detail'!$O$1:$O$99999,'FTE Detail'!$L$1:$L$99999,D$43,'FTE Detail'!$A$1:$A$99999,SFPR!$B$4,'FTE Detail'!$V$1:$V$99999,"FULL",'FTE Detail'!$R$1:$R$99999,6)</f>
        <v>0</v>
      </c>
      <c r="E49" s="8">
        <f>SUMIFS('FTE Detail'!$O$1:$O$99999,'FTE Detail'!$L$1:$L$99999,E$43,'FTE Detail'!$A$1:$A$99999,SFPR!$B$4,'FTE Detail'!$V$1:$V$99999,"FULL",'FTE Detail'!$R$1:$R$99999,6)</f>
        <v>0</v>
      </c>
      <c r="F49" s="8"/>
      <c r="G49" s="8">
        <f>SUMIFS('FTE Detail'!$O$1:$O$99999,'FTE Detail'!$L$1:$L$99999,G$43,'FTE Detail'!$A$1:$A$99999,SFPR!$B$4,'FTE Detail'!$V$1:$V$99999,"FULL",'FTE Detail'!$R$1:$R$99999,6)</f>
        <v>2.8974359999999999</v>
      </c>
      <c r="H49" s="8">
        <f>SUMIFS('FTE Detail'!$O$1:$O$99999,'FTE Detail'!$L$1:$L$99999,H$43,'FTE Detail'!$A$1:$A$99999,SFPR!$B$4,'FTE Detail'!$V$1:$V$99999,"FULL",'FTE Detail'!$R$1:$R$99999,6)</f>
        <v>0</v>
      </c>
      <c r="J49" s="9"/>
      <c r="K49" s="9"/>
      <c r="L49" s="9"/>
      <c r="M49" s="9"/>
      <c r="N49" s="9"/>
      <c r="O49" s="9"/>
      <c r="P49" s="9"/>
      <c r="Q49" s="9"/>
      <c r="R49" s="9"/>
      <c r="S49" s="27">
        <f t="shared" si="14"/>
        <v>2.8974359999999999</v>
      </c>
      <c r="T49" s="9"/>
      <c r="U49" s="9"/>
      <c r="V49" s="9"/>
      <c r="W49" s="17">
        <f t="shared" si="15"/>
        <v>2.8974359999999999</v>
      </c>
      <c r="X49">
        <v>2.9</v>
      </c>
      <c r="Y49" s="3">
        <f t="shared" si="16"/>
        <v>-2.5640000000000107E-3</v>
      </c>
    </row>
    <row r="50" spans="2:32" x14ac:dyDescent="0.3">
      <c r="W50" s="17">
        <f>SUM(W44:W49)</f>
        <v>24.747639000000003</v>
      </c>
      <c r="X50" s="17">
        <f>SUM(X44:X49)</f>
        <v>24.51</v>
      </c>
      <c r="Y50" s="3">
        <f t="shared" si="16"/>
        <v>0.23763900000000149</v>
      </c>
    </row>
    <row r="51" spans="2:32" x14ac:dyDescent="0.3">
      <c r="W51" s="17"/>
      <c r="Y51" s="3"/>
    </row>
    <row r="52" spans="2:32" x14ac:dyDescent="0.3">
      <c r="AA52" s="4" t="s">
        <v>84</v>
      </c>
      <c r="AB52" s="4" t="s">
        <v>84</v>
      </c>
      <c r="AC52" s="4" t="s">
        <v>84</v>
      </c>
      <c r="AD52" s="4" t="s">
        <v>84</v>
      </c>
      <c r="AE52" s="4" t="s">
        <v>84</v>
      </c>
      <c r="AF52" s="4" t="s">
        <v>84</v>
      </c>
    </row>
    <row r="53" spans="2:32" ht="18" x14ac:dyDescent="0.35">
      <c r="B53" s="23" t="s">
        <v>92</v>
      </c>
      <c r="C53" s="21" t="s">
        <v>139</v>
      </c>
      <c r="D53" t="s">
        <v>2</v>
      </c>
      <c r="E53" t="s">
        <v>96</v>
      </c>
      <c r="G53" s="21"/>
      <c r="H53" s="21"/>
      <c r="I53" s="21"/>
      <c r="J53" s="21"/>
      <c r="K53" s="21"/>
      <c r="L53" s="21"/>
      <c r="M53" s="21"/>
      <c r="N53" s="21"/>
      <c r="O53" s="21"/>
      <c r="P53" s="21"/>
      <c r="Q53" s="21"/>
      <c r="R53" s="21"/>
      <c r="S53" s="21"/>
      <c r="T53" s="21"/>
      <c r="U53" s="21"/>
      <c r="V53" s="21"/>
      <c r="W53" t="s">
        <v>6</v>
      </c>
      <c r="X53" s="4" t="str">
        <f>X4</f>
        <v>June #2</v>
      </c>
      <c r="Y53" t="s">
        <v>7</v>
      </c>
      <c r="AA53" s="4">
        <v>1</v>
      </c>
      <c r="AB53" s="4">
        <v>2</v>
      </c>
      <c r="AC53" s="4">
        <v>3</v>
      </c>
      <c r="AD53" s="4">
        <v>4</v>
      </c>
      <c r="AE53" s="4">
        <v>5</v>
      </c>
      <c r="AF53" s="4">
        <v>6</v>
      </c>
    </row>
    <row r="54" spans="2:32" ht="18" x14ac:dyDescent="0.35">
      <c r="B54" s="19">
        <v>236</v>
      </c>
      <c r="C54" t="s">
        <v>3766</v>
      </c>
      <c r="D54" s="17">
        <f>SUMIFS('FTE Detail'!$O$1:$O$99999,'FTE Detail'!$L$1:$L$99999,"COMM",'FTE Detail'!$H$1:$H$99999,SFPR!B54)</f>
        <v>2</v>
      </c>
      <c r="E54" s="17">
        <f>SUMIFS('FTE Detail'!$O$1:$O$99999,'FTE Detail'!$L$1:$L$99999,"CTCR",'FTE Detail'!$H$1:$H$99999,SFPR!B54)</f>
        <v>0</v>
      </c>
      <c r="F54" s="17"/>
      <c r="G54" s="21"/>
      <c r="H54" s="21"/>
      <c r="I54" s="21"/>
      <c r="J54" s="21"/>
      <c r="K54" s="21"/>
      <c r="L54" s="21"/>
      <c r="M54" s="21"/>
      <c r="N54" s="21"/>
      <c r="O54" s="21"/>
      <c r="P54" s="21"/>
      <c r="Q54" s="21"/>
      <c r="R54" s="21"/>
      <c r="S54" s="21"/>
      <c r="T54" s="21"/>
      <c r="U54" s="21"/>
      <c r="V54" s="21"/>
      <c r="W54" s="60">
        <f>D54+E54</f>
        <v>2</v>
      </c>
      <c r="X54" s="17">
        <v>2</v>
      </c>
      <c r="Y54" s="3">
        <f t="shared" ref="Y54:Y59" si="17">D54-X54</f>
        <v>0</v>
      </c>
      <c r="AA54" s="17">
        <f>SUMIFS('FTE Detail'!$O$1:$O$99999,'FTE Detail'!$H$1:$H$99999,SFPR!B54,'FTE Detail'!$R$1:$R$99999,$AA$53)</f>
        <v>0</v>
      </c>
      <c r="AB54" s="17">
        <f>SUMIFS('FTE Detail'!$O$1:$O$99999,'FTE Detail'!$H$1:$H$99999,SFPR!B54,'FTE Detail'!$R$1:$R$99999,$AB$53)</f>
        <v>0</v>
      </c>
      <c r="AC54" s="17">
        <f>SUMIFS('FTE Detail'!$O$1:$O$99999,'FTE Detail'!$H$1:$H$99999,SFPR!B54,'FTE Detail'!$R$1:$R$99999,$AC$53)</f>
        <v>0</v>
      </c>
      <c r="AD54" s="17">
        <f>SUMIFS('FTE Detail'!$O$1:$O$99999,'FTE Detail'!$H$1:$H$99999,SFPR!B54,'FTE Detail'!$R$1:$R$99999,$AD$53)</f>
        <v>0</v>
      </c>
      <c r="AE54" s="17">
        <f>SUMIFS('FTE Detail'!$O$1:$O$99999,'FTE Detail'!$H$1:$H$99999,SFPR!B54,'FTE Detail'!$R$1:$R$99999,$AE$53)</f>
        <v>0</v>
      </c>
      <c r="AF54" s="17">
        <f>SUMIFS('FTE Detail'!$O$1:$O$99999,'FTE Detail'!$H$1:$H$99999,SFPR!B54,'FTE Detail'!$R$1:$R$99999,$AF$53)</f>
        <v>0</v>
      </c>
    </row>
    <row r="55" spans="2:32" ht="18" x14ac:dyDescent="0.35">
      <c r="B55" s="77">
        <v>623</v>
      </c>
      <c r="C55" t="s">
        <v>3768</v>
      </c>
      <c r="D55" s="17">
        <f>SUMIFS('FTE Detail'!$O$1:$O$99999,'FTE Detail'!$L$1:$L$99999,"COMM",'FTE Detail'!$H$1:$H$99999,SFPR!B55)</f>
        <v>1</v>
      </c>
      <c r="E55" s="17">
        <f>SUMIFS('FTE Detail'!$O$1:$O$99999,'FTE Detail'!$L$1:$L$99999,"CTCR",'FTE Detail'!$H$1:$H$99999,SFPR!B55)</f>
        <v>0</v>
      </c>
      <c r="F55" s="17"/>
      <c r="G55" s="21"/>
      <c r="H55" s="21"/>
      <c r="I55" s="21"/>
      <c r="J55" s="21"/>
      <c r="K55" s="21"/>
      <c r="L55" s="21"/>
      <c r="M55" s="21"/>
      <c r="N55" s="21"/>
      <c r="O55" s="21"/>
      <c r="P55" s="21"/>
      <c r="Q55" s="21"/>
      <c r="R55" s="21"/>
      <c r="S55" s="21"/>
      <c r="T55" s="21"/>
      <c r="U55" s="21"/>
      <c r="V55" s="21"/>
      <c r="W55" s="60">
        <f t="shared" ref="W55:W59" si="18">D55+E55</f>
        <v>1</v>
      </c>
      <c r="X55" s="17">
        <v>1</v>
      </c>
      <c r="Y55" s="3">
        <f t="shared" si="17"/>
        <v>0</v>
      </c>
      <c r="AA55" s="17">
        <f>SUMIFS('FTE Detail'!$O$1:$O$99999,'FTE Detail'!$H$1:$H$99999,SFPR!B55,'FTE Detail'!$R$1:$R$99999,$AA$53)</f>
        <v>0</v>
      </c>
      <c r="AB55" s="17">
        <f>SUMIFS('FTE Detail'!$O$1:$O$99999,'FTE Detail'!$H$1:$H$99999,SFPR!B55,'FTE Detail'!$R$1:$R$99999,$AB$53)</f>
        <v>0.80118699999999998</v>
      </c>
      <c r="AC55" s="17">
        <f>SUMIFS('FTE Detail'!$O$1:$O$99999,'FTE Detail'!$H$1:$H$99999,SFPR!B55,'FTE Detail'!$R$1:$R$99999,$AC$53)</f>
        <v>0</v>
      </c>
      <c r="AD55" s="17">
        <f>SUMIFS('FTE Detail'!$O$1:$O$99999,'FTE Detail'!$H$1:$H$99999,SFPR!B55,'FTE Detail'!$R$1:$R$99999,$AD$53)</f>
        <v>0</v>
      </c>
      <c r="AE55" s="17">
        <f>SUMIFS('FTE Detail'!$O$1:$O$99999,'FTE Detail'!$H$1:$H$99999,SFPR!B55,'FTE Detail'!$R$1:$R$99999,$AE$53)</f>
        <v>0</v>
      </c>
      <c r="AF55" s="17">
        <f>SUMIFS('FTE Detail'!$O$1:$O$99999,'FTE Detail'!$H$1:$H$99999,SFPR!B55,'FTE Detail'!$R$1:$R$99999,$AF$53)</f>
        <v>0</v>
      </c>
    </row>
    <row r="56" spans="2:32" ht="18" x14ac:dyDescent="0.35">
      <c r="B56" s="19">
        <v>133413</v>
      </c>
      <c r="C56" t="s">
        <v>3764</v>
      </c>
      <c r="D56" s="17">
        <f>SUMIFS('FTE Detail'!$O$1:$O$99999,'FTE Detail'!$L$1:$L$99999,"COMM",'FTE Detail'!$H$1:$H$99999,SFPR!B56)</f>
        <v>3.9281769999999998</v>
      </c>
      <c r="E56" s="17">
        <f>SUMIFS('FTE Detail'!$O$1:$O$99999,'FTE Detail'!$L$1:$L$99999,"CTCR",'FTE Detail'!$H$1:$H$99999,SFPR!B56)</f>
        <v>0</v>
      </c>
      <c r="F56" s="17"/>
      <c r="G56" s="21"/>
      <c r="H56" s="21"/>
      <c r="I56" s="21"/>
      <c r="J56" s="21"/>
      <c r="K56" s="21"/>
      <c r="L56" s="21"/>
      <c r="M56" s="21"/>
      <c r="N56" s="21"/>
      <c r="O56" s="21"/>
      <c r="P56" s="21"/>
      <c r="Q56" s="21"/>
      <c r="R56" s="21"/>
      <c r="S56" s="21"/>
      <c r="T56" s="21"/>
      <c r="U56" s="21"/>
      <c r="V56" s="21"/>
      <c r="W56" s="60">
        <f t="shared" si="18"/>
        <v>3.9281769999999998</v>
      </c>
      <c r="X56" s="17">
        <v>3.93</v>
      </c>
      <c r="Y56" s="3">
        <f t="shared" si="17"/>
        <v>-1.8230000000003521E-3</v>
      </c>
      <c r="AA56" s="17">
        <f>SUMIFS('FTE Detail'!$O$1:$O$99999,'FTE Detail'!$H$1:$H$99999,SFPR!B56,'FTE Detail'!$R$1:$R$99999,$AA$53)</f>
        <v>1</v>
      </c>
      <c r="AB56" s="17">
        <f>SUMIFS('FTE Detail'!$O$1:$O$99999,'FTE Detail'!$H$1:$H$99999,SFPR!B56,'FTE Detail'!$R$1:$R$99999,$AB$53)</f>
        <v>0</v>
      </c>
      <c r="AC56" s="17">
        <f>SUMIFS('FTE Detail'!$O$1:$O$99999,'FTE Detail'!$H$1:$H$99999,SFPR!B56,'FTE Detail'!$R$1:$R$99999,$AC$53)</f>
        <v>0</v>
      </c>
      <c r="AD56" s="17">
        <f>SUMIFS('FTE Detail'!$O$1:$O$99999,'FTE Detail'!$H$1:$H$99999,SFPR!B56,'FTE Detail'!$R$1:$R$99999,$AD$53)</f>
        <v>0</v>
      </c>
      <c r="AE56" s="17">
        <f>SUMIFS('FTE Detail'!$O$1:$O$99999,'FTE Detail'!$H$1:$H$99999,SFPR!B56,'FTE Detail'!$R$1:$R$99999,$AE$53)</f>
        <v>0</v>
      </c>
      <c r="AF56" s="17">
        <f>SUMIFS('FTE Detail'!$O$1:$O$99999,'FTE Detail'!$H$1:$H$99999,SFPR!B56,'FTE Detail'!$R$1:$R$99999,$AF$53)</f>
        <v>1</v>
      </c>
    </row>
    <row r="57" spans="2:32" ht="18" x14ac:dyDescent="0.35">
      <c r="B57" s="19">
        <v>142950</v>
      </c>
      <c r="C57" t="s">
        <v>3767</v>
      </c>
      <c r="D57" s="17">
        <f>SUMIFS('FTE Detail'!$O$1:$O$99999,'FTE Detail'!$L$1:$L$99999,"COMM",'FTE Detail'!$H$1:$H$99999,SFPR!B57)</f>
        <v>4.0489129999999998</v>
      </c>
      <c r="E57" s="17">
        <f>SUMIFS('FTE Detail'!$O$1:$O$99999,'FTE Detail'!$L$1:$L$99999,"CTCR",'FTE Detail'!$H$1:$H$99999,SFPR!B57)</f>
        <v>0</v>
      </c>
      <c r="F57" s="17"/>
      <c r="G57" s="21"/>
      <c r="H57" s="21"/>
      <c r="I57" s="21"/>
      <c r="J57" s="21"/>
      <c r="K57" s="21"/>
      <c r="L57" s="21"/>
      <c r="M57" s="21"/>
      <c r="N57" s="21"/>
      <c r="O57" s="21"/>
      <c r="P57" s="21"/>
      <c r="Q57" s="21"/>
      <c r="R57" s="21"/>
      <c r="S57" s="21"/>
      <c r="T57" s="21"/>
      <c r="U57" s="21"/>
      <c r="V57" s="21"/>
      <c r="W57" s="60">
        <f t="shared" si="18"/>
        <v>4.0489129999999998</v>
      </c>
      <c r="X57" s="17">
        <v>4.05</v>
      </c>
      <c r="Y57" s="3">
        <f t="shared" si="17"/>
        <v>-1.0870000000000601E-3</v>
      </c>
      <c r="AA57" s="17">
        <f>SUMIFS('FTE Detail'!$O$1:$O$99999,'FTE Detail'!$H$1:$H$99999,SFPR!B57,'FTE Detail'!$R$1:$R$99999,$AA$53)</f>
        <v>0</v>
      </c>
      <c r="AB57" s="17">
        <f>SUMIFS('FTE Detail'!$O$1:$O$99999,'FTE Detail'!$H$1:$H$99999,SFPR!B57,'FTE Detail'!$R$1:$R$99999,$AB$53)</f>
        <v>0</v>
      </c>
      <c r="AC57" s="17">
        <f>SUMIFS('FTE Detail'!$O$1:$O$99999,'FTE Detail'!$H$1:$H$99999,SFPR!B57,'FTE Detail'!$R$1:$R$99999,$AC$53)</f>
        <v>0</v>
      </c>
      <c r="AD57" s="17">
        <f>SUMIFS('FTE Detail'!$O$1:$O$99999,'FTE Detail'!$H$1:$H$99999,SFPR!B57,'FTE Detail'!$R$1:$R$99999,$AD$53)</f>
        <v>0</v>
      </c>
      <c r="AE57" s="17">
        <f>SUMIFS('FTE Detail'!$O$1:$O$99999,'FTE Detail'!$H$1:$H$99999,SFPR!B57,'FTE Detail'!$R$1:$R$99999,$AE$53)</f>
        <v>0</v>
      </c>
      <c r="AF57" s="17">
        <f>SUMIFS('FTE Detail'!$O$1:$O$99999,'FTE Detail'!$H$1:$H$99999,SFPR!B57,'FTE Detail'!$R$1:$R$99999,$AF$53)</f>
        <v>0</v>
      </c>
    </row>
    <row r="58" spans="2:32" ht="18" x14ac:dyDescent="0.35">
      <c r="B58" s="19">
        <v>143396</v>
      </c>
      <c r="C58" t="s">
        <v>3762</v>
      </c>
      <c r="D58" s="17">
        <f>SUMIFS('FTE Detail'!$O$1:$O$99999,'FTE Detail'!$L$1:$L$99999,"COMM",'FTE Detail'!$H$1:$H$99999,SFPR!B58)</f>
        <v>1.9946249999999999</v>
      </c>
      <c r="E58" s="17">
        <f>SUMIFS('FTE Detail'!$O$1:$O$99999,'FTE Detail'!$L$1:$L$99999,"CTCR",'FTE Detail'!$H$1:$H$99999,SFPR!B58)</f>
        <v>0</v>
      </c>
      <c r="F58" s="17"/>
      <c r="G58" s="21"/>
      <c r="H58" s="21"/>
      <c r="I58" s="21"/>
      <c r="J58" s="21"/>
      <c r="K58" s="21"/>
      <c r="L58" s="21"/>
      <c r="M58" s="21"/>
      <c r="N58" s="21"/>
      <c r="O58" s="21"/>
      <c r="P58" s="21"/>
      <c r="Q58" s="21"/>
      <c r="R58" s="21"/>
      <c r="S58" s="21"/>
      <c r="T58" s="21"/>
      <c r="U58" s="21"/>
      <c r="V58" s="21"/>
      <c r="W58" s="60">
        <f t="shared" si="18"/>
        <v>1.9946249999999999</v>
      </c>
      <c r="X58" s="17">
        <v>2</v>
      </c>
      <c r="Y58" s="3">
        <f t="shared" si="17"/>
        <v>-5.3750000000001297E-3</v>
      </c>
      <c r="AA58" s="17">
        <f>SUMIFS('FTE Detail'!$O$1:$O$99999,'FTE Detail'!$H$1:$H$99999,SFPR!B58,'FTE Detail'!$R$1:$R$99999,$AA$53)</f>
        <v>0</v>
      </c>
      <c r="AB58" s="17">
        <f>SUMIFS('FTE Detail'!$O$1:$O$99999,'FTE Detail'!$H$1:$H$99999,SFPR!B58,'FTE Detail'!$R$1:$R$99999,$AB$53)</f>
        <v>0.52688199999999996</v>
      </c>
      <c r="AC58" s="17">
        <f>SUMIFS('FTE Detail'!$O$1:$O$99999,'FTE Detail'!$H$1:$H$99999,SFPR!B58,'FTE Detail'!$R$1:$R$99999,$AC$53)</f>
        <v>0</v>
      </c>
      <c r="AD58" s="17">
        <f>SUMIFS('FTE Detail'!$O$1:$O$99999,'FTE Detail'!$H$1:$H$99999,SFPR!B58,'FTE Detail'!$R$1:$R$99999,$AD$53)</f>
        <v>0</v>
      </c>
      <c r="AE58" s="17">
        <f>SUMIFS('FTE Detail'!$O$1:$O$99999,'FTE Detail'!$H$1:$H$99999,SFPR!B58,'FTE Detail'!$R$1:$R$99999,$AE$53)</f>
        <v>0</v>
      </c>
      <c r="AF58" s="17">
        <f>SUMIFS('FTE Detail'!$O$1:$O$99999,'FTE Detail'!$H$1:$H$99999,SFPR!B58,'FTE Detail'!$R$1:$R$99999,$AF$53)</f>
        <v>0</v>
      </c>
    </row>
    <row r="59" spans="2:32" ht="18" x14ac:dyDescent="0.35">
      <c r="B59" s="19">
        <v>148999</v>
      </c>
      <c r="C59" t="s">
        <v>3765</v>
      </c>
      <c r="D59" s="17">
        <f>SUMIFS('FTE Detail'!$O$1:$O$99999,'FTE Detail'!$L$1:$L$99999,"COMM",'FTE Detail'!$H$1:$H$99999,SFPR!B59)</f>
        <v>2.6574580000000001</v>
      </c>
      <c r="E59" s="17">
        <f>SUMIFS('FTE Detail'!$O$1:$O$99999,'FTE Detail'!$L$1:$L$99999,"CTCR",'FTE Detail'!$H$1:$H$99999,SFPR!B59)</f>
        <v>0</v>
      </c>
      <c r="F59" s="17"/>
      <c r="G59" s="21"/>
      <c r="H59" s="21"/>
      <c r="I59" s="21"/>
      <c r="J59" s="21"/>
      <c r="K59" s="21"/>
      <c r="L59" s="21"/>
      <c r="M59" s="21"/>
      <c r="N59" s="21"/>
      <c r="O59" s="21"/>
      <c r="P59" s="21"/>
      <c r="Q59" s="21"/>
      <c r="R59" s="21"/>
      <c r="S59" s="21"/>
      <c r="T59" s="21"/>
      <c r="U59" s="21"/>
      <c r="V59" s="21"/>
      <c r="W59" s="60">
        <f t="shared" si="18"/>
        <v>2.6574580000000001</v>
      </c>
      <c r="X59" s="17">
        <v>2.29</v>
      </c>
      <c r="Y59" s="3">
        <f t="shared" si="17"/>
        <v>0.36745800000000006</v>
      </c>
      <c r="AA59" s="17">
        <f>SUMIFS('FTE Detail'!$O$1:$O$99999,'FTE Detail'!$H$1:$H$99999,SFPR!B59,'FTE Detail'!$R$1:$R$99999,$AA$53)</f>
        <v>0</v>
      </c>
      <c r="AB59" s="17">
        <f>SUMIFS('FTE Detail'!$O$1:$O$99999,'FTE Detail'!$H$1:$H$99999,SFPR!B59,'FTE Detail'!$R$1:$R$99999,$AB$53)</f>
        <v>0.79005500000000006</v>
      </c>
      <c r="AC59" s="17">
        <f>SUMIFS('FTE Detail'!$O$1:$O$99999,'FTE Detail'!$H$1:$H$99999,SFPR!B59,'FTE Detail'!$R$1:$R$99999,$AC$53)</f>
        <v>0</v>
      </c>
      <c r="AD59" s="17">
        <f>SUMIFS('FTE Detail'!$O$1:$O$99999,'FTE Detail'!$H$1:$H$99999,SFPR!B59,'FTE Detail'!$R$1:$R$99999,$AD$53)</f>
        <v>0</v>
      </c>
      <c r="AE59" s="17">
        <f>SUMIFS('FTE Detail'!$O$1:$O$99999,'FTE Detail'!$H$1:$H$99999,SFPR!B59,'FTE Detail'!$R$1:$R$99999,$AE$53)</f>
        <v>0</v>
      </c>
      <c r="AF59" s="17">
        <f>SUMIFS('FTE Detail'!$O$1:$O$99999,'FTE Detail'!$H$1:$H$99999,SFPR!B59,'FTE Detail'!$R$1:$R$99999,$AF$53)</f>
        <v>0</v>
      </c>
    </row>
    <row r="60" spans="2:32" ht="18" x14ac:dyDescent="0.35">
      <c r="B60" s="19"/>
      <c r="D60" s="21"/>
      <c r="E60" s="21"/>
      <c r="F60" s="21"/>
      <c r="G60" s="21"/>
      <c r="H60" s="21"/>
      <c r="I60" s="21"/>
      <c r="J60" s="21"/>
      <c r="K60" s="21"/>
      <c r="L60" s="21"/>
      <c r="M60" s="21"/>
      <c r="N60" s="21"/>
      <c r="O60" s="21"/>
      <c r="P60" s="21"/>
      <c r="Q60" s="21"/>
      <c r="R60" s="21"/>
      <c r="S60" s="21"/>
      <c r="T60" s="21"/>
      <c r="U60" s="21"/>
      <c r="V60" s="21"/>
      <c r="W60" s="3"/>
      <c r="Y60" s="3"/>
      <c r="AA60" s="17">
        <f>SUMIFS('FTE Detail'!$O$1:$O$99999,'FTE Detail'!$H$1:$H$99999,SFPR!B60,'FTE Detail'!$R$1:$R$99999,$AA$53)</f>
        <v>0</v>
      </c>
      <c r="AB60" s="17">
        <f>SUMIFS('FTE Detail'!$O$1:$O$99999,'FTE Detail'!$H$1:$H$99999,SFPR!B60,'FTE Detail'!$R$1:$R$99999,$AB$53)</f>
        <v>0</v>
      </c>
      <c r="AC60" s="17">
        <f>SUMIFS('FTE Detail'!$O$1:$O$99999,'FTE Detail'!$H$1:$H$99999,SFPR!B60,'FTE Detail'!$R$1:$R$99999,$AC$53)</f>
        <v>0</v>
      </c>
      <c r="AD60" s="17">
        <f>SUMIFS('FTE Detail'!$O$1:$O$99999,'FTE Detail'!$H$1:$H$99999,SFPR!B60,'FTE Detail'!$R$1:$R$99999,$AD$53)</f>
        <v>0</v>
      </c>
      <c r="AE60" s="17">
        <f>SUMIFS('FTE Detail'!$O$1:$O$99999,'FTE Detail'!$H$1:$H$99999,SFPR!B60,'FTE Detail'!$R$1:$R$99999,$AE$53)</f>
        <v>0</v>
      </c>
      <c r="AF60" s="17">
        <f>SUMIFS('FTE Detail'!$O$1:$O$99999,'FTE Detail'!$H$1:$H$99999,SFPR!B60,'FTE Detail'!$R$1:$R$99999,$AF$53)</f>
        <v>0</v>
      </c>
    </row>
    <row r="61" spans="2:32" x14ac:dyDescent="0.3">
      <c r="B61" s="2"/>
      <c r="W61" s="17">
        <f>SUM(W54:W60)</f>
        <v>15.629173</v>
      </c>
      <c r="X61" s="17">
        <f>SUM(X54:X60)</f>
        <v>15.27</v>
      </c>
      <c r="Y61" s="17">
        <f>SUM(Y54:Y60)</f>
        <v>0.35917299999999952</v>
      </c>
      <c r="AA61" s="17">
        <f t="shared" ref="AA61:AF61" si="19">SUM(AA54:AA60)</f>
        <v>1</v>
      </c>
      <c r="AB61" s="17">
        <f t="shared" si="19"/>
        <v>2.1181239999999999</v>
      </c>
      <c r="AC61" s="17">
        <f t="shared" si="19"/>
        <v>0</v>
      </c>
      <c r="AD61" s="17">
        <f t="shared" si="19"/>
        <v>0</v>
      </c>
      <c r="AE61" s="17">
        <f t="shared" si="19"/>
        <v>0</v>
      </c>
      <c r="AF61" s="17">
        <f t="shared" si="19"/>
        <v>1</v>
      </c>
    </row>
    <row r="62" spans="2:32" x14ac:dyDescent="0.3">
      <c r="B62" s="19"/>
      <c r="W62" s="3"/>
      <c r="Y62" s="3"/>
    </row>
    <row r="63" spans="2:32" x14ac:dyDescent="0.3">
      <c r="B63" s="19"/>
      <c r="W63" s="3"/>
      <c r="Y63" s="3"/>
    </row>
    <row r="64" spans="2:32" x14ac:dyDescent="0.3">
      <c r="B64" s="19"/>
      <c r="W64" s="3"/>
      <c r="Y64" s="3"/>
      <c r="AA64" s="40" t="s">
        <v>84</v>
      </c>
      <c r="AB64" s="40" t="s">
        <v>84</v>
      </c>
      <c r="AC64" s="40" t="s">
        <v>84</v>
      </c>
      <c r="AD64" s="40" t="s">
        <v>84</v>
      </c>
      <c r="AE64" s="40" t="s">
        <v>84</v>
      </c>
      <c r="AF64" s="40" t="s">
        <v>84</v>
      </c>
    </row>
    <row r="65" spans="2:32" ht="18" x14ac:dyDescent="0.35">
      <c r="B65" s="23" t="s">
        <v>92</v>
      </c>
      <c r="C65" s="46" t="s">
        <v>99</v>
      </c>
      <c r="W65" t="s">
        <v>6</v>
      </c>
      <c r="X65" s="40" t="s">
        <v>5</v>
      </c>
      <c r="Y65" t="s">
        <v>7</v>
      </c>
      <c r="AA65" s="40">
        <v>1</v>
      </c>
      <c r="AB65" s="40">
        <v>2</v>
      </c>
      <c r="AC65" s="40">
        <v>3</v>
      </c>
      <c r="AD65" s="40">
        <v>4</v>
      </c>
      <c r="AE65" s="40">
        <v>5</v>
      </c>
      <c r="AF65" s="40">
        <v>6</v>
      </c>
    </row>
    <row r="66" spans="2:32" x14ac:dyDescent="0.3">
      <c r="B66" s="19">
        <v>14231</v>
      </c>
      <c r="C66" t="s">
        <v>3763</v>
      </c>
      <c r="W66" s="17">
        <f>SUMIFS('FTE Detail'!$O$1:$O$99999,'FTE Detail'!$L$1:$L$99999,"STEM",'FTE Detail'!$H$1:$H$99999,SFPR!B66)</f>
        <v>4</v>
      </c>
      <c r="X66" s="17">
        <v>4</v>
      </c>
      <c r="Y66" s="3">
        <f>W66-X66</f>
        <v>0</v>
      </c>
      <c r="AA66" s="17">
        <f>SUMIFS('FTE Detail'!$O$1:$O$99999,'FTE Detail'!$H$1:$H$99999,SFPR!B66,'FTE Detail'!$R$1:$R$99999,AA$65)</f>
        <v>0</v>
      </c>
      <c r="AB66" s="17">
        <f>SUMIFS('FTE Detail'!$O$1:$O$99999,'FTE Detail'!$H$1:$H$99999,SFPR!C66,'FTE Detail'!$R$1:$R$99999,AB$65)</f>
        <v>0</v>
      </c>
      <c r="AC66" s="17">
        <f>SUMIFS('FTE Detail'!$O$1:$O$99999,'FTE Detail'!$H$1:$H$99999,SFPR!D66,'FTE Detail'!$R$1:$R$99999,AC$65)</f>
        <v>0</v>
      </c>
      <c r="AD66" s="17">
        <f>SUMIFS('FTE Detail'!$O$1:$O$99999,'FTE Detail'!$H$1:$H$99999,SFPR!E66,'FTE Detail'!$R$1:$R$99999,AD$65)</f>
        <v>0</v>
      </c>
      <c r="AE66" s="17">
        <f>SUMIFS('FTE Detail'!$O$1:$O$99999,'FTE Detail'!$H$1:$H$99999,SFPR!G66,'FTE Detail'!$R$1:$R$99999,AE$65)</f>
        <v>0</v>
      </c>
      <c r="AF66" s="17">
        <f>SUMIFS('FTE Detail'!$O$1:$O$99999,'FTE Detail'!$H$1:$H$99999,SFPR!H66,'FTE Detail'!$R$1:$R$99999,AF$65)</f>
        <v>0</v>
      </c>
    </row>
    <row r="67" spans="2:32" x14ac:dyDescent="0.3">
      <c r="B67" s="19"/>
      <c r="W67" s="3"/>
      <c r="Y67" s="3"/>
      <c r="AA67" s="40"/>
      <c r="AB67" s="40"/>
      <c r="AC67" s="40"/>
      <c r="AD67" s="40"/>
      <c r="AE67" s="40"/>
      <c r="AF67" s="40"/>
    </row>
    <row r="68" spans="2:32" x14ac:dyDescent="0.3">
      <c r="AA68" s="34" t="s">
        <v>84</v>
      </c>
      <c r="AB68" s="34" t="s">
        <v>84</v>
      </c>
      <c r="AC68" s="34" t="s">
        <v>84</v>
      </c>
      <c r="AD68" s="34" t="s">
        <v>84</v>
      </c>
      <c r="AE68" s="34" t="s">
        <v>84</v>
      </c>
      <c r="AF68" s="34" t="s">
        <v>84</v>
      </c>
    </row>
    <row r="69" spans="2:32" ht="18" x14ac:dyDescent="0.35">
      <c r="B69" s="23" t="s">
        <v>92</v>
      </c>
      <c r="C69" s="22" t="s">
        <v>93</v>
      </c>
      <c r="D69" s="22"/>
      <c r="E69" s="22"/>
      <c r="F69" s="22"/>
      <c r="G69" s="22"/>
      <c r="H69" s="22"/>
      <c r="I69" s="22"/>
      <c r="J69" s="22"/>
      <c r="K69" s="22"/>
      <c r="L69" s="22"/>
      <c r="M69" s="30" t="s">
        <v>1</v>
      </c>
      <c r="N69" s="30" t="s">
        <v>100</v>
      </c>
      <c r="O69" s="30" t="s">
        <v>101</v>
      </c>
      <c r="P69" s="30" t="s">
        <v>4</v>
      </c>
      <c r="Q69" s="30" t="s">
        <v>770</v>
      </c>
      <c r="R69" s="22"/>
      <c r="S69" s="22"/>
      <c r="T69" s="22"/>
      <c r="U69" s="22"/>
      <c r="V69" s="22"/>
      <c r="W69" t="s">
        <v>81</v>
      </c>
      <c r="X69" t="str">
        <f>X4</f>
        <v>June #2</v>
      </c>
      <c r="Y69" t="s">
        <v>7</v>
      </c>
      <c r="AA69" s="34">
        <v>1</v>
      </c>
      <c r="AB69" s="34">
        <v>2</v>
      </c>
      <c r="AC69" s="34">
        <v>3</v>
      </c>
      <c r="AD69" s="34">
        <v>4</v>
      </c>
      <c r="AE69" s="34">
        <v>5</v>
      </c>
      <c r="AF69" s="34">
        <v>6</v>
      </c>
    </row>
    <row r="70" spans="2:32" x14ac:dyDescent="0.3">
      <c r="B70" s="19">
        <v>44065</v>
      </c>
      <c r="C70" t="s">
        <v>3775</v>
      </c>
      <c r="M70" s="17">
        <f>SUMIFS('FTE Detail'!$O$1:$O$99997,'FTE Detail'!$L$1:$L$99997,M$5,'FTE Detail'!$H$1:$H$99997,$B70,'FTE Detail'!$V$1:$V$99997,"FULL")</f>
        <v>1</v>
      </c>
      <c r="N70" s="17">
        <f>SUMIFS('FTE Detail'!$O$1:$O$99997,'FTE Detail'!$L$1:$L$99997,N$5,'FTE Detail'!$H$1:$H$99997,$B70,'FTE Detail'!$V$1:$V$99997,"PART")</f>
        <v>0</v>
      </c>
      <c r="O70" s="17">
        <f>SUMIFS('FTE Detail'!$O$1:$O$99997,'FTE Detail'!$L$1:$L$99997,O$5,'FTE Detail'!$H$1:$H$99997,$B70,'FTE Detail'!$V$1:$V$99997,"FULL")</f>
        <v>0</v>
      </c>
      <c r="P70" s="17">
        <f>SUMIFS('FTE Detail'!$O$1:$O$99997,'FTE Detail'!$L$1:$L$99997,P$5,'FTE Detail'!$H$1:$H$99997,$B70,'FTE Detail'!$V$1:$V$99997,"FULL")</f>
        <v>0</v>
      </c>
      <c r="Q70" s="17">
        <f>SUMIFS('FTE Detail'!$O$1:$O$99997,'FTE Detail'!$L$1:$L$99997,Q$5,'FTE Detail'!$H$1:$H$99997,$B70,'FTE Detail'!$V$1:$V$99997,"FULL")</f>
        <v>0</v>
      </c>
      <c r="W70" s="17">
        <f>SUM(M70:P70)</f>
        <v>1</v>
      </c>
      <c r="X70" s="17">
        <v>1</v>
      </c>
      <c r="Y70" s="3">
        <f t="shared" ref="Y70:Y87" si="20">W70-X70</f>
        <v>0</v>
      </c>
      <c r="AA70" s="17">
        <f>SUMIFS('FTE Detail'!$O$1:$O$99999,'FTE Detail'!$L$1:$L$99999,"OPDD",'FTE Detail'!$H$1:$H$99999,SFPR!$B70,'FTE Detail'!$R$1:$R$99999,AA$69)+SUMIFS('FTE Detail'!$O$1:$O$99999,'FTE Detail'!$L$1:$L$99999,"OPID",'FTE Detail'!$H$1:$H$99999,SFPR!$B70,'FTE Detail'!$R$1:$R$99999,AA$69)</f>
        <v>0</v>
      </c>
      <c r="AB70" s="17">
        <f>SUMIFS('FTE Detail'!$O$1:$O$99999,'FTE Detail'!$L$1:$L$99999,"OPDD",'FTE Detail'!$H$1:$H$99999,SFPR!$B70,'FTE Detail'!$R$1:$R$99999,AB$69)+SUMIFS('FTE Detail'!$O$1:$O$99999,'FTE Detail'!$L$1:$L$99999,"OPID",'FTE Detail'!$H$1:$H$99999,SFPR!$B70,'FTE Detail'!$R$1:$R$99999,AB$69)</f>
        <v>0</v>
      </c>
      <c r="AC70" s="17">
        <f>SUMIFS('FTE Detail'!$O$1:$O$99999,'FTE Detail'!$L$1:$L$99999,"OPDD",'FTE Detail'!$H$1:$H$99999,SFPR!$B70,'FTE Detail'!$R$1:$R$99999,AC$69)+SUMIFS('FTE Detail'!$O$1:$O$99999,'FTE Detail'!$L$1:$L$99999,"OPID",'FTE Detail'!$H$1:$H$99999,SFPR!$B70,'FTE Detail'!$R$1:$R$99999,AC$69)</f>
        <v>0</v>
      </c>
      <c r="AD70" s="17">
        <f>SUMIFS('FTE Detail'!$O$1:$O$99999,'FTE Detail'!$L$1:$L$99999,"OPDD",'FTE Detail'!$H$1:$H$99999,SFPR!$B70,'FTE Detail'!$R$1:$R$99999,AD$69)+SUMIFS('FTE Detail'!$O$1:$O$99999,'FTE Detail'!$L$1:$L$99999,"OPID",'FTE Detail'!$H$1:$H$99999,SFPR!$B70,'FTE Detail'!$R$1:$R$99999,AD$69)</f>
        <v>0</v>
      </c>
      <c r="AE70" s="17">
        <f>SUMIFS('FTE Detail'!$O$1:$O$99999,'FTE Detail'!$L$1:$L$99999,"OPDD",'FTE Detail'!$H$1:$H$99999,SFPR!$B70,'FTE Detail'!$R$1:$R$99999,AE$69)+SUMIFS('FTE Detail'!$O$1:$O$99999,'FTE Detail'!$L$1:$L$99999,"OPID",'FTE Detail'!$H$1:$H$99999,SFPR!$B70,'FTE Detail'!$R$1:$R$99999,AE$69)</f>
        <v>0</v>
      </c>
      <c r="AF70" s="17">
        <f>SUMIFS('FTE Detail'!$O$1:$O$99999,'FTE Detail'!$L$1:$L$99999,"OPDD",'FTE Detail'!$H$1:$H$99999,SFPR!$B70,'FTE Detail'!$R$1:$R$99999,AF$69)+SUMIFS('FTE Detail'!$O$1:$O$99999,'FTE Detail'!$L$1:$L$99999,"OPID",'FTE Detail'!$H$1:$H$99999,SFPR!$B70,'FTE Detail'!$R$1:$R$99999,AF$69)</f>
        <v>0</v>
      </c>
    </row>
    <row r="71" spans="2:32" x14ac:dyDescent="0.3">
      <c r="B71" s="19">
        <v>44735</v>
      </c>
      <c r="C71" t="s">
        <v>3778</v>
      </c>
      <c r="M71" s="17">
        <f>SUMIFS('FTE Detail'!$O$1:$O$99997,'FTE Detail'!$L$1:$L$99997,M$5,'FTE Detail'!$H$1:$H$99997,$B71,'FTE Detail'!$V$1:$V$99997,"FULL")</f>
        <v>1</v>
      </c>
      <c r="N71" s="17">
        <f>SUMIFS('FTE Detail'!$O$1:$O$99997,'FTE Detail'!$L$1:$L$99997,N$5,'FTE Detail'!$H$1:$H$99997,$B71,'FTE Detail'!$V$1:$V$99997,"PART")</f>
        <v>0</v>
      </c>
      <c r="O71" s="17">
        <f>SUMIFS('FTE Detail'!$O$1:$O$99997,'FTE Detail'!$L$1:$L$99997,O$5,'FTE Detail'!$H$1:$H$99997,$B71,'FTE Detail'!$V$1:$V$99997,"FULL")</f>
        <v>0</v>
      </c>
      <c r="P71" s="17">
        <f>SUMIFS('FTE Detail'!$O$1:$O$99997,'FTE Detail'!$L$1:$L$99997,P$5,'FTE Detail'!$H$1:$H$99997,$B71,'FTE Detail'!$V$1:$V$99997,"FULL")</f>
        <v>0</v>
      </c>
      <c r="Q71" s="17">
        <f>SUMIFS('FTE Detail'!$O$1:$O$99997,'FTE Detail'!$L$1:$L$99997,Q$5,'FTE Detail'!$H$1:$H$99997,$B71,'FTE Detail'!$V$1:$V$99997,"FULL")</f>
        <v>0</v>
      </c>
      <c r="W71" s="17">
        <f t="shared" ref="W71:W87" si="21">SUM(M71:P71)</f>
        <v>1</v>
      </c>
      <c r="X71" s="17">
        <v>1</v>
      </c>
      <c r="Y71" s="3">
        <f t="shared" si="20"/>
        <v>0</v>
      </c>
      <c r="AA71" s="17">
        <f>SUMIFS('FTE Detail'!$O$1:$O$99999,'FTE Detail'!$L$1:$L$99999,"OPDD",'FTE Detail'!$H$1:$H$99999,SFPR!$B71,'FTE Detail'!$R$1:$R$99999,AA$69)+SUMIFS('FTE Detail'!$O$1:$O$99999,'FTE Detail'!$L$1:$L$99999,"OPID",'FTE Detail'!$H$1:$H$99999,SFPR!$B71,'FTE Detail'!$R$1:$R$99999,AA$69)</f>
        <v>0</v>
      </c>
      <c r="AB71" s="17">
        <f>SUMIFS('FTE Detail'!$O$1:$O$99999,'FTE Detail'!$L$1:$L$99999,"OPDD",'FTE Detail'!$H$1:$H$99999,SFPR!$B71,'FTE Detail'!$R$1:$R$99999,AB$69)+SUMIFS('FTE Detail'!$O$1:$O$99999,'FTE Detail'!$L$1:$L$99999,"OPID",'FTE Detail'!$H$1:$H$99999,SFPR!$B71,'FTE Detail'!$R$1:$R$99999,AB$69)</f>
        <v>0</v>
      </c>
      <c r="AC71" s="17">
        <f>SUMIFS('FTE Detail'!$O$1:$O$99999,'FTE Detail'!$L$1:$L$99999,"OPDD",'FTE Detail'!$H$1:$H$99999,SFPR!$B71,'FTE Detail'!$R$1:$R$99999,AC$69)+SUMIFS('FTE Detail'!$O$1:$O$99999,'FTE Detail'!$L$1:$L$99999,"OPID",'FTE Detail'!$H$1:$H$99999,SFPR!$B71,'FTE Detail'!$R$1:$R$99999,AC$69)</f>
        <v>0</v>
      </c>
      <c r="AD71" s="17">
        <f>SUMIFS('FTE Detail'!$O$1:$O$99999,'FTE Detail'!$L$1:$L$99999,"OPDD",'FTE Detail'!$H$1:$H$99999,SFPR!$B71,'FTE Detail'!$R$1:$R$99999,AD$69)+SUMIFS('FTE Detail'!$O$1:$O$99999,'FTE Detail'!$L$1:$L$99999,"OPID",'FTE Detail'!$H$1:$H$99999,SFPR!$B71,'FTE Detail'!$R$1:$R$99999,AD$69)</f>
        <v>0</v>
      </c>
      <c r="AE71" s="17">
        <f>SUMIFS('FTE Detail'!$O$1:$O$99999,'FTE Detail'!$L$1:$L$99999,"OPDD",'FTE Detail'!$H$1:$H$99999,SFPR!$B71,'FTE Detail'!$R$1:$R$99999,AE$69)+SUMIFS('FTE Detail'!$O$1:$O$99999,'FTE Detail'!$L$1:$L$99999,"OPID",'FTE Detail'!$H$1:$H$99999,SFPR!$B71,'FTE Detail'!$R$1:$R$99999,AE$69)</f>
        <v>0</v>
      </c>
      <c r="AF71" s="17">
        <f>SUMIFS('FTE Detail'!$O$1:$O$99999,'FTE Detail'!$L$1:$L$99999,"OPDD",'FTE Detail'!$H$1:$H$99999,SFPR!$B71,'FTE Detail'!$R$1:$R$99999,AF$69)+SUMIFS('FTE Detail'!$O$1:$O$99999,'FTE Detail'!$L$1:$L$99999,"OPID",'FTE Detail'!$H$1:$H$99999,SFPR!$B71,'FTE Detail'!$R$1:$R$99999,AF$69)</f>
        <v>0</v>
      </c>
    </row>
    <row r="72" spans="2:32" x14ac:dyDescent="0.3">
      <c r="B72" s="19">
        <v>45161</v>
      </c>
      <c r="C72" t="s">
        <v>3783</v>
      </c>
      <c r="M72" s="17">
        <f>SUMIFS('FTE Detail'!$O$1:$O$99997,'FTE Detail'!$L$1:$L$99997,M$5,'FTE Detail'!$H$1:$H$99997,$B72,'FTE Detail'!$V$1:$V$99997,"FULL")</f>
        <v>1.2883659999999999</v>
      </c>
      <c r="N72" s="17">
        <f>SUMIFS('FTE Detail'!$O$1:$O$99997,'FTE Detail'!$L$1:$L$99997,N$5,'FTE Detail'!$H$1:$H$99997,$B72,'FTE Detail'!$V$1:$V$99997,"PART")</f>
        <v>0</v>
      </c>
      <c r="O72" s="17">
        <f>SUMIFS('FTE Detail'!$O$1:$O$99997,'FTE Detail'!$L$1:$L$99997,O$5,'FTE Detail'!$H$1:$H$99997,$B72,'FTE Detail'!$V$1:$V$99997,"FULL")</f>
        <v>0</v>
      </c>
      <c r="P72" s="17">
        <f>SUMIFS('FTE Detail'!$O$1:$O$99997,'FTE Detail'!$L$1:$L$99997,P$5,'FTE Detail'!$H$1:$H$99997,$B72,'FTE Detail'!$V$1:$V$99997,"FULL")</f>
        <v>0</v>
      </c>
      <c r="Q72" s="17">
        <f>SUMIFS('FTE Detail'!$O$1:$O$99997,'FTE Detail'!$L$1:$L$99997,Q$5,'FTE Detail'!$H$1:$H$99997,$B72,'FTE Detail'!$V$1:$V$99997,"FULL")</f>
        <v>0</v>
      </c>
      <c r="W72" s="17">
        <f t="shared" si="21"/>
        <v>1.2883659999999999</v>
      </c>
      <c r="X72" s="17">
        <v>1.29</v>
      </c>
      <c r="Y72" s="3">
        <f t="shared" si="20"/>
        <v>-1.6340000000001353E-3</v>
      </c>
      <c r="AA72" s="17">
        <f>SUMIFS('FTE Detail'!$O$1:$O$99999,'FTE Detail'!$L$1:$L$99999,"OPDD",'FTE Detail'!$H$1:$H$99999,SFPR!$B72,'FTE Detail'!$R$1:$R$99999,AA$69)+SUMIFS('FTE Detail'!$O$1:$O$99999,'FTE Detail'!$L$1:$L$99999,"OPID",'FTE Detail'!$H$1:$H$99999,SFPR!$B72,'FTE Detail'!$R$1:$R$99999,AA$69)</f>
        <v>0</v>
      </c>
      <c r="AB72" s="17">
        <f>SUMIFS('FTE Detail'!$O$1:$O$99999,'FTE Detail'!$L$1:$L$99999,"OPDD",'FTE Detail'!$H$1:$H$99999,SFPR!$B72,'FTE Detail'!$R$1:$R$99999,AB$69)+SUMIFS('FTE Detail'!$O$1:$O$99999,'FTE Detail'!$L$1:$L$99999,"OPID",'FTE Detail'!$H$1:$H$99999,SFPR!$B72,'FTE Detail'!$R$1:$R$99999,AB$69)</f>
        <v>1</v>
      </c>
      <c r="AC72" s="17">
        <f>SUMIFS('FTE Detail'!$O$1:$O$99999,'FTE Detail'!$L$1:$L$99999,"OPDD",'FTE Detail'!$H$1:$H$99999,SFPR!$B72,'FTE Detail'!$R$1:$R$99999,AC$69)+SUMIFS('FTE Detail'!$O$1:$O$99999,'FTE Detail'!$L$1:$L$99999,"OPID",'FTE Detail'!$H$1:$H$99999,SFPR!$B72,'FTE Detail'!$R$1:$R$99999,AC$69)</f>
        <v>0</v>
      </c>
      <c r="AD72" s="17">
        <f>SUMIFS('FTE Detail'!$O$1:$O$99999,'FTE Detail'!$L$1:$L$99999,"OPDD",'FTE Detail'!$H$1:$H$99999,SFPR!$B72,'FTE Detail'!$R$1:$R$99999,AD$69)+SUMIFS('FTE Detail'!$O$1:$O$99999,'FTE Detail'!$L$1:$L$99999,"OPID",'FTE Detail'!$H$1:$H$99999,SFPR!$B72,'FTE Detail'!$R$1:$R$99999,AD$69)</f>
        <v>0</v>
      </c>
      <c r="AE72" s="17">
        <f>SUMIFS('FTE Detail'!$O$1:$O$99999,'FTE Detail'!$L$1:$L$99999,"OPDD",'FTE Detail'!$H$1:$H$99999,SFPR!$B72,'FTE Detail'!$R$1:$R$99999,AE$69)+SUMIFS('FTE Detail'!$O$1:$O$99999,'FTE Detail'!$L$1:$L$99999,"OPID",'FTE Detail'!$H$1:$H$99999,SFPR!$B72,'FTE Detail'!$R$1:$R$99999,AE$69)</f>
        <v>0</v>
      </c>
      <c r="AF72" s="17">
        <f>SUMIFS('FTE Detail'!$O$1:$O$99999,'FTE Detail'!$L$1:$L$99999,"OPDD",'FTE Detail'!$H$1:$H$99999,SFPR!$B72,'FTE Detail'!$R$1:$R$99999,AF$69)+SUMIFS('FTE Detail'!$O$1:$O$99999,'FTE Detail'!$L$1:$L$99999,"OPID",'FTE Detail'!$H$1:$H$99999,SFPR!$B72,'FTE Detail'!$R$1:$R$99999,AF$69)</f>
        <v>0</v>
      </c>
    </row>
    <row r="73" spans="2:32" x14ac:dyDescent="0.3">
      <c r="B73" s="19">
        <v>45328</v>
      </c>
      <c r="C73" t="s">
        <v>3786</v>
      </c>
      <c r="M73" s="17">
        <f>SUMIFS('FTE Detail'!$O$1:$O$99997,'FTE Detail'!$L$1:$L$99997,M$5,'FTE Detail'!$H$1:$H$99997,$B73,'FTE Detail'!$V$1:$V$99997,"FULL")</f>
        <v>5.406174</v>
      </c>
      <c r="N73" s="17">
        <f>SUMIFS('FTE Detail'!$O$1:$O$99997,'FTE Detail'!$L$1:$L$99997,N$5,'FTE Detail'!$H$1:$H$99997,$B73,'FTE Detail'!$V$1:$V$99997,"PART")</f>
        <v>0</v>
      </c>
      <c r="O73" s="17">
        <f>SUMIFS('FTE Detail'!$O$1:$O$99997,'FTE Detail'!$L$1:$L$99997,O$5,'FTE Detail'!$H$1:$H$99997,$B73,'FTE Detail'!$V$1:$V$99997,"FULL")</f>
        <v>0</v>
      </c>
      <c r="P73" s="17">
        <f>SUMIFS('FTE Detail'!$O$1:$O$99997,'FTE Detail'!$L$1:$L$99997,P$5,'FTE Detail'!$H$1:$H$99997,$B73,'FTE Detail'!$V$1:$V$99997,"FULL")</f>
        <v>0</v>
      </c>
      <c r="Q73" s="17">
        <f>SUMIFS('FTE Detail'!$O$1:$O$99997,'FTE Detail'!$L$1:$L$99997,Q$5,'FTE Detail'!$H$1:$H$99997,$B73,'FTE Detail'!$V$1:$V$99997,"FULL")</f>
        <v>0</v>
      </c>
      <c r="W73" s="17">
        <f t="shared" si="21"/>
        <v>5.406174</v>
      </c>
      <c r="X73" s="17">
        <v>5.41</v>
      </c>
      <c r="Y73" s="3">
        <f t="shared" si="20"/>
        <v>-3.8260000000001071E-3</v>
      </c>
      <c r="AA73" s="17">
        <f>SUMIFS('FTE Detail'!$O$1:$O$99999,'FTE Detail'!$L$1:$L$99999,"OPDD",'FTE Detail'!$H$1:$H$99999,SFPR!$B73,'FTE Detail'!$R$1:$R$99999,AA$69)+SUMIFS('FTE Detail'!$O$1:$O$99999,'FTE Detail'!$L$1:$L$99999,"OPID",'FTE Detail'!$H$1:$H$99999,SFPR!$B73,'FTE Detail'!$R$1:$R$99999,AA$69)</f>
        <v>0</v>
      </c>
      <c r="AB73" s="17">
        <f>SUMIFS('FTE Detail'!$O$1:$O$99999,'FTE Detail'!$L$1:$L$99999,"OPDD",'FTE Detail'!$H$1:$H$99999,SFPR!$B73,'FTE Detail'!$R$1:$R$99999,AB$69)+SUMIFS('FTE Detail'!$O$1:$O$99999,'FTE Detail'!$L$1:$L$99999,"OPID",'FTE Detail'!$H$1:$H$99999,SFPR!$B73,'FTE Detail'!$R$1:$R$99999,AB$69)</f>
        <v>0</v>
      </c>
      <c r="AC73" s="17">
        <f>SUMIFS('FTE Detail'!$O$1:$O$99999,'FTE Detail'!$L$1:$L$99999,"OPDD",'FTE Detail'!$H$1:$H$99999,SFPR!$B73,'FTE Detail'!$R$1:$R$99999,AC$69)+SUMIFS('FTE Detail'!$O$1:$O$99999,'FTE Detail'!$L$1:$L$99999,"OPID",'FTE Detail'!$H$1:$H$99999,SFPR!$B73,'FTE Detail'!$R$1:$R$99999,AC$69)</f>
        <v>0</v>
      </c>
      <c r="AD73" s="17">
        <f>SUMIFS('FTE Detail'!$O$1:$O$99999,'FTE Detail'!$L$1:$L$99999,"OPDD",'FTE Detail'!$H$1:$H$99999,SFPR!$B73,'FTE Detail'!$R$1:$R$99999,AD$69)+SUMIFS('FTE Detail'!$O$1:$O$99999,'FTE Detail'!$L$1:$L$99999,"OPID",'FTE Detail'!$H$1:$H$99999,SFPR!$B73,'FTE Detail'!$R$1:$R$99999,AD$69)</f>
        <v>0</v>
      </c>
      <c r="AE73" s="17">
        <f>SUMIFS('FTE Detail'!$O$1:$O$99999,'FTE Detail'!$L$1:$L$99999,"OPDD",'FTE Detail'!$H$1:$H$99999,SFPR!$B73,'FTE Detail'!$R$1:$R$99999,AE$69)+SUMIFS('FTE Detail'!$O$1:$O$99999,'FTE Detail'!$L$1:$L$99999,"OPID",'FTE Detail'!$H$1:$H$99999,SFPR!$B73,'FTE Detail'!$R$1:$R$99999,AE$69)</f>
        <v>0</v>
      </c>
      <c r="AF73" s="17">
        <f>SUMIFS('FTE Detail'!$O$1:$O$99999,'FTE Detail'!$L$1:$L$99999,"OPDD",'FTE Detail'!$H$1:$H$99999,SFPR!$B73,'FTE Detail'!$R$1:$R$99999,AF$69)+SUMIFS('FTE Detail'!$O$1:$O$99999,'FTE Detail'!$L$1:$L$99999,"OPID",'FTE Detail'!$H$1:$H$99999,SFPR!$B73,'FTE Detail'!$R$1:$R$99999,AF$69)</f>
        <v>0</v>
      </c>
    </row>
    <row r="74" spans="2:32" x14ac:dyDescent="0.3">
      <c r="B74" s="19">
        <v>45443</v>
      </c>
      <c r="C74" t="s">
        <v>3787</v>
      </c>
      <c r="M74" s="17">
        <f>SUMIFS('FTE Detail'!$O$1:$O$99997,'FTE Detail'!$L$1:$L$99997,M$5,'FTE Detail'!$H$1:$H$99997,$B74,'FTE Detail'!$V$1:$V$99997,"FULL")</f>
        <v>1</v>
      </c>
      <c r="N74" s="17">
        <f>SUMIFS('FTE Detail'!$O$1:$O$99997,'FTE Detail'!$L$1:$L$99997,N$5,'FTE Detail'!$H$1:$H$99997,$B74,'FTE Detail'!$V$1:$V$99997,"PART")</f>
        <v>0</v>
      </c>
      <c r="O74" s="17">
        <f>SUMIFS('FTE Detail'!$O$1:$O$99997,'FTE Detail'!$L$1:$L$99997,O$5,'FTE Detail'!$H$1:$H$99997,$B74,'FTE Detail'!$V$1:$V$99997,"FULL")</f>
        <v>0</v>
      </c>
      <c r="P74" s="17">
        <f>SUMIFS('FTE Detail'!$O$1:$O$99997,'FTE Detail'!$L$1:$L$99997,P$5,'FTE Detail'!$H$1:$H$99997,$B74,'FTE Detail'!$V$1:$V$99997,"FULL")</f>
        <v>0</v>
      </c>
      <c r="Q74" s="17">
        <f>SUMIFS('FTE Detail'!$O$1:$O$99997,'FTE Detail'!$L$1:$L$99997,Q$5,'FTE Detail'!$H$1:$H$99997,$B74,'FTE Detail'!$V$1:$V$99997,"FULL")</f>
        <v>0</v>
      </c>
      <c r="W74" s="17">
        <f t="shared" si="21"/>
        <v>1</v>
      </c>
      <c r="X74" s="17">
        <v>1</v>
      </c>
      <c r="Y74" s="3">
        <f t="shared" si="20"/>
        <v>0</v>
      </c>
      <c r="AA74" s="17">
        <f>SUMIFS('FTE Detail'!$O$1:$O$99999,'FTE Detail'!$L$1:$L$99999,"OPDD",'FTE Detail'!$H$1:$H$99999,SFPR!$B74,'FTE Detail'!$R$1:$R$99999,AA$69)+SUMIFS('FTE Detail'!$O$1:$O$99999,'FTE Detail'!$L$1:$L$99999,"OPID",'FTE Detail'!$H$1:$H$99999,SFPR!$B74,'FTE Detail'!$R$1:$R$99999,AA$69)</f>
        <v>0</v>
      </c>
      <c r="AB74" s="17">
        <f>SUMIFS('FTE Detail'!$O$1:$O$99999,'FTE Detail'!$L$1:$L$99999,"OPDD",'FTE Detail'!$H$1:$H$99999,SFPR!$B74,'FTE Detail'!$R$1:$R$99999,AB$69)+SUMIFS('FTE Detail'!$O$1:$O$99999,'FTE Detail'!$L$1:$L$99999,"OPID",'FTE Detail'!$H$1:$H$99999,SFPR!$B74,'FTE Detail'!$R$1:$R$99999,AB$69)</f>
        <v>0</v>
      </c>
      <c r="AC74" s="17">
        <f>SUMIFS('FTE Detail'!$O$1:$O$99999,'FTE Detail'!$L$1:$L$99999,"OPDD",'FTE Detail'!$H$1:$H$99999,SFPR!$B74,'FTE Detail'!$R$1:$R$99999,AC$69)+SUMIFS('FTE Detail'!$O$1:$O$99999,'FTE Detail'!$L$1:$L$99999,"OPID",'FTE Detail'!$H$1:$H$99999,SFPR!$B74,'FTE Detail'!$R$1:$R$99999,AC$69)</f>
        <v>0</v>
      </c>
      <c r="AD74" s="17">
        <f>SUMIFS('FTE Detail'!$O$1:$O$99999,'FTE Detail'!$L$1:$L$99999,"OPDD",'FTE Detail'!$H$1:$H$99999,SFPR!$B74,'FTE Detail'!$R$1:$R$99999,AD$69)+SUMIFS('FTE Detail'!$O$1:$O$99999,'FTE Detail'!$L$1:$L$99999,"OPID",'FTE Detail'!$H$1:$H$99999,SFPR!$B74,'FTE Detail'!$R$1:$R$99999,AD$69)</f>
        <v>0</v>
      </c>
      <c r="AE74" s="17">
        <f>SUMIFS('FTE Detail'!$O$1:$O$99999,'FTE Detail'!$L$1:$L$99999,"OPDD",'FTE Detail'!$H$1:$H$99999,SFPR!$B74,'FTE Detail'!$R$1:$R$99999,AE$69)+SUMIFS('FTE Detail'!$O$1:$O$99999,'FTE Detail'!$L$1:$L$99999,"OPID",'FTE Detail'!$H$1:$H$99999,SFPR!$B74,'FTE Detail'!$R$1:$R$99999,AE$69)</f>
        <v>0</v>
      </c>
      <c r="AF74" s="17">
        <f>SUMIFS('FTE Detail'!$O$1:$O$99999,'FTE Detail'!$L$1:$L$99999,"OPDD",'FTE Detail'!$H$1:$H$99999,SFPR!$B74,'FTE Detail'!$R$1:$R$99999,AF$69)+SUMIFS('FTE Detail'!$O$1:$O$99999,'FTE Detail'!$L$1:$L$99999,"OPID",'FTE Detail'!$H$1:$H$99999,SFPR!$B74,'FTE Detail'!$R$1:$R$99999,AF$69)</f>
        <v>0</v>
      </c>
    </row>
    <row r="75" spans="2:32" x14ac:dyDescent="0.3">
      <c r="B75" s="19">
        <v>46425</v>
      </c>
      <c r="C75" t="s">
        <v>3788</v>
      </c>
      <c r="M75" s="17">
        <f>SUMIFS('FTE Detail'!$O$1:$O$99997,'FTE Detail'!$L$1:$L$99997,M$5,'FTE Detail'!$H$1:$H$99997,$B75,'FTE Detail'!$V$1:$V$99997,"FULL")</f>
        <v>1</v>
      </c>
      <c r="N75" s="17">
        <f>SUMIFS('FTE Detail'!$O$1:$O$99997,'FTE Detail'!$L$1:$L$99997,N$5,'FTE Detail'!$H$1:$H$99997,$B75,'FTE Detail'!$V$1:$V$99997,"PART")</f>
        <v>0</v>
      </c>
      <c r="O75" s="17">
        <f>SUMIFS('FTE Detail'!$O$1:$O$99997,'FTE Detail'!$L$1:$L$99997,O$5,'FTE Detail'!$H$1:$H$99997,$B75,'FTE Detail'!$V$1:$V$99997,"FULL")</f>
        <v>0</v>
      </c>
      <c r="P75" s="17">
        <f>SUMIFS('FTE Detail'!$O$1:$O$99997,'FTE Detail'!$L$1:$L$99997,P$5,'FTE Detail'!$H$1:$H$99997,$B75,'FTE Detail'!$V$1:$V$99997,"FULL")</f>
        <v>0</v>
      </c>
      <c r="Q75" s="17">
        <f>SUMIFS('FTE Detail'!$O$1:$O$99997,'FTE Detail'!$L$1:$L$99997,Q$5,'FTE Detail'!$H$1:$H$99997,$B75,'FTE Detail'!$V$1:$V$99997,"FULL")</f>
        <v>0</v>
      </c>
      <c r="W75" s="17">
        <f t="shared" ref="W75:W78" si="22">SUM(M75:P75)</f>
        <v>1</v>
      </c>
      <c r="X75" s="17">
        <v>1</v>
      </c>
      <c r="Y75" s="3">
        <f t="shared" ref="Y75:Y78" si="23">W75-X75</f>
        <v>0</v>
      </c>
      <c r="AA75" s="17"/>
      <c r="AB75" s="17"/>
      <c r="AC75" s="17"/>
      <c r="AD75" s="17"/>
      <c r="AE75" s="17"/>
      <c r="AF75" s="17"/>
    </row>
    <row r="76" spans="2:32" x14ac:dyDescent="0.3">
      <c r="B76" s="19">
        <v>46433</v>
      </c>
      <c r="C76" t="s">
        <v>3789</v>
      </c>
      <c r="M76" s="17">
        <f>SUMIFS('FTE Detail'!$O$1:$O$99997,'FTE Detail'!$L$1:$L$99997,M$5,'FTE Detail'!$H$1:$H$99997,$B76,'FTE Detail'!$V$1:$V$99997,"FULL")</f>
        <v>3</v>
      </c>
      <c r="N76" s="17">
        <f>SUMIFS('FTE Detail'!$O$1:$O$99997,'FTE Detail'!$L$1:$L$99997,N$5,'FTE Detail'!$H$1:$H$99997,$B76,'FTE Detail'!$V$1:$V$99997,"PART")</f>
        <v>0</v>
      </c>
      <c r="O76" s="17">
        <f>SUMIFS('FTE Detail'!$O$1:$O$99997,'FTE Detail'!$L$1:$L$99997,O$5,'FTE Detail'!$H$1:$H$99997,$B76,'FTE Detail'!$V$1:$V$99997,"FULL")</f>
        <v>0</v>
      </c>
      <c r="P76" s="17">
        <f>SUMIFS('FTE Detail'!$O$1:$O$99997,'FTE Detail'!$L$1:$L$99997,P$5,'FTE Detail'!$H$1:$H$99997,$B76,'FTE Detail'!$V$1:$V$99997,"FULL")</f>
        <v>0</v>
      </c>
      <c r="Q76" s="17">
        <f>SUMIFS('FTE Detail'!$O$1:$O$99997,'FTE Detail'!$L$1:$L$99997,Q$5,'FTE Detail'!$H$1:$H$99997,$B76,'FTE Detail'!$V$1:$V$99997,"FULL")</f>
        <v>0</v>
      </c>
      <c r="W76" s="17">
        <f t="shared" si="22"/>
        <v>3</v>
      </c>
      <c r="X76" s="17">
        <v>3</v>
      </c>
      <c r="Y76" s="3">
        <f t="shared" si="23"/>
        <v>0</v>
      </c>
      <c r="AA76" s="17"/>
      <c r="AB76" s="17"/>
      <c r="AC76" s="17"/>
      <c r="AD76" s="17"/>
      <c r="AE76" s="17"/>
      <c r="AF76" s="17"/>
    </row>
    <row r="77" spans="2:32" x14ac:dyDescent="0.3">
      <c r="B77" s="19">
        <v>46441</v>
      </c>
      <c r="C77" t="s">
        <v>3790</v>
      </c>
      <c r="M77" s="17">
        <f>SUMIFS('FTE Detail'!$O$1:$O$99997,'FTE Detail'!$L$1:$L$99997,M$5,'FTE Detail'!$H$1:$H$99997,$B77,'FTE Detail'!$V$1:$V$99997,"FULL")</f>
        <v>0.28550900000000001</v>
      </c>
      <c r="N77" s="17">
        <f>SUMIFS('FTE Detail'!$O$1:$O$99997,'FTE Detail'!$L$1:$L$99997,N$5,'FTE Detail'!$H$1:$H$99997,$B77,'FTE Detail'!$V$1:$V$99997,"PART")</f>
        <v>0</v>
      </c>
      <c r="O77" s="17">
        <f>SUMIFS('FTE Detail'!$O$1:$O$99997,'FTE Detail'!$L$1:$L$99997,O$5,'FTE Detail'!$H$1:$H$99997,$B77,'FTE Detail'!$V$1:$V$99997,"FULL")</f>
        <v>0</v>
      </c>
      <c r="P77" s="17">
        <f>SUMIFS('FTE Detail'!$O$1:$O$99997,'FTE Detail'!$L$1:$L$99997,P$5,'FTE Detail'!$H$1:$H$99997,$B77,'FTE Detail'!$V$1:$V$99997,"FULL")</f>
        <v>0</v>
      </c>
      <c r="Q77" s="17">
        <f>SUMIFS('FTE Detail'!$O$1:$O$99997,'FTE Detail'!$L$1:$L$99997,Q$5,'FTE Detail'!$H$1:$H$99997,$B77,'FTE Detail'!$V$1:$V$99997,"FULL")</f>
        <v>0</v>
      </c>
      <c r="W77" s="17">
        <f t="shared" si="22"/>
        <v>0.28550900000000001</v>
      </c>
      <c r="X77" s="17">
        <v>0.28999999999999998</v>
      </c>
      <c r="Y77" s="3">
        <f t="shared" si="23"/>
        <v>-4.4909999999999672E-3</v>
      </c>
      <c r="AA77" s="17"/>
      <c r="AB77" s="17"/>
      <c r="AC77" s="17"/>
      <c r="AD77" s="17"/>
      <c r="AE77" s="17"/>
      <c r="AF77" s="17"/>
    </row>
    <row r="78" spans="2:32" x14ac:dyDescent="0.3">
      <c r="B78" s="19">
        <v>48298</v>
      </c>
      <c r="C78" t="s">
        <v>3791</v>
      </c>
      <c r="M78" s="17">
        <f>SUMIFS('FTE Detail'!$O$1:$O$99997,'FTE Detail'!$L$1:$L$99997,M$5,'FTE Detail'!$H$1:$H$99997,$B78,'FTE Detail'!$V$1:$V$99997,"FULL")</f>
        <v>8</v>
      </c>
      <c r="N78" s="17">
        <f>SUMIFS('FTE Detail'!$O$1:$O$99997,'FTE Detail'!$L$1:$L$99997,N$5,'FTE Detail'!$H$1:$H$99997,$B78,'FTE Detail'!$V$1:$V$99997,"PART")</f>
        <v>0</v>
      </c>
      <c r="O78" s="17">
        <f>SUMIFS('FTE Detail'!$O$1:$O$99997,'FTE Detail'!$L$1:$L$99997,O$5,'FTE Detail'!$H$1:$H$99997,$B78,'FTE Detail'!$V$1:$V$99997,"FULL")</f>
        <v>0</v>
      </c>
      <c r="P78" s="17">
        <f>SUMIFS('FTE Detail'!$O$1:$O$99997,'FTE Detail'!$L$1:$L$99997,P$5,'FTE Detail'!$H$1:$H$99997,$B78,'FTE Detail'!$V$1:$V$99997,"FULL")</f>
        <v>0</v>
      </c>
      <c r="Q78" s="17">
        <f>SUMIFS('FTE Detail'!$O$1:$O$99997,'FTE Detail'!$L$1:$L$99997,Q$5,'FTE Detail'!$H$1:$H$99997,$B78,'FTE Detail'!$V$1:$V$99997,"FULL")</f>
        <v>0</v>
      </c>
      <c r="W78" s="17">
        <f t="shared" si="22"/>
        <v>8</v>
      </c>
      <c r="X78" s="17">
        <v>8</v>
      </c>
      <c r="Y78" s="3">
        <f t="shared" si="23"/>
        <v>0</v>
      </c>
      <c r="AA78" s="17"/>
      <c r="AB78" s="17"/>
      <c r="AC78" s="17"/>
      <c r="AD78" s="17"/>
      <c r="AE78" s="17"/>
      <c r="AF78" s="17"/>
    </row>
    <row r="79" spans="2:32" x14ac:dyDescent="0.3">
      <c r="B79" s="19">
        <v>48322</v>
      </c>
      <c r="C79" t="s">
        <v>3792</v>
      </c>
      <c r="M79" s="17">
        <f>SUMIFS('FTE Detail'!$O$1:$O$99997,'FTE Detail'!$L$1:$L$99997,M$5,'FTE Detail'!$H$1:$H$99997,$B79,'FTE Detail'!$V$1:$V$99997,"FULL")</f>
        <v>1.3112759999999999</v>
      </c>
      <c r="N79" s="17">
        <f>SUMIFS('FTE Detail'!$O$1:$O$99997,'FTE Detail'!$L$1:$L$99997,N$5,'FTE Detail'!$H$1:$H$99997,$B79,'FTE Detail'!$V$1:$V$99997,"PART")</f>
        <v>0</v>
      </c>
      <c r="O79" s="17">
        <f>SUMIFS('FTE Detail'!$O$1:$O$99997,'FTE Detail'!$L$1:$L$99997,O$5,'FTE Detail'!$H$1:$H$99997,$B79,'FTE Detail'!$V$1:$V$99997,"FULL")</f>
        <v>0</v>
      </c>
      <c r="P79" s="17">
        <f>SUMIFS('FTE Detail'!$O$1:$O$99997,'FTE Detail'!$L$1:$L$99997,P$5,'FTE Detail'!$H$1:$H$99997,$B79,'FTE Detail'!$V$1:$V$99997,"FULL")</f>
        <v>0</v>
      </c>
      <c r="Q79" s="17">
        <f>SUMIFS('FTE Detail'!$O$1:$O$99997,'FTE Detail'!$L$1:$L$99997,Q$5,'FTE Detail'!$H$1:$H$99997,$B79,'FTE Detail'!$V$1:$V$99997,"FULL")</f>
        <v>0</v>
      </c>
      <c r="W79" s="17">
        <f t="shared" si="21"/>
        <v>1.3112759999999999</v>
      </c>
      <c r="X79" s="17">
        <v>1.31</v>
      </c>
      <c r="Y79" s="3">
        <f t="shared" si="20"/>
        <v>1.2759999999998328E-3</v>
      </c>
      <c r="AA79" s="17">
        <f>SUMIFS('FTE Detail'!$O$1:$O$99999,'FTE Detail'!$L$1:$L$99999,"OPDD",'FTE Detail'!$H$1:$H$99999,SFPR!$B79,'FTE Detail'!$R$1:$R$99999,AA$69)+SUMIFS('FTE Detail'!$O$1:$O$99999,'FTE Detail'!$L$1:$L$99999,"OPID",'FTE Detail'!$H$1:$H$99999,SFPR!$B79,'FTE Detail'!$R$1:$R$99999,AA$69)</f>
        <v>0</v>
      </c>
      <c r="AB79" s="17">
        <f>SUMIFS('FTE Detail'!$O$1:$O$99999,'FTE Detail'!$L$1:$L$99999,"OPDD",'FTE Detail'!$H$1:$H$99999,SFPR!$B79,'FTE Detail'!$R$1:$R$99999,AB$69)+SUMIFS('FTE Detail'!$O$1:$O$99999,'FTE Detail'!$L$1:$L$99999,"OPID",'FTE Detail'!$H$1:$H$99999,SFPR!$B79,'FTE Detail'!$R$1:$R$99999,AB$69)</f>
        <v>0</v>
      </c>
      <c r="AC79" s="17">
        <f>SUMIFS('FTE Detail'!$O$1:$O$99999,'FTE Detail'!$L$1:$L$99999,"OPDD",'FTE Detail'!$H$1:$H$99999,SFPR!$B79,'FTE Detail'!$R$1:$R$99999,AC$69)+SUMIFS('FTE Detail'!$O$1:$O$99999,'FTE Detail'!$L$1:$L$99999,"OPID",'FTE Detail'!$H$1:$H$99999,SFPR!$B79,'FTE Detail'!$R$1:$R$99999,AC$69)</f>
        <v>0</v>
      </c>
      <c r="AD79" s="17">
        <f>SUMIFS('FTE Detail'!$O$1:$O$99999,'FTE Detail'!$L$1:$L$99999,"OPDD",'FTE Detail'!$H$1:$H$99999,SFPR!$B79,'FTE Detail'!$R$1:$R$99999,AD$69)+SUMIFS('FTE Detail'!$O$1:$O$99999,'FTE Detail'!$L$1:$L$99999,"OPID",'FTE Detail'!$H$1:$H$99999,SFPR!$B79,'FTE Detail'!$R$1:$R$99999,AD$69)</f>
        <v>0</v>
      </c>
      <c r="AE79" s="17">
        <f>SUMIFS('FTE Detail'!$O$1:$O$99999,'FTE Detail'!$L$1:$L$99999,"OPDD",'FTE Detail'!$H$1:$H$99999,SFPR!$B79,'FTE Detail'!$R$1:$R$99999,AE$69)+SUMIFS('FTE Detail'!$O$1:$O$99999,'FTE Detail'!$L$1:$L$99999,"OPID",'FTE Detail'!$H$1:$H$99999,SFPR!$B79,'FTE Detail'!$R$1:$R$99999,AE$69)</f>
        <v>0</v>
      </c>
      <c r="AF79" s="17">
        <f>SUMIFS('FTE Detail'!$O$1:$O$99999,'FTE Detail'!$L$1:$L$99999,"OPDD",'FTE Detail'!$H$1:$H$99999,SFPR!$B79,'FTE Detail'!$R$1:$R$99999,AF$69)+SUMIFS('FTE Detail'!$O$1:$O$99999,'FTE Detail'!$L$1:$L$99999,"OPID",'FTE Detail'!$H$1:$H$99999,SFPR!$B79,'FTE Detail'!$R$1:$R$99999,AF$69)</f>
        <v>0</v>
      </c>
    </row>
    <row r="80" spans="2:32" x14ac:dyDescent="0.3">
      <c r="B80" s="19">
        <v>48363</v>
      </c>
      <c r="C80" t="s">
        <v>3803</v>
      </c>
      <c r="M80" s="17">
        <f>SUMIFS('FTE Detail'!$O$1:$O$99997,'FTE Detail'!$L$1:$L$99997,M$5,'FTE Detail'!$H$1:$H$99997,$B80,'FTE Detail'!$V$1:$V$99997,"FULL")</f>
        <v>55.456510999999999</v>
      </c>
      <c r="N80" s="17">
        <f>SUMIFS('FTE Detail'!$O$1:$O$99997,'FTE Detail'!$L$1:$L$99997,N$5,'FTE Detail'!$H$1:$H$99997,$B80,'FTE Detail'!$V$1:$V$99997,"PART")</f>
        <v>0</v>
      </c>
      <c r="O80" s="17">
        <f>SUMIFS('FTE Detail'!$O$1:$O$99997,'FTE Detail'!$L$1:$L$99997,O$5,'FTE Detail'!$H$1:$H$99997,$B80,'FTE Detail'!$V$1:$V$99997,"FULL")</f>
        <v>0</v>
      </c>
      <c r="P80" s="17">
        <f>SUMIFS('FTE Detail'!$O$1:$O$99997,'FTE Detail'!$L$1:$L$99997,P$5,'FTE Detail'!$H$1:$H$99997,$B80,'FTE Detail'!$V$1:$V$99997,"FULL")</f>
        <v>0</v>
      </c>
      <c r="Q80" s="17">
        <f>SUMIFS('FTE Detail'!$O$1:$O$99997,'FTE Detail'!$L$1:$L$99997,Q$5,'FTE Detail'!$H$1:$H$99997,$B80,'FTE Detail'!$V$1:$V$99997,"FULL")</f>
        <v>0</v>
      </c>
      <c r="W80" s="17">
        <f t="shared" si="21"/>
        <v>55.456510999999999</v>
      </c>
      <c r="X80" s="17">
        <v>56.65</v>
      </c>
      <c r="Y80" s="3">
        <f t="shared" si="20"/>
        <v>-1.1934889999999996</v>
      </c>
      <c r="AA80" s="17">
        <f>SUMIFS('FTE Detail'!$O$1:$O$99999,'FTE Detail'!$L$1:$L$99999,"OPDD",'FTE Detail'!$H$1:$H$99999,SFPR!$B80,'FTE Detail'!$R$1:$R$99999,AA$69)+SUMIFS('FTE Detail'!$O$1:$O$99999,'FTE Detail'!$L$1:$L$99999,"OPID",'FTE Detail'!$H$1:$H$99999,SFPR!$B80,'FTE Detail'!$R$1:$R$99999,AA$69)</f>
        <v>0</v>
      </c>
      <c r="AB80" s="17">
        <f>SUMIFS('FTE Detail'!$O$1:$O$99999,'FTE Detail'!$L$1:$L$99999,"OPDD",'FTE Detail'!$H$1:$H$99999,SFPR!$B80,'FTE Detail'!$R$1:$R$99999,AB$69)+SUMIFS('FTE Detail'!$O$1:$O$99999,'FTE Detail'!$L$1:$L$99999,"OPID",'FTE Detail'!$H$1:$H$99999,SFPR!$B80,'FTE Detail'!$R$1:$R$99999,AB$69)</f>
        <v>3.0829629999999999</v>
      </c>
      <c r="AC80" s="17">
        <f>SUMIFS('FTE Detail'!$O$1:$O$99999,'FTE Detail'!$L$1:$L$99999,"OPDD",'FTE Detail'!$H$1:$H$99999,SFPR!$B80,'FTE Detail'!$R$1:$R$99999,AC$69)+SUMIFS('FTE Detail'!$O$1:$O$99999,'FTE Detail'!$L$1:$L$99999,"OPID",'FTE Detail'!$H$1:$H$99999,SFPR!$B80,'FTE Detail'!$R$1:$R$99999,AC$69)</f>
        <v>1</v>
      </c>
      <c r="AD80" s="17">
        <f>SUMIFS('FTE Detail'!$O$1:$O$99999,'FTE Detail'!$L$1:$L$99999,"OPDD",'FTE Detail'!$H$1:$H$99999,SFPR!$B80,'FTE Detail'!$R$1:$R$99999,AD$69)+SUMIFS('FTE Detail'!$O$1:$O$99999,'FTE Detail'!$L$1:$L$99999,"OPID",'FTE Detail'!$H$1:$H$99999,SFPR!$B80,'FTE Detail'!$R$1:$R$99999,AD$69)</f>
        <v>0</v>
      </c>
      <c r="AE80" s="17">
        <f>SUMIFS('FTE Detail'!$O$1:$O$99999,'FTE Detail'!$L$1:$L$99999,"OPDD",'FTE Detail'!$H$1:$H$99999,SFPR!$B80,'FTE Detail'!$R$1:$R$99999,AE$69)+SUMIFS('FTE Detail'!$O$1:$O$99999,'FTE Detail'!$L$1:$L$99999,"OPID",'FTE Detail'!$H$1:$H$99999,SFPR!$B80,'FTE Detail'!$R$1:$R$99999,AE$69)</f>
        <v>0</v>
      </c>
      <c r="AF80" s="17">
        <f>SUMIFS('FTE Detail'!$O$1:$O$99999,'FTE Detail'!$L$1:$L$99999,"OPDD",'FTE Detail'!$H$1:$H$99999,SFPR!$B80,'FTE Detail'!$R$1:$R$99999,AF$69)+SUMIFS('FTE Detail'!$O$1:$O$99999,'FTE Detail'!$L$1:$L$99999,"OPID",'FTE Detail'!$H$1:$H$99999,SFPR!$B80,'FTE Detail'!$R$1:$R$99999,AF$69)</f>
        <v>0</v>
      </c>
    </row>
    <row r="81" spans="2:32" x14ac:dyDescent="0.3">
      <c r="B81" s="19">
        <v>48397</v>
      </c>
      <c r="C81" t="s">
        <v>3806</v>
      </c>
      <c r="M81" s="17">
        <f>SUMIFS('FTE Detail'!$O$1:$O$99997,'FTE Detail'!$L$1:$L$99997,M$5,'FTE Detail'!$H$1:$H$99997,$B81,'FTE Detail'!$V$1:$V$99997,"FULL")</f>
        <v>35</v>
      </c>
      <c r="N81" s="17">
        <f>SUMIFS('FTE Detail'!$O$1:$O$99997,'FTE Detail'!$L$1:$L$99997,N$5,'FTE Detail'!$H$1:$H$99997,$B81,'FTE Detail'!$V$1:$V$99997,"PART")</f>
        <v>0</v>
      </c>
      <c r="O81" s="17">
        <f>SUMIFS('FTE Detail'!$O$1:$O$99997,'FTE Detail'!$L$1:$L$99997,O$5,'FTE Detail'!$H$1:$H$99997,$B81,'FTE Detail'!$V$1:$V$99997,"FULL")</f>
        <v>0</v>
      </c>
      <c r="P81" s="17">
        <f>SUMIFS('FTE Detail'!$O$1:$O$99997,'FTE Detail'!$L$1:$L$99997,P$5,'FTE Detail'!$H$1:$H$99997,$B81,'FTE Detail'!$V$1:$V$99997,"FULL")</f>
        <v>0</v>
      </c>
      <c r="Q81" s="17">
        <f>SUMIFS('FTE Detail'!$O$1:$O$99997,'FTE Detail'!$L$1:$L$99997,Q$5,'FTE Detail'!$H$1:$H$99997,$B81,'FTE Detail'!$V$1:$V$99997,"FULL")</f>
        <v>0</v>
      </c>
      <c r="W81" s="17">
        <f t="shared" si="21"/>
        <v>35</v>
      </c>
      <c r="X81" s="17">
        <v>39</v>
      </c>
      <c r="Y81" s="3">
        <f t="shared" si="20"/>
        <v>-4</v>
      </c>
      <c r="AA81" s="17">
        <f>SUMIFS('FTE Detail'!$O$1:$O$99999,'FTE Detail'!$L$1:$L$99999,"OPDD",'FTE Detail'!$H$1:$H$99999,SFPR!$B81,'FTE Detail'!$R$1:$R$99999,AA$69)+SUMIFS('FTE Detail'!$O$1:$O$99999,'FTE Detail'!$L$1:$L$99999,"OPID",'FTE Detail'!$H$1:$H$99999,SFPR!$B81,'FTE Detail'!$R$1:$R$99999,AA$69)</f>
        <v>2</v>
      </c>
      <c r="AB81" s="17">
        <f>SUMIFS('FTE Detail'!$O$1:$O$99999,'FTE Detail'!$L$1:$L$99999,"OPDD",'FTE Detail'!$H$1:$H$99999,SFPR!$B81,'FTE Detail'!$R$1:$R$99999,AB$69)+SUMIFS('FTE Detail'!$O$1:$O$99999,'FTE Detail'!$L$1:$L$99999,"OPID",'FTE Detail'!$H$1:$H$99999,SFPR!$B81,'FTE Detail'!$R$1:$R$99999,AB$69)</f>
        <v>7</v>
      </c>
      <c r="AC81" s="17">
        <f>SUMIFS('FTE Detail'!$O$1:$O$99999,'FTE Detail'!$L$1:$L$99999,"OPDD",'FTE Detail'!$H$1:$H$99999,SFPR!$B81,'FTE Detail'!$R$1:$R$99999,AC$69)+SUMIFS('FTE Detail'!$O$1:$O$99999,'FTE Detail'!$L$1:$L$99999,"OPID",'FTE Detail'!$H$1:$H$99999,SFPR!$B81,'FTE Detail'!$R$1:$R$99999,AC$69)</f>
        <v>0</v>
      </c>
      <c r="AD81" s="17">
        <f>SUMIFS('FTE Detail'!$O$1:$O$99999,'FTE Detail'!$L$1:$L$99999,"OPDD",'FTE Detail'!$H$1:$H$99999,SFPR!$B81,'FTE Detail'!$R$1:$R$99999,AD$69)+SUMIFS('FTE Detail'!$O$1:$O$99999,'FTE Detail'!$L$1:$L$99999,"OPID",'FTE Detail'!$H$1:$H$99999,SFPR!$B81,'FTE Detail'!$R$1:$R$99999,AD$69)</f>
        <v>0</v>
      </c>
      <c r="AE81" s="17">
        <f>SUMIFS('FTE Detail'!$O$1:$O$99999,'FTE Detail'!$L$1:$L$99999,"OPDD",'FTE Detail'!$H$1:$H$99999,SFPR!$B81,'FTE Detail'!$R$1:$R$99999,AE$69)+SUMIFS('FTE Detail'!$O$1:$O$99999,'FTE Detail'!$L$1:$L$99999,"OPID",'FTE Detail'!$H$1:$H$99999,SFPR!$B81,'FTE Detail'!$R$1:$R$99999,AE$69)</f>
        <v>0</v>
      </c>
      <c r="AF81" s="17">
        <f>SUMIFS('FTE Detail'!$O$1:$O$99999,'FTE Detail'!$L$1:$L$99999,"OPDD",'FTE Detail'!$H$1:$H$99999,SFPR!$B81,'FTE Detail'!$R$1:$R$99999,AF$69)+SUMIFS('FTE Detail'!$O$1:$O$99999,'FTE Detail'!$L$1:$L$99999,"OPID",'FTE Detail'!$H$1:$H$99999,SFPR!$B81,'FTE Detail'!$R$1:$R$99999,AF$69)</f>
        <v>0</v>
      </c>
    </row>
    <row r="82" spans="2:32" x14ac:dyDescent="0.3">
      <c r="B82" s="19">
        <v>50187</v>
      </c>
      <c r="C82" t="s">
        <v>3799</v>
      </c>
      <c r="M82" s="17">
        <f>SUMIFS('FTE Detail'!$O$1:$O$99997,'FTE Detail'!$L$1:$L$99997,M$5,'FTE Detail'!$H$1:$H$99997,$B82,'FTE Detail'!$V$1:$V$99997,"FULL")</f>
        <v>1</v>
      </c>
      <c r="N82" s="17">
        <f>SUMIFS('FTE Detail'!$O$1:$O$99997,'FTE Detail'!$L$1:$L$99997,N$5,'FTE Detail'!$H$1:$H$99997,$B82,'FTE Detail'!$V$1:$V$99997,"PART")</f>
        <v>0</v>
      </c>
      <c r="O82" s="17">
        <f>SUMIFS('FTE Detail'!$O$1:$O$99997,'FTE Detail'!$L$1:$L$99997,O$5,'FTE Detail'!$H$1:$H$99997,$B82,'FTE Detail'!$V$1:$V$99997,"FULL")</f>
        <v>0</v>
      </c>
      <c r="P82" s="17">
        <f>SUMIFS('FTE Detail'!$O$1:$O$99997,'FTE Detail'!$L$1:$L$99997,P$5,'FTE Detail'!$H$1:$H$99997,$B82,'FTE Detail'!$V$1:$V$99997,"FULL")</f>
        <v>0</v>
      </c>
      <c r="Q82" s="17">
        <f>SUMIFS('FTE Detail'!$O$1:$O$99997,'FTE Detail'!$L$1:$L$99997,Q$5,'FTE Detail'!$H$1:$H$99997,$B82,'FTE Detail'!$V$1:$V$99997,"FULL")</f>
        <v>0</v>
      </c>
      <c r="W82" s="17">
        <f t="shared" si="21"/>
        <v>1</v>
      </c>
      <c r="X82" s="17">
        <v>1</v>
      </c>
      <c r="Y82" s="3">
        <f t="shared" si="20"/>
        <v>0</v>
      </c>
      <c r="AA82" s="17">
        <f>SUMIFS('FTE Detail'!$O$1:$O$99999,'FTE Detail'!$L$1:$L$99999,"OPDD",'FTE Detail'!$H$1:$H$99999,SFPR!$B82,'FTE Detail'!$R$1:$R$99999,AA$69)+SUMIFS('FTE Detail'!$O$1:$O$99999,'FTE Detail'!$L$1:$L$99999,"OPID",'FTE Detail'!$H$1:$H$99999,SFPR!$B82,'FTE Detail'!$R$1:$R$99999,AA$69)</f>
        <v>0</v>
      </c>
      <c r="AB82" s="17">
        <f>SUMIFS('FTE Detail'!$O$1:$O$99999,'FTE Detail'!$L$1:$L$99999,"OPDD",'FTE Detail'!$H$1:$H$99999,SFPR!$B82,'FTE Detail'!$R$1:$R$99999,AB$69)+SUMIFS('FTE Detail'!$O$1:$O$99999,'FTE Detail'!$L$1:$L$99999,"OPID",'FTE Detail'!$H$1:$H$99999,SFPR!$B82,'FTE Detail'!$R$1:$R$99999,AB$69)</f>
        <v>0</v>
      </c>
      <c r="AC82" s="17">
        <f>SUMIFS('FTE Detail'!$O$1:$O$99999,'FTE Detail'!$L$1:$L$99999,"OPDD",'FTE Detail'!$H$1:$H$99999,SFPR!$B82,'FTE Detail'!$R$1:$R$99999,AC$69)+SUMIFS('FTE Detail'!$O$1:$O$99999,'FTE Detail'!$L$1:$L$99999,"OPID",'FTE Detail'!$H$1:$H$99999,SFPR!$B82,'FTE Detail'!$R$1:$R$99999,AC$69)</f>
        <v>0</v>
      </c>
      <c r="AD82" s="17">
        <f>SUMIFS('FTE Detail'!$O$1:$O$99999,'FTE Detail'!$L$1:$L$99999,"OPDD",'FTE Detail'!$H$1:$H$99999,SFPR!$B82,'FTE Detail'!$R$1:$R$99999,AD$69)+SUMIFS('FTE Detail'!$O$1:$O$99999,'FTE Detail'!$L$1:$L$99999,"OPID",'FTE Detail'!$H$1:$H$99999,SFPR!$B82,'FTE Detail'!$R$1:$R$99999,AD$69)</f>
        <v>0</v>
      </c>
      <c r="AE82" s="17">
        <f>SUMIFS('FTE Detail'!$O$1:$O$99999,'FTE Detail'!$L$1:$L$99999,"OPDD",'FTE Detail'!$H$1:$H$99999,SFPR!$B82,'FTE Detail'!$R$1:$R$99999,AE$69)+SUMIFS('FTE Detail'!$O$1:$O$99999,'FTE Detail'!$L$1:$L$99999,"OPID",'FTE Detail'!$H$1:$H$99999,SFPR!$B82,'FTE Detail'!$R$1:$R$99999,AE$69)</f>
        <v>0</v>
      </c>
      <c r="AF82" s="17">
        <f>SUMIFS('FTE Detail'!$O$1:$O$99999,'FTE Detail'!$L$1:$L$99999,"OPDD",'FTE Detail'!$H$1:$H$99999,SFPR!$B82,'FTE Detail'!$R$1:$R$99999,AF$69)+SUMIFS('FTE Detail'!$O$1:$O$99999,'FTE Detail'!$L$1:$L$99999,"OPID",'FTE Detail'!$H$1:$H$99999,SFPR!$B82,'FTE Detail'!$R$1:$R$99999,AF$69)</f>
        <v>0</v>
      </c>
    </row>
    <row r="83" spans="2:32" x14ac:dyDescent="0.3">
      <c r="B83" s="19">
        <v>50203</v>
      </c>
      <c r="C83" t="s">
        <v>3800</v>
      </c>
      <c r="M83" s="17">
        <f>SUMIFS('FTE Detail'!$O$1:$O$99997,'FTE Detail'!$L$1:$L$99997,M$5,'FTE Detail'!$H$1:$H$99997,$B83,'FTE Detail'!$V$1:$V$99997,"FULL")</f>
        <v>1</v>
      </c>
      <c r="N83" s="17">
        <f>SUMIFS('FTE Detail'!$O$1:$O$99997,'FTE Detail'!$L$1:$L$99997,N$5,'FTE Detail'!$H$1:$H$99997,$B83,'FTE Detail'!$V$1:$V$99997,"PART")</f>
        <v>0</v>
      </c>
      <c r="O83" s="17">
        <f>SUMIFS('FTE Detail'!$O$1:$O$99997,'FTE Detail'!$L$1:$L$99997,O$5,'FTE Detail'!$H$1:$H$99997,$B83,'FTE Detail'!$V$1:$V$99997,"FULL")</f>
        <v>0</v>
      </c>
      <c r="P83" s="17">
        <f>SUMIFS('FTE Detail'!$O$1:$O$99997,'FTE Detail'!$L$1:$L$99997,P$5,'FTE Detail'!$H$1:$H$99997,$B83,'FTE Detail'!$V$1:$V$99997,"FULL")</f>
        <v>0</v>
      </c>
      <c r="Q83" s="17">
        <f>SUMIFS('FTE Detail'!$O$1:$O$99997,'FTE Detail'!$L$1:$L$99997,Q$5,'FTE Detail'!$H$1:$H$99997,$B83,'FTE Detail'!$V$1:$V$99997,"FULL")</f>
        <v>0</v>
      </c>
      <c r="W83" s="17">
        <f t="shared" si="21"/>
        <v>1</v>
      </c>
      <c r="X83" s="17">
        <v>1</v>
      </c>
      <c r="Y83" s="3">
        <f t="shared" si="20"/>
        <v>0</v>
      </c>
      <c r="AA83" s="17">
        <f>SUMIFS('FTE Detail'!$O$1:$O$99999,'FTE Detail'!$L$1:$L$99999,"OPDD",'FTE Detail'!$H$1:$H$99999,SFPR!$B83,'FTE Detail'!$R$1:$R$99999,AA$69)+SUMIFS('FTE Detail'!$O$1:$O$99999,'FTE Detail'!$L$1:$L$99999,"OPID",'FTE Detail'!$H$1:$H$99999,SFPR!$B83,'FTE Detail'!$R$1:$R$99999,AA$69)</f>
        <v>0</v>
      </c>
      <c r="AB83" s="17">
        <f>SUMIFS('FTE Detail'!$O$1:$O$99999,'FTE Detail'!$L$1:$L$99999,"OPDD",'FTE Detail'!$H$1:$H$99999,SFPR!$B83,'FTE Detail'!$R$1:$R$99999,AB$69)+SUMIFS('FTE Detail'!$O$1:$O$99999,'FTE Detail'!$L$1:$L$99999,"OPID",'FTE Detail'!$H$1:$H$99999,SFPR!$B83,'FTE Detail'!$R$1:$R$99999,AB$69)</f>
        <v>0</v>
      </c>
      <c r="AC83" s="17">
        <f>SUMIFS('FTE Detail'!$O$1:$O$99999,'FTE Detail'!$L$1:$L$99999,"OPDD",'FTE Detail'!$H$1:$H$99999,SFPR!$B83,'FTE Detail'!$R$1:$R$99999,AC$69)+SUMIFS('FTE Detail'!$O$1:$O$99999,'FTE Detail'!$L$1:$L$99999,"OPID",'FTE Detail'!$H$1:$H$99999,SFPR!$B83,'FTE Detail'!$R$1:$R$99999,AC$69)</f>
        <v>0</v>
      </c>
      <c r="AD83" s="17">
        <f>SUMIFS('FTE Detail'!$O$1:$O$99999,'FTE Detail'!$L$1:$L$99999,"OPDD",'FTE Detail'!$H$1:$H$99999,SFPR!$B83,'FTE Detail'!$R$1:$R$99999,AD$69)+SUMIFS('FTE Detail'!$O$1:$O$99999,'FTE Detail'!$L$1:$L$99999,"OPID",'FTE Detail'!$H$1:$H$99999,SFPR!$B83,'FTE Detail'!$R$1:$R$99999,AD$69)</f>
        <v>0</v>
      </c>
      <c r="AE83" s="17">
        <f>SUMIFS('FTE Detail'!$O$1:$O$99999,'FTE Detail'!$L$1:$L$99999,"OPDD",'FTE Detail'!$H$1:$H$99999,SFPR!$B83,'FTE Detail'!$R$1:$R$99999,AE$69)+SUMIFS('FTE Detail'!$O$1:$O$99999,'FTE Detail'!$L$1:$L$99999,"OPID",'FTE Detail'!$H$1:$H$99999,SFPR!$B83,'FTE Detail'!$R$1:$R$99999,AE$69)</f>
        <v>0</v>
      </c>
      <c r="AF83" s="17">
        <f>SUMIFS('FTE Detail'!$O$1:$O$99999,'FTE Detail'!$L$1:$L$99999,"OPDD",'FTE Detail'!$H$1:$H$99999,SFPR!$B83,'FTE Detail'!$R$1:$R$99999,AF$69)+SUMIFS('FTE Detail'!$O$1:$O$99999,'FTE Detail'!$L$1:$L$99999,"OPID",'FTE Detail'!$H$1:$H$99999,SFPR!$B83,'FTE Detail'!$R$1:$R$99999,AF$69)</f>
        <v>0</v>
      </c>
    </row>
    <row r="84" spans="2:32" x14ac:dyDescent="0.3">
      <c r="B84" s="19">
        <v>50229</v>
      </c>
      <c r="C84" t="s">
        <v>3801</v>
      </c>
      <c r="M84" s="17">
        <f>SUMIFS('FTE Detail'!$O$1:$O$99997,'FTE Detail'!$L$1:$L$99997,M$5,'FTE Detail'!$H$1:$H$99997,$B84,'FTE Detail'!$V$1:$V$99997,"FULL")</f>
        <v>1</v>
      </c>
      <c r="N84" s="17">
        <f>SUMIFS('FTE Detail'!$O$1:$O$99997,'FTE Detail'!$L$1:$L$99997,N$5,'FTE Detail'!$H$1:$H$99997,$B84,'FTE Detail'!$V$1:$V$99997,"PART")</f>
        <v>0</v>
      </c>
      <c r="O84" s="17">
        <f>SUMIFS('FTE Detail'!$O$1:$O$99997,'FTE Detail'!$L$1:$L$99997,O$5,'FTE Detail'!$H$1:$H$99997,$B84,'FTE Detail'!$V$1:$V$99997,"FULL")</f>
        <v>0</v>
      </c>
      <c r="P84" s="17">
        <f>SUMIFS('FTE Detail'!$O$1:$O$99997,'FTE Detail'!$L$1:$L$99997,P$5,'FTE Detail'!$H$1:$H$99997,$B84,'FTE Detail'!$V$1:$V$99997,"FULL")</f>
        <v>0</v>
      </c>
      <c r="Q84" s="17">
        <f>SUMIFS('FTE Detail'!$O$1:$O$99997,'FTE Detail'!$L$1:$L$99997,Q$5,'FTE Detail'!$H$1:$H$99997,$B84,'FTE Detail'!$V$1:$V$99997,"FULL")</f>
        <v>0</v>
      </c>
      <c r="W84" s="17">
        <f t="shared" si="21"/>
        <v>1</v>
      </c>
      <c r="X84" s="17">
        <v>1</v>
      </c>
      <c r="Y84" s="3">
        <f t="shared" si="20"/>
        <v>0</v>
      </c>
      <c r="AA84" s="17">
        <f>SUMIFS('FTE Detail'!$O$1:$O$99999,'FTE Detail'!$L$1:$L$99999,"OPDD",'FTE Detail'!$H$1:$H$99999,SFPR!$B84,'FTE Detail'!$R$1:$R$99999,AA$69)+SUMIFS('FTE Detail'!$O$1:$O$99999,'FTE Detail'!$L$1:$L$99999,"OPID",'FTE Detail'!$H$1:$H$99999,SFPR!$B84,'FTE Detail'!$R$1:$R$99999,AA$69)</f>
        <v>0</v>
      </c>
      <c r="AB84" s="17">
        <f>SUMIFS('FTE Detail'!$O$1:$O$99999,'FTE Detail'!$L$1:$L$99999,"OPDD",'FTE Detail'!$H$1:$H$99999,SFPR!$B84,'FTE Detail'!$R$1:$R$99999,AB$69)+SUMIFS('FTE Detail'!$O$1:$O$99999,'FTE Detail'!$L$1:$L$99999,"OPID",'FTE Detail'!$H$1:$H$99999,SFPR!$B84,'FTE Detail'!$R$1:$R$99999,AB$69)</f>
        <v>0</v>
      </c>
      <c r="AC84" s="17">
        <f>SUMIFS('FTE Detail'!$O$1:$O$99999,'FTE Detail'!$L$1:$L$99999,"OPDD",'FTE Detail'!$H$1:$H$99999,SFPR!$B84,'FTE Detail'!$R$1:$R$99999,AC$69)+SUMIFS('FTE Detail'!$O$1:$O$99999,'FTE Detail'!$L$1:$L$99999,"OPID",'FTE Detail'!$H$1:$H$99999,SFPR!$B84,'FTE Detail'!$R$1:$R$99999,AC$69)</f>
        <v>0</v>
      </c>
      <c r="AD84" s="17">
        <f>SUMIFS('FTE Detail'!$O$1:$O$99999,'FTE Detail'!$L$1:$L$99999,"OPDD",'FTE Detail'!$H$1:$H$99999,SFPR!$B84,'FTE Detail'!$R$1:$R$99999,AD$69)+SUMIFS('FTE Detail'!$O$1:$O$99999,'FTE Detail'!$L$1:$L$99999,"OPID",'FTE Detail'!$H$1:$H$99999,SFPR!$B84,'FTE Detail'!$R$1:$R$99999,AD$69)</f>
        <v>0</v>
      </c>
      <c r="AE84" s="17">
        <f>SUMIFS('FTE Detail'!$O$1:$O$99999,'FTE Detail'!$L$1:$L$99999,"OPDD",'FTE Detail'!$H$1:$H$99999,SFPR!$B84,'FTE Detail'!$R$1:$R$99999,AE$69)+SUMIFS('FTE Detail'!$O$1:$O$99999,'FTE Detail'!$L$1:$L$99999,"OPID",'FTE Detail'!$H$1:$H$99999,SFPR!$B84,'FTE Detail'!$R$1:$R$99999,AE$69)</f>
        <v>0</v>
      </c>
      <c r="AF84" s="17">
        <f>SUMIFS('FTE Detail'!$O$1:$O$99999,'FTE Detail'!$L$1:$L$99999,"OPDD",'FTE Detail'!$H$1:$H$99999,SFPR!$B84,'FTE Detail'!$R$1:$R$99999,AF$69)+SUMIFS('FTE Detail'!$O$1:$O$99999,'FTE Detail'!$L$1:$L$99999,"OPID",'FTE Detail'!$H$1:$H$99999,SFPR!$B84,'FTE Detail'!$R$1:$R$99999,AF$69)</f>
        <v>0</v>
      </c>
    </row>
    <row r="85" spans="2:32" x14ac:dyDescent="0.3">
      <c r="B85" s="78">
        <v>50252</v>
      </c>
      <c r="C85" t="s">
        <v>3810</v>
      </c>
      <c r="M85" s="17">
        <f>SUMIFS('FTE Detail'!$O$1:$O$99997,'FTE Detail'!$L$1:$L$99997,M$5,'FTE Detail'!$H$1:$H$99997,$B85,'FTE Detail'!$V$1:$V$99997,"FULL")</f>
        <v>4.4063680000000005</v>
      </c>
      <c r="N85" s="17">
        <f>SUMIFS('FTE Detail'!$O$1:$O$99997,'FTE Detail'!$L$1:$L$99997,N$5,'FTE Detail'!$H$1:$H$99997,$B85,'FTE Detail'!$V$1:$V$99997,"PART")</f>
        <v>0</v>
      </c>
      <c r="O85" s="17">
        <f>SUMIFS('FTE Detail'!$O$1:$O$99997,'FTE Detail'!$L$1:$L$99997,O$5,'FTE Detail'!$H$1:$H$99997,$B85,'FTE Detail'!$V$1:$V$99997,"FULL")</f>
        <v>0</v>
      </c>
      <c r="P85" s="17">
        <f>SUMIFS('FTE Detail'!$O$1:$O$99997,'FTE Detail'!$L$1:$L$99997,P$5,'FTE Detail'!$H$1:$H$99997,$B85,'FTE Detail'!$V$1:$V$99997,"FULL")</f>
        <v>0</v>
      </c>
      <c r="Q85" s="17">
        <f>SUMIFS('FTE Detail'!$O$1:$O$99997,'FTE Detail'!$L$1:$L$99997,Q$5,'FTE Detail'!$H$1:$H$99997,$B85,'FTE Detail'!$V$1:$V$99997,"FULL")</f>
        <v>0</v>
      </c>
      <c r="W85" s="17">
        <f t="shared" si="21"/>
        <v>4.4063680000000005</v>
      </c>
      <c r="X85" s="17">
        <v>5.01</v>
      </c>
      <c r="Y85" s="3">
        <f t="shared" si="20"/>
        <v>-0.60363199999999928</v>
      </c>
      <c r="AA85" s="17">
        <f>SUMIFS('FTE Detail'!$O$1:$O$99999,'FTE Detail'!$L$1:$L$99999,"OPDD",'FTE Detail'!$H$1:$H$99999,SFPR!$B85,'FTE Detail'!$R$1:$R$99999,AA$69)+SUMIFS('FTE Detail'!$O$1:$O$99999,'FTE Detail'!$L$1:$L$99999,"OPID",'FTE Detail'!$H$1:$H$99999,SFPR!$B85,'FTE Detail'!$R$1:$R$99999,AA$69)</f>
        <v>0</v>
      </c>
      <c r="AB85" s="17">
        <f>SUMIFS('FTE Detail'!$O$1:$O$99999,'FTE Detail'!$L$1:$L$99999,"OPDD",'FTE Detail'!$H$1:$H$99999,SFPR!$B85,'FTE Detail'!$R$1:$R$99999,AB$69)+SUMIFS('FTE Detail'!$O$1:$O$99999,'FTE Detail'!$L$1:$L$99999,"OPID",'FTE Detail'!$H$1:$H$99999,SFPR!$B85,'FTE Detail'!$R$1:$R$99999,AB$69)</f>
        <v>0.40636800000000001</v>
      </c>
      <c r="AC85" s="17">
        <f>SUMIFS('FTE Detail'!$O$1:$O$99999,'FTE Detail'!$L$1:$L$99999,"OPDD",'FTE Detail'!$H$1:$H$99999,SFPR!$B85,'FTE Detail'!$R$1:$R$99999,AC$69)+SUMIFS('FTE Detail'!$O$1:$O$99999,'FTE Detail'!$L$1:$L$99999,"OPID",'FTE Detail'!$H$1:$H$99999,SFPR!$B85,'FTE Detail'!$R$1:$R$99999,AC$69)</f>
        <v>0</v>
      </c>
      <c r="AD85" s="17">
        <f>SUMIFS('FTE Detail'!$O$1:$O$99999,'FTE Detail'!$L$1:$L$99999,"OPDD",'FTE Detail'!$H$1:$H$99999,SFPR!$B85,'FTE Detail'!$R$1:$R$99999,AD$69)+SUMIFS('FTE Detail'!$O$1:$O$99999,'FTE Detail'!$L$1:$L$99999,"OPID",'FTE Detail'!$H$1:$H$99999,SFPR!$B85,'FTE Detail'!$R$1:$R$99999,AD$69)</f>
        <v>0</v>
      </c>
      <c r="AE85" s="17">
        <f>SUMIFS('FTE Detail'!$O$1:$O$99999,'FTE Detail'!$L$1:$L$99999,"OPDD",'FTE Detail'!$H$1:$H$99999,SFPR!$B85,'FTE Detail'!$R$1:$R$99999,AE$69)+SUMIFS('FTE Detail'!$O$1:$O$99999,'FTE Detail'!$L$1:$L$99999,"OPID",'FTE Detail'!$H$1:$H$99999,SFPR!$B85,'FTE Detail'!$R$1:$R$99999,AE$69)</f>
        <v>0</v>
      </c>
      <c r="AF85" s="17">
        <f>SUMIFS('FTE Detail'!$O$1:$O$99999,'FTE Detail'!$L$1:$L$99999,"OPDD",'FTE Detail'!$H$1:$H$99999,SFPR!$B85,'FTE Detail'!$R$1:$R$99999,AF$69)+SUMIFS('FTE Detail'!$O$1:$O$99999,'FTE Detail'!$L$1:$L$99999,"OPID",'FTE Detail'!$H$1:$H$99999,SFPR!$B85,'FTE Detail'!$R$1:$R$99999,AF$69)</f>
        <v>0</v>
      </c>
    </row>
    <row r="86" spans="2:32" x14ac:dyDescent="0.3">
      <c r="B86" s="19">
        <v>51243</v>
      </c>
      <c r="C86" t="s">
        <v>3828</v>
      </c>
      <c r="M86" s="17">
        <f>SUMIFS('FTE Detail'!$O$1:$O$99997,'FTE Detail'!$L$1:$L$99997,M$5,'FTE Detail'!$H$1:$H$99997,$B86,'FTE Detail'!$V$1:$V$99997,"FULL")</f>
        <v>0</v>
      </c>
      <c r="N86" s="17">
        <f>SUMIFS('FTE Detail'!$O$1:$O$99997,'FTE Detail'!$L$1:$L$99997,N$5,'FTE Detail'!$H$1:$H$99997,$B86,'FTE Detail'!$V$1:$V$99997,"PART")</f>
        <v>5.1954549999999999</v>
      </c>
      <c r="O86" s="17">
        <f>SUMIFS('FTE Detail'!$O$1:$O$99997,'FTE Detail'!$L$1:$L$99997,O$5,'FTE Detail'!$H$1:$H$99997,$B86,'FTE Detail'!$V$1:$V$99997,"FULL")</f>
        <v>0</v>
      </c>
      <c r="P86" s="17">
        <f>SUMIFS('FTE Detail'!$O$1:$O$99997,'FTE Detail'!$L$1:$L$99997,P$5,'FTE Detail'!$H$1:$H$99997,$B86,'FTE Detail'!$V$1:$V$99997,"FULL")</f>
        <v>0</v>
      </c>
      <c r="Q86" s="17">
        <f>SUMIFS('FTE Detail'!$O$1:$O$99997,'FTE Detail'!$L$1:$L$99997,Q$5,'FTE Detail'!$H$1:$H$99997,$B86,'FTE Detail'!$V$1:$V$99997,"FULL")</f>
        <v>0</v>
      </c>
      <c r="W86" s="17">
        <f t="shared" si="21"/>
        <v>5.1954549999999999</v>
      </c>
      <c r="X86" s="17"/>
      <c r="Y86" s="3">
        <f t="shared" si="20"/>
        <v>5.1954549999999999</v>
      </c>
      <c r="AA86" s="17">
        <f>SUMIFS('FTE Detail'!$O$1:$O$99999,'FTE Detail'!$L$1:$L$99999,"OPDD",'FTE Detail'!$H$1:$H$99999,SFPR!$B86,'FTE Detail'!$R$1:$R$99999,AA$69)+SUMIFS('FTE Detail'!$O$1:$O$99999,'FTE Detail'!$L$1:$L$99999,"OPID",'FTE Detail'!$H$1:$H$99999,SFPR!$B86,'FTE Detail'!$R$1:$R$99999,AA$69)</f>
        <v>0</v>
      </c>
      <c r="AB86" s="17">
        <f>SUMIFS('FTE Detail'!$O$1:$O$99999,'FTE Detail'!$L$1:$L$99999,"OPDD",'FTE Detail'!$H$1:$H$99999,SFPR!$B86,'FTE Detail'!$R$1:$R$99999,AB$69)+SUMIFS('FTE Detail'!$O$1:$O$99999,'FTE Detail'!$L$1:$L$99999,"OPID",'FTE Detail'!$H$1:$H$99999,SFPR!$B86,'FTE Detail'!$R$1:$R$99999,AB$69)</f>
        <v>0</v>
      </c>
      <c r="AC86" s="17">
        <f>SUMIFS('FTE Detail'!$O$1:$O$99999,'FTE Detail'!$L$1:$L$99999,"OPDD",'FTE Detail'!$H$1:$H$99999,SFPR!$B86,'FTE Detail'!$R$1:$R$99999,AC$69)+SUMIFS('FTE Detail'!$O$1:$O$99999,'FTE Detail'!$L$1:$L$99999,"OPID",'FTE Detail'!$H$1:$H$99999,SFPR!$B86,'FTE Detail'!$R$1:$R$99999,AC$69)</f>
        <v>0</v>
      </c>
      <c r="AD86" s="17">
        <f>SUMIFS('FTE Detail'!$O$1:$O$99999,'FTE Detail'!$L$1:$L$99999,"OPDD",'FTE Detail'!$H$1:$H$99999,SFPR!$B86,'FTE Detail'!$R$1:$R$99999,AD$69)+SUMIFS('FTE Detail'!$O$1:$O$99999,'FTE Detail'!$L$1:$L$99999,"OPID",'FTE Detail'!$H$1:$H$99999,SFPR!$B86,'FTE Detail'!$R$1:$R$99999,AD$69)</f>
        <v>0</v>
      </c>
      <c r="AE86" s="17">
        <f>SUMIFS('FTE Detail'!$O$1:$O$99999,'FTE Detail'!$L$1:$L$99999,"OPDD",'FTE Detail'!$H$1:$H$99999,SFPR!$B86,'FTE Detail'!$R$1:$R$99999,AE$69)+SUMIFS('FTE Detail'!$O$1:$O$99999,'FTE Detail'!$L$1:$L$99999,"OPID",'FTE Detail'!$H$1:$H$99999,SFPR!$B86,'FTE Detail'!$R$1:$R$99999,AE$69)</f>
        <v>0</v>
      </c>
      <c r="AF86" s="17">
        <f>SUMIFS('FTE Detail'!$O$1:$O$99999,'FTE Detail'!$L$1:$L$99999,"OPDD",'FTE Detail'!$H$1:$H$99999,SFPR!$B86,'FTE Detail'!$R$1:$R$99999,AF$69)+SUMIFS('FTE Detail'!$O$1:$O$99999,'FTE Detail'!$L$1:$L$99999,"OPID",'FTE Detail'!$H$1:$H$99999,SFPR!$B86,'FTE Detail'!$R$1:$R$99999,AF$69)</f>
        <v>0</v>
      </c>
    </row>
    <row r="87" spans="2:32" x14ac:dyDescent="0.3">
      <c r="B87" s="19">
        <v>51631</v>
      </c>
      <c r="C87" t="s">
        <v>3827</v>
      </c>
      <c r="M87" s="17">
        <f>SUMIFS('FTE Detail'!$O$1:$O$99997,'FTE Detail'!$L$1:$L$99997,M$5,'FTE Detail'!$H$1:$H$99997,$B87,'FTE Detail'!$V$1:$V$99997,"FULL")</f>
        <v>0</v>
      </c>
      <c r="N87" s="17">
        <f>SUMIFS('FTE Detail'!$O$1:$O$99997,'FTE Detail'!$L$1:$L$99997,N$5,'FTE Detail'!$H$1:$H$99997,$B87,'FTE Detail'!$V$1:$V$99997,"PART")</f>
        <v>0</v>
      </c>
      <c r="O87" s="17">
        <f>SUMIFS('FTE Detail'!$O$1:$O$99997,'FTE Detail'!$L$1:$L$99997,O$5,'FTE Detail'!$H$1:$H$99997,$B87,'FTE Detail'!$V$1:$V$99997,"FULL")</f>
        <v>0</v>
      </c>
      <c r="P87" s="17">
        <f>SUMIFS('FTE Detail'!$O$1:$O$99997,'FTE Detail'!$L$1:$L$99997,P$5,'FTE Detail'!$H$1:$H$99997,$B87,'FTE Detail'!$V$1:$V$99997,"FULL")</f>
        <v>0.59363200000000005</v>
      </c>
      <c r="Q87" s="17">
        <f>SUMIFS('FTE Detail'!$O$1:$O$99997,'FTE Detail'!$L$1:$L$99997,Q$5,'FTE Detail'!$H$1:$H$99997,$B87,'FTE Detail'!$V$1:$V$99997,"FULL")</f>
        <v>0</v>
      </c>
      <c r="W87" s="17">
        <f t="shared" si="21"/>
        <v>0.59363200000000005</v>
      </c>
      <c r="X87" s="17"/>
      <c r="Y87" s="3">
        <f t="shared" si="20"/>
        <v>0.59363200000000005</v>
      </c>
      <c r="AA87" s="17">
        <f>SUMIFS('FTE Detail'!$O$1:$O$99999,'FTE Detail'!$L$1:$L$99999,"OPDD",'FTE Detail'!$H$1:$H$99999,SFPR!$B87,'FTE Detail'!$R$1:$R$99999,AA$69)+SUMIFS('FTE Detail'!$O$1:$O$99999,'FTE Detail'!$L$1:$L$99999,"OPID",'FTE Detail'!$H$1:$H$99999,SFPR!$B87,'FTE Detail'!$R$1:$R$99999,AA$69)</f>
        <v>0</v>
      </c>
      <c r="AB87" s="17">
        <f>SUMIFS('FTE Detail'!$O$1:$O$99999,'FTE Detail'!$L$1:$L$99999,"OPDD",'FTE Detail'!$H$1:$H$99999,SFPR!$B87,'FTE Detail'!$R$1:$R$99999,AB$69)+SUMIFS('FTE Detail'!$O$1:$O$99999,'FTE Detail'!$L$1:$L$99999,"OPID",'FTE Detail'!$H$1:$H$99999,SFPR!$B87,'FTE Detail'!$R$1:$R$99999,AB$69)</f>
        <v>0.59363200000000005</v>
      </c>
      <c r="AC87" s="17">
        <f>SUMIFS('FTE Detail'!$O$1:$O$99999,'FTE Detail'!$L$1:$L$99999,"OPDD",'FTE Detail'!$H$1:$H$99999,SFPR!$B87,'FTE Detail'!$R$1:$R$99999,AC$69)+SUMIFS('FTE Detail'!$O$1:$O$99999,'FTE Detail'!$L$1:$L$99999,"OPID",'FTE Detail'!$H$1:$H$99999,SFPR!$B87,'FTE Detail'!$R$1:$R$99999,AC$69)</f>
        <v>0</v>
      </c>
      <c r="AD87" s="17">
        <f>SUMIFS('FTE Detail'!$O$1:$O$99999,'FTE Detail'!$L$1:$L$99999,"OPDD",'FTE Detail'!$H$1:$H$99999,SFPR!$B87,'FTE Detail'!$R$1:$R$99999,AD$69)+SUMIFS('FTE Detail'!$O$1:$O$99999,'FTE Detail'!$L$1:$L$99999,"OPID",'FTE Detail'!$H$1:$H$99999,SFPR!$B87,'FTE Detail'!$R$1:$R$99999,AD$69)</f>
        <v>0</v>
      </c>
      <c r="AE87" s="17">
        <f>SUMIFS('FTE Detail'!$O$1:$O$99999,'FTE Detail'!$L$1:$L$99999,"OPDD",'FTE Detail'!$H$1:$H$99999,SFPR!$B87,'FTE Detail'!$R$1:$R$99999,AE$69)+SUMIFS('FTE Detail'!$O$1:$O$99999,'FTE Detail'!$L$1:$L$99999,"OPID",'FTE Detail'!$H$1:$H$99999,SFPR!$B87,'FTE Detail'!$R$1:$R$99999,AE$69)</f>
        <v>0</v>
      </c>
      <c r="AF87" s="17">
        <f>SUMIFS('FTE Detail'!$O$1:$O$99999,'FTE Detail'!$L$1:$L$99999,"OPDD",'FTE Detail'!$H$1:$H$99999,SFPR!$B87,'FTE Detail'!$R$1:$R$99999,AF$69)+SUMIFS('FTE Detail'!$O$1:$O$99999,'FTE Detail'!$L$1:$L$99999,"OPID",'FTE Detail'!$H$1:$H$99999,SFPR!$B87,'FTE Detail'!$R$1:$R$99999,AF$69)</f>
        <v>0</v>
      </c>
    </row>
    <row r="88" spans="2:32" x14ac:dyDescent="0.3">
      <c r="B88" s="19"/>
      <c r="W88" s="17">
        <f>SUM(W70:W87)</f>
        <v>126.943291</v>
      </c>
      <c r="X88" s="17">
        <f>SUM(X70:X87)</f>
        <v>126.96</v>
      </c>
      <c r="Y88" s="17">
        <f>W88-X88</f>
        <v>-1.6708999999991647E-2</v>
      </c>
      <c r="AA88" s="17">
        <f t="shared" ref="AA88:AF88" si="24">SUM(AA70:AA87)</f>
        <v>2</v>
      </c>
      <c r="AB88" s="17">
        <f t="shared" si="24"/>
        <v>12.082962999999999</v>
      </c>
      <c r="AC88" s="17">
        <f t="shared" si="24"/>
        <v>1</v>
      </c>
      <c r="AD88" s="17">
        <f t="shared" si="24"/>
        <v>0</v>
      </c>
      <c r="AE88" s="17">
        <f t="shared" si="24"/>
        <v>0</v>
      </c>
      <c r="AF88" s="17">
        <f t="shared" si="24"/>
        <v>0</v>
      </c>
    </row>
    <row r="89" spans="2:32" x14ac:dyDescent="0.3">
      <c r="B89" s="19"/>
      <c r="W89" s="17"/>
      <c r="Y89" s="3"/>
      <c r="AA89" s="36"/>
      <c r="AB89" s="36"/>
      <c r="AC89" s="36"/>
      <c r="AD89" s="36"/>
      <c r="AE89" s="36"/>
      <c r="AF89" s="36"/>
    </row>
    <row r="90" spans="2:32" x14ac:dyDescent="0.3">
      <c r="B90" s="19"/>
      <c r="W90" s="17"/>
      <c r="Y90" s="3"/>
      <c r="AA90" s="36"/>
      <c r="AB90" s="36"/>
      <c r="AC90" s="36"/>
      <c r="AD90" s="36"/>
      <c r="AE90" s="36"/>
      <c r="AF90" s="36"/>
    </row>
    <row r="91" spans="2:32" x14ac:dyDescent="0.3">
      <c r="B91" s="19"/>
      <c r="W91" s="17"/>
      <c r="Y91" s="3"/>
      <c r="AA91" s="36"/>
      <c r="AB91" s="36"/>
      <c r="AC91" s="36"/>
      <c r="AD91" s="36"/>
      <c r="AE91" s="36"/>
      <c r="AF91" s="36"/>
    </row>
    <row r="92" spans="2:32" x14ac:dyDescent="0.3">
      <c r="B92" s="19"/>
      <c r="W92" s="17"/>
      <c r="Y92" s="3"/>
      <c r="AA92" s="36"/>
      <c r="AB92" s="36"/>
      <c r="AC92" s="36"/>
      <c r="AD92" s="36"/>
      <c r="AE92" s="36"/>
      <c r="AF92" s="36"/>
    </row>
    <row r="93" spans="2:32" x14ac:dyDescent="0.3">
      <c r="B93" s="19"/>
      <c r="AA93" s="34" t="s">
        <v>84</v>
      </c>
      <c r="AB93" s="34" t="s">
        <v>84</v>
      </c>
      <c r="AC93" s="34" t="s">
        <v>84</v>
      </c>
      <c r="AD93" s="34" t="s">
        <v>84</v>
      </c>
      <c r="AE93" s="34" t="s">
        <v>84</v>
      </c>
      <c r="AF93" s="34" t="s">
        <v>84</v>
      </c>
    </row>
    <row r="94" spans="2:32" ht="18" x14ac:dyDescent="0.35">
      <c r="B94" s="20" t="s">
        <v>92</v>
      </c>
      <c r="C94" s="22" t="s">
        <v>94</v>
      </c>
      <c r="D94" s="22"/>
      <c r="E94" s="22"/>
      <c r="F94" s="22"/>
      <c r="G94" s="22"/>
      <c r="H94" s="22"/>
      <c r="I94" s="22"/>
      <c r="J94" s="22"/>
      <c r="K94" s="22"/>
      <c r="L94" s="22"/>
      <c r="M94" s="30" t="s">
        <v>1</v>
      </c>
      <c r="N94" s="30" t="s">
        <v>100</v>
      </c>
      <c r="O94" s="30" t="s">
        <v>101</v>
      </c>
      <c r="P94" s="30" t="s">
        <v>4</v>
      </c>
      <c r="Q94" s="30" t="s">
        <v>770</v>
      </c>
      <c r="R94" s="22"/>
      <c r="S94" s="22"/>
      <c r="T94" s="22"/>
      <c r="U94" s="22"/>
      <c r="V94" s="22"/>
      <c r="W94" t="s">
        <v>81</v>
      </c>
      <c r="X94" t="str">
        <f>X69</f>
        <v>June #2</v>
      </c>
      <c r="Y94" t="s">
        <v>7</v>
      </c>
      <c r="AA94" s="34">
        <v>1</v>
      </c>
      <c r="AB94" s="34">
        <v>2</v>
      </c>
      <c r="AC94" s="34">
        <v>3</v>
      </c>
      <c r="AD94" s="34">
        <v>4</v>
      </c>
      <c r="AE94" s="34">
        <v>5</v>
      </c>
      <c r="AF94" s="34">
        <v>6</v>
      </c>
    </row>
    <row r="95" spans="2:32" x14ac:dyDescent="0.3">
      <c r="B95" s="19"/>
      <c r="M95" s="17">
        <f>SUMIFS('FTE Detail'!$O$1:$O$99997,'FTE Detail'!$L$1:$L$99997,M$5,'FTE Detail'!$M$1:$M$99997,$B95,'FTE Detail'!$V$1:$V$99997,"NONE")</f>
        <v>0</v>
      </c>
      <c r="N95" s="17">
        <f>SUMIFS('FTE Detail'!$O$1:$O$99997,'FTE Detail'!$L$1:$L$99997,N$5,'FTE Detail'!$M$1:$M$99997,$B95,'FTE Detail'!$V$1:$V$99997,"NONE")</f>
        <v>0</v>
      </c>
      <c r="O95" s="17">
        <f>SUMIFS('FTE Detail'!$O$1:$O$99997,'FTE Detail'!$L$1:$L$99997,O$5,'FTE Detail'!$M$1:$M$99997,$B95,'FTE Detail'!$V$1:$V$99997,"NONE")</f>
        <v>0</v>
      </c>
      <c r="P95" s="17">
        <f>SUMIFS('FTE Detail'!$O$1:$O$99997,'FTE Detail'!$L$1:$L$99997,P$5,'FTE Detail'!$M$1:$M$99997,$B95,'FTE Detail'!$V$1:$V$99997,"NONE")</f>
        <v>0</v>
      </c>
      <c r="Q95" s="17">
        <f>SUMIFS('FTE Detail'!$O$1:$O$99997,'FTE Detail'!$L$1:$L$99997,Q$5,'FTE Detail'!$M$1:$M$99997,$B95,'FTE Detail'!$V$1:$V$99997,"NONE")</f>
        <v>0</v>
      </c>
      <c r="W95" s="17">
        <f>SUM(M95:P95)</f>
        <v>0</v>
      </c>
      <c r="Y95" s="3">
        <f t="shared" ref="Y95:Y101" si="25">W95-X95</f>
        <v>0</v>
      </c>
      <c r="AA95" s="37">
        <f>SUMIFS('FTE Detail'!$O$2:$O$15000,'FTE Detail'!$L$2:$L$15000,"OPDD",'FTE Detail'!$M$2:$M$15000,SFPR!$B95,'FTE Detail'!$R$2:$R$15000,AA$69)+SUMIFS('FTE Detail'!$O$2:$O$15000,'FTE Detail'!$L$2:$L$15000,"OPID",'FTE Detail'!$H$2:$H$15000,SFPR!$B95,'FTE Detail'!$R$2:$R$15000,AA$69)</f>
        <v>0</v>
      </c>
      <c r="AB95" s="37">
        <f>SUMIFS('FTE Detail'!$O$2:$O$15000,'FTE Detail'!$L$2:$L$15000,"OPDD",'FTE Detail'!$M$2:$M$15000,SFPR!$B95,'FTE Detail'!$R$2:$R$15000,AB$69)+SUMIFS('FTE Detail'!$O$2:$O$15000,'FTE Detail'!$L$2:$L$15000,"OPID",'FTE Detail'!$H$2:$H$15000,SFPR!$B95,'FTE Detail'!$R$2:$R$15000,AB$69)</f>
        <v>0</v>
      </c>
      <c r="AC95" s="37">
        <f>SUMIFS('FTE Detail'!$O$2:$O$15000,'FTE Detail'!$L$2:$L$15000,"OPDD",'FTE Detail'!$M$2:$M$15000,SFPR!$B95,'FTE Detail'!$R$2:$R$15000,AC$69)+SUMIFS('FTE Detail'!$O$2:$O$15000,'FTE Detail'!$L$2:$L$15000,"OPID",'FTE Detail'!$H$2:$H$15000,SFPR!$B95,'FTE Detail'!$R$2:$R$15000,AC$69)</f>
        <v>0</v>
      </c>
      <c r="AD95" s="37">
        <f>SUMIFS('FTE Detail'!$O$2:$O$15000,'FTE Detail'!$L$2:$L$15000,"OPDD",'FTE Detail'!$M$2:$M$15000,SFPR!$B95,'FTE Detail'!$R$2:$R$15000,AD$69)+SUMIFS('FTE Detail'!$O$2:$O$15000,'FTE Detail'!$L$2:$L$15000,"OPID",'FTE Detail'!$H$2:$H$15000,SFPR!$B95,'FTE Detail'!$R$2:$R$15000,AD$69)</f>
        <v>0</v>
      </c>
      <c r="AE95" s="37">
        <f>SUMIFS('FTE Detail'!$O$2:$O$15000,'FTE Detail'!$L$2:$L$15000,"OPDD",'FTE Detail'!$M$2:$M$15000,SFPR!$B95,'FTE Detail'!$R$2:$R$15000,AE$69)+SUMIFS('FTE Detail'!$O$2:$O$15000,'FTE Detail'!$L$2:$L$15000,"OPID",'FTE Detail'!$H$2:$H$15000,SFPR!$B95,'FTE Detail'!$R$2:$R$15000,AE$69)</f>
        <v>0</v>
      </c>
      <c r="AF95" s="37">
        <f>SUMIFS('FTE Detail'!$O$2:$O$15000,'FTE Detail'!$L$2:$L$15000,"OPDD",'FTE Detail'!$M$2:$M$15000,SFPR!$B95,'FTE Detail'!$R$2:$R$15000,AF$69)+SUMIFS('FTE Detail'!$O$2:$O$15000,'FTE Detail'!$L$2:$L$15000,"OPID",'FTE Detail'!$H$2:$H$15000,SFPR!$B95,'FTE Detail'!$R$2:$R$15000,AF$69)</f>
        <v>0</v>
      </c>
    </row>
    <row r="96" spans="2:32" x14ac:dyDescent="0.3">
      <c r="B96" s="19"/>
      <c r="M96" s="17">
        <f>SUMIFS('FTE Detail'!$O$1:$O$99997,'FTE Detail'!$L$1:$L$99997,M$5,'FTE Detail'!$M$1:$M$99997,$B96,'FTE Detail'!$V$1:$V$99997,"NONE")</f>
        <v>0</v>
      </c>
      <c r="N96" s="17">
        <f>SUMIFS('FTE Detail'!$O$1:$O$99997,'FTE Detail'!$L$1:$L$99997,N$5,'FTE Detail'!$M$1:$M$99997,$B96,'FTE Detail'!$V$1:$V$99997,"NONE")</f>
        <v>0</v>
      </c>
      <c r="O96" s="17">
        <f>SUMIFS('FTE Detail'!$O$1:$O$99997,'FTE Detail'!$L$1:$L$99997,O$5,'FTE Detail'!$M$1:$M$99997,$B96,'FTE Detail'!$V$1:$V$99997,"NONE")</f>
        <v>0</v>
      </c>
      <c r="P96" s="17">
        <f>SUMIFS('FTE Detail'!$O$1:$O$99997,'FTE Detail'!$L$1:$L$99997,P$5,'FTE Detail'!$M$1:$M$99997,$B96,'FTE Detail'!$V$1:$V$99997,"NONE")</f>
        <v>0</v>
      </c>
      <c r="Q96" s="17">
        <f>SUMIFS('FTE Detail'!$O$1:$O$99997,'FTE Detail'!$L$1:$L$99997,Q$5,'FTE Detail'!$M$1:$M$99997,$B96,'FTE Detail'!$V$1:$V$99997,"NONE")</f>
        <v>0</v>
      </c>
      <c r="W96" s="17">
        <f t="shared" ref="W96:W101" si="26">SUM(M96:P96)</f>
        <v>0</v>
      </c>
      <c r="Y96" s="3">
        <f t="shared" si="25"/>
        <v>0</v>
      </c>
      <c r="AA96" s="37">
        <f>SUMIFS('FTE Detail'!$O$2:$O$15000,'FTE Detail'!$L$2:$L$15000,"OPDD",'FTE Detail'!$M$2:$M$15000,SFPR!$B96,'FTE Detail'!$R$2:$R$15000,AA$69)+SUMIFS('FTE Detail'!$O$2:$O$15000,'FTE Detail'!$L$2:$L$15000,"OPID",'FTE Detail'!$H$2:$H$15000,SFPR!$B96,'FTE Detail'!$R$2:$R$15000,AA$69)</f>
        <v>0</v>
      </c>
      <c r="AB96" s="37">
        <f>SUMIFS('FTE Detail'!$O$2:$O$15000,'FTE Detail'!$L$2:$L$15000,"OPDD",'FTE Detail'!$M$2:$M$15000,SFPR!$B96,'FTE Detail'!$R$2:$R$15000,AB$69)+SUMIFS('FTE Detail'!$O$2:$O$15000,'FTE Detail'!$L$2:$L$15000,"OPID",'FTE Detail'!$H$2:$H$15000,SFPR!$B96,'FTE Detail'!$R$2:$R$15000,AB$69)</f>
        <v>0</v>
      </c>
      <c r="AC96" s="37">
        <f>SUMIFS('FTE Detail'!$O$2:$O$15000,'FTE Detail'!$L$2:$L$15000,"OPDD",'FTE Detail'!$M$2:$M$15000,SFPR!$B96,'FTE Detail'!$R$2:$R$15000,AC$69)+SUMIFS('FTE Detail'!$O$2:$O$15000,'FTE Detail'!$L$2:$L$15000,"OPID",'FTE Detail'!$H$2:$H$15000,SFPR!$B96,'FTE Detail'!$R$2:$R$15000,AC$69)</f>
        <v>0</v>
      </c>
      <c r="AD96" s="37">
        <f>SUMIFS('FTE Detail'!$O$2:$O$15000,'FTE Detail'!$L$2:$L$15000,"OPDD",'FTE Detail'!$M$2:$M$15000,SFPR!$B96,'FTE Detail'!$R$2:$R$15000,AD$69)+SUMIFS('FTE Detail'!$O$2:$O$15000,'FTE Detail'!$L$2:$L$15000,"OPID",'FTE Detail'!$H$2:$H$15000,SFPR!$B96,'FTE Detail'!$R$2:$R$15000,AD$69)</f>
        <v>0</v>
      </c>
      <c r="AE96" s="37">
        <f>SUMIFS('FTE Detail'!$O$2:$O$15000,'FTE Detail'!$L$2:$L$15000,"OPDD",'FTE Detail'!$M$2:$M$15000,SFPR!$B96,'FTE Detail'!$R$2:$R$15000,AE$69)+SUMIFS('FTE Detail'!$O$2:$O$15000,'FTE Detail'!$L$2:$L$15000,"OPID",'FTE Detail'!$H$2:$H$15000,SFPR!$B96,'FTE Detail'!$R$2:$R$15000,AE$69)</f>
        <v>0</v>
      </c>
      <c r="AF96" s="37">
        <f>SUMIFS('FTE Detail'!$O$2:$O$15000,'FTE Detail'!$L$2:$L$15000,"OPDD",'FTE Detail'!$M$2:$M$15000,SFPR!$B96,'FTE Detail'!$R$2:$R$15000,AF$69)+SUMIFS('FTE Detail'!$O$2:$O$15000,'FTE Detail'!$L$2:$L$15000,"OPID",'FTE Detail'!$H$2:$H$15000,SFPR!$B96,'FTE Detail'!$R$2:$R$15000,AF$69)</f>
        <v>0</v>
      </c>
    </row>
    <row r="97" spans="2:32" x14ac:dyDescent="0.3">
      <c r="B97" s="19"/>
      <c r="M97" s="17">
        <f>SUMIFS('FTE Detail'!$O$1:$O$99997,'FTE Detail'!$L$1:$L$99997,M$5,'FTE Detail'!$M$1:$M$99997,$B97,'FTE Detail'!$V$1:$V$99997,"NONE")</f>
        <v>0</v>
      </c>
      <c r="N97" s="17">
        <f>SUMIFS('FTE Detail'!$O$1:$O$99997,'FTE Detail'!$L$1:$L$99997,N$5,'FTE Detail'!$M$1:$M$99997,$B97,'FTE Detail'!$V$1:$V$99997,"NONE")</f>
        <v>0</v>
      </c>
      <c r="O97" s="17">
        <f>SUMIFS('FTE Detail'!$O$1:$O$99997,'FTE Detail'!$L$1:$L$99997,O$5,'FTE Detail'!$M$1:$M$99997,$B97,'FTE Detail'!$V$1:$V$99997,"NONE")</f>
        <v>0</v>
      </c>
      <c r="P97" s="17">
        <f>SUMIFS('FTE Detail'!$O$1:$O$99997,'FTE Detail'!$L$1:$L$99997,P$5,'FTE Detail'!$M$1:$M$99997,$B97,'FTE Detail'!$V$1:$V$99997,"NONE")</f>
        <v>0</v>
      </c>
      <c r="Q97" s="17">
        <f>SUMIFS('FTE Detail'!$O$1:$O$99997,'FTE Detail'!$L$1:$L$99997,Q$5,'FTE Detail'!$M$1:$M$99997,$B97,'FTE Detail'!$V$1:$V$99997,"NONE")</f>
        <v>0</v>
      </c>
      <c r="W97" s="17">
        <f t="shared" si="26"/>
        <v>0</v>
      </c>
      <c r="Y97" s="3">
        <f t="shared" si="25"/>
        <v>0</v>
      </c>
      <c r="AA97" s="37">
        <f>SUMIFS('FTE Detail'!$O$2:$O$15000,'FTE Detail'!$L$2:$L$15000,"OPDD",'FTE Detail'!$M$2:$M$15000,SFPR!$B97,'FTE Detail'!$R$2:$R$15000,AA$69)+SUMIFS('FTE Detail'!$O$2:$O$15000,'FTE Detail'!$L$2:$L$15000,"OPID",'FTE Detail'!$H$2:$H$15000,SFPR!$B97,'FTE Detail'!$R$2:$R$15000,AA$69)</f>
        <v>0</v>
      </c>
      <c r="AB97" s="37">
        <f>SUMIFS('FTE Detail'!$O$2:$O$15000,'FTE Detail'!$L$2:$L$15000,"OPDD",'FTE Detail'!$M$2:$M$15000,SFPR!$B97,'FTE Detail'!$R$2:$R$15000,AB$69)+SUMIFS('FTE Detail'!$O$2:$O$15000,'FTE Detail'!$L$2:$L$15000,"OPID",'FTE Detail'!$H$2:$H$15000,SFPR!$B97,'FTE Detail'!$R$2:$R$15000,AB$69)</f>
        <v>0</v>
      </c>
      <c r="AC97" s="37">
        <f>SUMIFS('FTE Detail'!$O$2:$O$15000,'FTE Detail'!$L$2:$L$15000,"OPDD",'FTE Detail'!$M$2:$M$15000,SFPR!$B97,'FTE Detail'!$R$2:$R$15000,AC$69)+SUMIFS('FTE Detail'!$O$2:$O$15000,'FTE Detail'!$L$2:$L$15000,"OPID",'FTE Detail'!$H$2:$H$15000,SFPR!$B97,'FTE Detail'!$R$2:$R$15000,AC$69)</f>
        <v>0</v>
      </c>
      <c r="AD97" s="37">
        <f>SUMIFS('FTE Detail'!$O$2:$O$15000,'FTE Detail'!$L$2:$L$15000,"OPDD",'FTE Detail'!$M$2:$M$15000,SFPR!$B97,'FTE Detail'!$R$2:$R$15000,AD$69)+SUMIFS('FTE Detail'!$O$2:$O$15000,'FTE Detail'!$L$2:$L$15000,"OPID",'FTE Detail'!$H$2:$H$15000,SFPR!$B97,'FTE Detail'!$R$2:$R$15000,AD$69)</f>
        <v>0</v>
      </c>
      <c r="AE97" s="37">
        <f>SUMIFS('FTE Detail'!$O$2:$O$15000,'FTE Detail'!$L$2:$L$15000,"OPDD",'FTE Detail'!$M$2:$M$15000,SFPR!$B97,'FTE Detail'!$R$2:$R$15000,AE$69)+SUMIFS('FTE Detail'!$O$2:$O$15000,'FTE Detail'!$L$2:$L$15000,"OPID",'FTE Detail'!$H$2:$H$15000,SFPR!$B97,'FTE Detail'!$R$2:$R$15000,AE$69)</f>
        <v>0</v>
      </c>
      <c r="AF97" s="37">
        <f>SUMIFS('FTE Detail'!$O$2:$O$15000,'FTE Detail'!$L$2:$L$15000,"OPDD",'FTE Detail'!$M$2:$M$15000,SFPR!$B97,'FTE Detail'!$R$2:$R$15000,AF$69)+SUMIFS('FTE Detail'!$O$2:$O$15000,'FTE Detail'!$L$2:$L$15000,"OPID",'FTE Detail'!$H$2:$H$15000,SFPR!$B97,'FTE Detail'!$R$2:$R$15000,AF$69)</f>
        <v>0</v>
      </c>
    </row>
    <row r="98" spans="2:32" x14ac:dyDescent="0.3">
      <c r="B98" s="19"/>
      <c r="M98" s="17">
        <f>SUMIFS('FTE Detail'!$O$1:$O$99997,'FTE Detail'!$L$1:$L$99997,M$5,'FTE Detail'!$M$1:$M$99997,$B98,'FTE Detail'!$V$1:$V$99997,"NONE")</f>
        <v>0</v>
      </c>
      <c r="N98" s="17">
        <f>SUMIFS('FTE Detail'!$O$1:$O$99997,'FTE Detail'!$L$1:$L$99997,N$5,'FTE Detail'!$M$1:$M$99997,$B98,'FTE Detail'!$V$1:$V$99997,"NONE")</f>
        <v>0</v>
      </c>
      <c r="O98" s="17">
        <f>SUMIFS('FTE Detail'!$O$1:$O$99997,'FTE Detail'!$L$1:$L$99997,O$5,'FTE Detail'!$M$1:$M$99997,$B98,'FTE Detail'!$V$1:$V$99997,"NONE")</f>
        <v>0</v>
      </c>
      <c r="P98" s="17">
        <f>SUMIFS('FTE Detail'!$O$1:$O$99997,'FTE Detail'!$L$1:$L$99997,P$5,'FTE Detail'!$M$1:$M$99997,$B98,'FTE Detail'!$V$1:$V$99997,"NONE")</f>
        <v>0</v>
      </c>
      <c r="Q98" s="17">
        <f>SUMIFS('FTE Detail'!$O$1:$O$99997,'FTE Detail'!$L$1:$L$99997,Q$5,'FTE Detail'!$M$1:$M$99997,$B98,'FTE Detail'!$V$1:$V$99997,"NONE")</f>
        <v>0</v>
      </c>
      <c r="W98" s="17">
        <f t="shared" si="26"/>
        <v>0</v>
      </c>
      <c r="Y98" s="3">
        <f t="shared" si="25"/>
        <v>0</v>
      </c>
      <c r="AA98" s="37">
        <f>SUMIFS('FTE Detail'!$O$2:$O$15000,'FTE Detail'!$L$2:$L$15000,"OPDD",'FTE Detail'!$M$2:$M$15000,SFPR!$B98,'FTE Detail'!$R$2:$R$15000,AA$69)+SUMIFS('FTE Detail'!$O$2:$O$15000,'FTE Detail'!$L$2:$L$15000,"OPID",'FTE Detail'!$H$2:$H$15000,SFPR!$B98,'FTE Detail'!$R$2:$R$15000,AA$69)</f>
        <v>0</v>
      </c>
      <c r="AB98" s="37">
        <f>SUMIFS('FTE Detail'!$O$2:$O$15000,'FTE Detail'!$L$2:$L$15000,"OPDD",'FTE Detail'!$M$2:$M$15000,SFPR!$B98,'FTE Detail'!$R$2:$R$15000,AB$69)+SUMIFS('FTE Detail'!$O$2:$O$15000,'FTE Detail'!$L$2:$L$15000,"OPID",'FTE Detail'!$H$2:$H$15000,SFPR!$B98,'FTE Detail'!$R$2:$R$15000,AB$69)</f>
        <v>0</v>
      </c>
      <c r="AC98" s="37">
        <f>SUMIFS('FTE Detail'!$O$2:$O$15000,'FTE Detail'!$L$2:$L$15000,"OPDD",'FTE Detail'!$M$2:$M$15000,SFPR!$B98,'FTE Detail'!$R$2:$R$15000,AC$69)+SUMIFS('FTE Detail'!$O$2:$O$15000,'FTE Detail'!$L$2:$L$15000,"OPID",'FTE Detail'!$H$2:$H$15000,SFPR!$B98,'FTE Detail'!$R$2:$R$15000,AC$69)</f>
        <v>0</v>
      </c>
      <c r="AD98" s="37">
        <f>SUMIFS('FTE Detail'!$O$2:$O$15000,'FTE Detail'!$L$2:$L$15000,"OPDD",'FTE Detail'!$M$2:$M$15000,SFPR!$B98,'FTE Detail'!$R$2:$R$15000,AD$69)+SUMIFS('FTE Detail'!$O$2:$O$15000,'FTE Detail'!$L$2:$L$15000,"OPID",'FTE Detail'!$H$2:$H$15000,SFPR!$B98,'FTE Detail'!$R$2:$R$15000,AD$69)</f>
        <v>0</v>
      </c>
      <c r="AE98" s="37">
        <f>SUMIFS('FTE Detail'!$O$2:$O$15000,'FTE Detail'!$L$2:$L$15000,"OPDD",'FTE Detail'!$M$2:$M$15000,SFPR!$B98,'FTE Detail'!$R$2:$R$15000,AE$69)+SUMIFS('FTE Detail'!$O$2:$O$15000,'FTE Detail'!$L$2:$L$15000,"OPID",'FTE Detail'!$H$2:$H$15000,SFPR!$B98,'FTE Detail'!$R$2:$R$15000,AE$69)</f>
        <v>0</v>
      </c>
      <c r="AF98" s="37">
        <f>SUMIFS('FTE Detail'!$O$2:$O$15000,'FTE Detail'!$L$2:$L$15000,"OPDD",'FTE Detail'!$M$2:$M$15000,SFPR!$B98,'FTE Detail'!$R$2:$R$15000,AF$69)+SUMIFS('FTE Detail'!$O$2:$O$15000,'FTE Detail'!$L$2:$L$15000,"OPID",'FTE Detail'!$H$2:$H$15000,SFPR!$B98,'FTE Detail'!$R$2:$R$15000,AF$69)</f>
        <v>0</v>
      </c>
    </row>
    <row r="99" spans="2:32" x14ac:dyDescent="0.3">
      <c r="B99" s="19"/>
      <c r="M99" s="17">
        <f>SUMIFS('FTE Detail'!$O$1:$O$99997,'FTE Detail'!$L$1:$L$99997,M$5,'FTE Detail'!$M$1:$M$99997,$B99,'FTE Detail'!$V$1:$V$99997,"NONE")</f>
        <v>0</v>
      </c>
      <c r="N99" s="17">
        <f>SUMIFS('FTE Detail'!$O$1:$O$99997,'FTE Detail'!$L$1:$L$99997,N$5,'FTE Detail'!$M$1:$M$99997,$B99,'FTE Detail'!$V$1:$V$99997,"NONE")</f>
        <v>0</v>
      </c>
      <c r="O99" s="17">
        <f>SUMIFS('FTE Detail'!$O$1:$O$99997,'FTE Detail'!$L$1:$L$99997,O$5,'FTE Detail'!$M$1:$M$99997,$B99,'FTE Detail'!$V$1:$V$99997,"NONE")</f>
        <v>0</v>
      </c>
      <c r="P99" s="17">
        <f>SUMIFS('FTE Detail'!$O$1:$O$99997,'FTE Detail'!$L$1:$L$99997,P$5,'FTE Detail'!$M$1:$M$99997,$B99,'FTE Detail'!$V$1:$V$99997,"NONE")</f>
        <v>0</v>
      </c>
      <c r="Q99" s="17">
        <f>SUMIFS('FTE Detail'!$O$1:$O$99997,'FTE Detail'!$L$1:$L$99997,Q$5,'FTE Detail'!$M$1:$M$99997,$B99,'FTE Detail'!$V$1:$V$99997,"NONE")</f>
        <v>0</v>
      </c>
      <c r="W99" s="17">
        <f t="shared" si="26"/>
        <v>0</v>
      </c>
      <c r="Y99" s="3">
        <f t="shared" si="25"/>
        <v>0</v>
      </c>
      <c r="AA99" s="37">
        <f>SUMIFS('FTE Detail'!$O$2:$O$15000,'FTE Detail'!$L$2:$L$15000,"OPDD",'FTE Detail'!$M$2:$M$15000,SFPR!$B99,'FTE Detail'!$R$2:$R$15000,AA$69)+SUMIFS('FTE Detail'!$O$2:$O$15000,'FTE Detail'!$L$2:$L$15000,"OPID",'FTE Detail'!$H$2:$H$15000,SFPR!$B99,'FTE Detail'!$R$2:$R$15000,AA$69)</f>
        <v>0</v>
      </c>
      <c r="AB99" s="37">
        <f>SUMIFS('FTE Detail'!$O$2:$O$15000,'FTE Detail'!$L$2:$L$15000,"OPDD",'FTE Detail'!$M$2:$M$15000,SFPR!$B99,'FTE Detail'!$R$2:$R$15000,AB$69)+SUMIFS('FTE Detail'!$O$2:$O$15000,'FTE Detail'!$L$2:$L$15000,"OPID",'FTE Detail'!$H$2:$H$15000,SFPR!$B99,'FTE Detail'!$R$2:$R$15000,AB$69)</f>
        <v>0</v>
      </c>
      <c r="AC99" s="37">
        <f>SUMIFS('FTE Detail'!$O$2:$O$15000,'FTE Detail'!$L$2:$L$15000,"OPDD",'FTE Detail'!$M$2:$M$15000,SFPR!$B99,'FTE Detail'!$R$2:$R$15000,AC$69)+SUMIFS('FTE Detail'!$O$2:$O$15000,'FTE Detail'!$L$2:$L$15000,"OPID",'FTE Detail'!$H$2:$H$15000,SFPR!$B99,'FTE Detail'!$R$2:$R$15000,AC$69)</f>
        <v>0</v>
      </c>
      <c r="AD99" s="37">
        <f>SUMIFS('FTE Detail'!$O$2:$O$15000,'FTE Detail'!$L$2:$L$15000,"OPDD",'FTE Detail'!$M$2:$M$15000,SFPR!$B99,'FTE Detail'!$R$2:$R$15000,AD$69)+SUMIFS('FTE Detail'!$O$2:$O$15000,'FTE Detail'!$L$2:$L$15000,"OPID",'FTE Detail'!$H$2:$H$15000,SFPR!$B99,'FTE Detail'!$R$2:$R$15000,AD$69)</f>
        <v>0</v>
      </c>
      <c r="AE99" s="37">
        <f>SUMIFS('FTE Detail'!$O$2:$O$15000,'FTE Detail'!$L$2:$L$15000,"OPDD",'FTE Detail'!$M$2:$M$15000,SFPR!$B99,'FTE Detail'!$R$2:$R$15000,AE$69)+SUMIFS('FTE Detail'!$O$2:$O$15000,'FTE Detail'!$L$2:$L$15000,"OPID",'FTE Detail'!$H$2:$H$15000,SFPR!$B99,'FTE Detail'!$R$2:$R$15000,AE$69)</f>
        <v>0</v>
      </c>
      <c r="AF99" s="37">
        <f>SUMIFS('FTE Detail'!$O$2:$O$15000,'FTE Detail'!$L$2:$L$15000,"OPDD",'FTE Detail'!$M$2:$M$15000,SFPR!$B99,'FTE Detail'!$R$2:$R$15000,AF$69)+SUMIFS('FTE Detail'!$O$2:$O$15000,'FTE Detail'!$L$2:$L$15000,"OPID",'FTE Detail'!$H$2:$H$15000,SFPR!$B99,'FTE Detail'!$R$2:$R$15000,AF$69)</f>
        <v>0</v>
      </c>
    </row>
    <row r="100" spans="2:32" x14ac:dyDescent="0.3">
      <c r="B100" s="19"/>
      <c r="M100" s="17">
        <f>SUMIFS('FTE Detail'!$O$1:$O$99997,'FTE Detail'!$L$1:$L$99997,M$5,'FTE Detail'!$M$1:$M$99997,$B100,'FTE Detail'!$V$1:$V$99997,"NONE")</f>
        <v>0</v>
      </c>
      <c r="N100" s="17">
        <f>SUMIFS('FTE Detail'!$O$1:$O$99997,'FTE Detail'!$L$1:$L$99997,N$5,'FTE Detail'!$M$1:$M$99997,$B100,'FTE Detail'!$V$1:$V$99997,"NONE")</f>
        <v>0</v>
      </c>
      <c r="O100" s="17">
        <f>SUMIFS('FTE Detail'!$O$1:$O$99997,'FTE Detail'!$L$1:$L$99997,O$5,'FTE Detail'!$M$1:$M$99997,$B100,'FTE Detail'!$V$1:$V$99997,"NONE")</f>
        <v>0</v>
      </c>
      <c r="P100" s="17">
        <f>SUMIFS('FTE Detail'!$O$1:$O$99997,'FTE Detail'!$L$1:$L$99997,P$5,'FTE Detail'!$M$1:$M$99997,$B100,'FTE Detail'!$V$1:$V$99997,"NONE")</f>
        <v>0</v>
      </c>
      <c r="Q100" s="17">
        <f>SUMIFS('FTE Detail'!$O$1:$O$99997,'FTE Detail'!$L$1:$L$99997,Q$5,'FTE Detail'!$M$1:$M$99997,$B100,'FTE Detail'!$V$1:$V$99997,"NONE")</f>
        <v>0</v>
      </c>
      <c r="W100" s="17">
        <f t="shared" si="26"/>
        <v>0</v>
      </c>
      <c r="Y100" s="3">
        <f t="shared" si="25"/>
        <v>0</v>
      </c>
      <c r="AA100" s="37">
        <f>SUMIFS('FTE Detail'!$O$2:$O$15000,'FTE Detail'!$L$2:$L$15000,"OPDD",'FTE Detail'!$M$2:$M$15000,SFPR!$B100,'FTE Detail'!$R$2:$R$15000,AA$69)+SUMIFS('FTE Detail'!$O$2:$O$15000,'FTE Detail'!$L$2:$L$15000,"OPID",'FTE Detail'!$H$2:$H$15000,SFPR!$B100,'FTE Detail'!$R$2:$R$15000,AA$69)</f>
        <v>0</v>
      </c>
      <c r="AB100" s="37">
        <f>SUMIFS('FTE Detail'!$O$2:$O$15000,'FTE Detail'!$L$2:$L$15000,"OPDD",'FTE Detail'!$M$2:$M$15000,SFPR!$B100,'FTE Detail'!$R$2:$R$15000,AB$69)+SUMIFS('FTE Detail'!$O$2:$O$15000,'FTE Detail'!$L$2:$L$15000,"OPID",'FTE Detail'!$H$2:$H$15000,SFPR!$B100,'FTE Detail'!$R$2:$R$15000,AB$69)</f>
        <v>0</v>
      </c>
      <c r="AC100" s="37">
        <f>SUMIFS('FTE Detail'!$O$2:$O$15000,'FTE Detail'!$L$2:$L$15000,"OPDD",'FTE Detail'!$M$2:$M$15000,SFPR!$B100,'FTE Detail'!$R$2:$R$15000,AC$69)+SUMIFS('FTE Detail'!$O$2:$O$15000,'FTE Detail'!$L$2:$L$15000,"OPID",'FTE Detail'!$H$2:$H$15000,SFPR!$B100,'FTE Detail'!$R$2:$R$15000,AC$69)</f>
        <v>0</v>
      </c>
      <c r="AD100" s="37">
        <f>SUMIFS('FTE Detail'!$O$2:$O$15000,'FTE Detail'!$L$2:$L$15000,"OPDD",'FTE Detail'!$M$2:$M$15000,SFPR!$B100,'FTE Detail'!$R$2:$R$15000,AD$69)+SUMIFS('FTE Detail'!$O$2:$O$15000,'FTE Detail'!$L$2:$L$15000,"OPID",'FTE Detail'!$H$2:$H$15000,SFPR!$B100,'FTE Detail'!$R$2:$R$15000,AD$69)</f>
        <v>0</v>
      </c>
      <c r="AE100" s="37">
        <f>SUMIFS('FTE Detail'!$O$2:$O$15000,'FTE Detail'!$L$2:$L$15000,"OPDD",'FTE Detail'!$M$2:$M$15000,SFPR!$B100,'FTE Detail'!$R$2:$R$15000,AE$69)+SUMIFS('FTE Detail'!$O$2:$O$15000,'FTE Detail'!$L$2:$L$15000,"OPID",'FTE Detail'!$H$2:$H$15000,SFPR!$B100,'FTE Detail'!$R$2:$R$15000,AE$69)</f>
        <v>0</v>
      </c>
      <c r="AF100" s="37">
        <f>SUMIFS('FTE Detail'!$O$2:$O$15000,'FTE Detail'!$L$2:$L$15000,"OPDD",'FTE Detail'!$M$2:$M$15000,SFPR!$B100,'FTE Detail'!$R$2:$R$15000,AF$69)+SUMIFS('FTE Detail'!$O$2:$O$15000,'FTE Detail'!$L$2:$L$15000,"OPID",'FTE Detail'!$H$2:$H$15000,SFPR!$B100,'FTE Detail'!$R$2:$R$15000,AF$69)</f>
        <v>0</v>
      </c>
    </row>
    <row r="101" spans="2:32" x14ac:dyDescent="0.3">
      <c r="B101" s="19"/>
      <c r="M101" s="17">
        <f>SUMIFS('FTE Detail'!$O$1:$O$99997,'FTE Detail'!$L$1:$L$99997,M$5,'FTE Detail'!$M$1:$M$99997,$B101,'FTE Detail'!$V$1:$V$99997,"NONE")</f>
        <v>0</v>
      </c>
      <c r="N101" s="17">
        <f>SUMIFS('FTE Detail'!$O$1:$O$99997,'FTE Detail'!$L$1:$L$99997,N$5,'FTE Detail'!$M$1:$M$99997,$B101,'FTE Detail'!$V$1:$V$99997,"NONE")</f>
        <v>0</v>
      </c>
      <c r="O101" s="17">
        <f>SUMIFS('FTE Detail'!$O$1:$O$99997,'FTE Detail'!$L$1:$L$99997,O$5,'FTE Detail'!$M$1:$M$99997,$B101,'FTE Detail'!$V$1:$V$99997,"NONE")</f>
        <v>0</v>
      </c>
      <c r="P101" s="17">
        <f>SUMIFS('FTE Detail'!$O$1:$O$99997,'FTE Detail'!$L$1:$L$99997,P$5,'FTE Detail'!$M$1:$M$99997,$B101,'FTE Detail'!$V$1:$V$99997,"NONE")</f>
        <v>0</v>
      </c>
      <c r="Q101" s="17">
        <f>SUMIFS('FTE Detail'!$O$1:$O$99997,'FTE Detail'!$L$1:$L$99997,Q$5,'FTE Detail'!$M$1:$M$99997,$B101,'FTE Detail'!$V$1:$V$99997,"NONE")</f>
        <v>0</v>
      </c>
      <c r="W101" s="17">
        <f t="shared" si="26"/>
        <v>0</v>
      </c>
      <c r="Y101" s="3">
        <f t="shared" si="25"/>
        <v>0</v>
      </c>
      <c r="AA101" s="37">
        <f>SUMIFS('FTE Detail'!$O$2:$O$15000,'FTE Detail'!$L$2:$L$15000,"OPDD",'FTE Detail'!$M$2:$M$15000,SFPR!$B101,'FTE Detail'!$R$2:$R$15000,AA$69)+SUMIFS('FTE Detail'!$O$2:$O$15000,'FTE Detail'!$L$2:$L$15000,"OPID",'FTE Detail'!$H$2:$H$15000,SFPR!$B101,'FTE Detail'!$R$2:$R$15000,AA$69)</f>
        <v>0</v>
      </c>
      <c r="AB101" s="37">
        <f>SUMIFS('FTE Detail'!$O$2:$O$15000,'FTE Detail'!$L$2:$L$15000,"OPDD",'FTE Detail'!$M$2:$M$15000,SFPR!$B101,'FTE Detail'!$R$2:$R$15000,AB$69)+SUMIFS('FTE Detail'!$O$2:$O$15000,'FTE Detail'!$L$2:$L$15000,"OPID",'FTE Detail'!$H$2:$H$15000,SFPR!$B101,'FTE Detail'!$R$2:$R$15000,AB$69)</f>
        <v>0</v>
      </c>
      <c r="AC101" s="37">
        <f>SUMIFS('FTE Detail'!$O$2:$O$15000,'FTE Detail'!$L$2:$L$15000,"OPDD",'FTE Detail'!$M$2:$M$15000,SFPR!$B101,'FTE Detail'!$R$2:$R$15000,AC$69)+SUMIFS('FTE Detail'!$O$2:$O$15000,'FTE Detail'!$L$2:$L$15000,"OPID",'FTE Detail'!$H$2:$H$15000,SFPR!$B101,'FTE Detail'!$R$2:$R$15000,AC$69)</f>
        <v>0</v>
      </c>
      <c r="AD101" s="37">
        <f>SUMIFS('FTE Detail'!$O$2:$O$15000,'FTE Detail'!$L$2:$L$15000,"OPDD",'FTE Detail'!$M$2:$M$15000,SFPR!$B101,'FTE Detail'!$R$2:$R$15000,AD$69)+SUMIFS('FTE Detail'!$O$2:$O$15000,'FTE Detail'!$L$2:$L$15000,"OPID",'FTE Detail'!$H$2:$H$15000,SFPR!$B101,'FTE Detail'!$R$2:$R$15000,AD$69)</f>
        <v>0</v>
      </c>
      <c r="AE101" s="37">
        <f>SUMIFS('FTE Detail'!$O$2:$O$15000,'FTE Detail'!$L$2:$L$15000,"OPDD",'FTE Detail'!$M$2:$M$15000,SFPR!$B101,'FTE Detail'!$R$2:$R$15000,AE$69)+SUMIFS('FTE Detail'!$O$2:$O$15000,'FTE Detail'!$L$2:$L$15000,"OPID",'FTE Detail'!$H$2:$H$15000,SFPR!$B101,'FTE Detail'!$R$2:$R$15000,AE$69)</f>
        <v>0</v>
      </c>
      <c r="AF101" s="37">
        <f>SUMIFS('FTE Detail'!$O$2:$O$15000,'FTE Detail'!$L$2:$L$15000,"OPDD",'FTE Detail'!$M$2:$M$15000,SFPR!$B101,'FTE Detail'!$R$2:$R$15000,AF$69)+SUMIFS('FTE Detail'!$O$2:$O$15000,'FTE Detail'!$L$2:$L$15000,"OPID",'FTE Detail'!$H$2:$H$15000,SFPR!$B101,'FTE Detail'!$R$2:$R$15000,AF$69)</f>
        <v>0</v>
      </c>
    </row>
    <row r="102" spans="2:32" x14ac:dyDescent="0.3">
      <c r="B102" s="19"/>
      <c r="W102">
        <f>SUM(W95:W101)</f>
        <v>0</v>
      </c>
      <c r="X102">
        <f>SUM(X95:X101)</f>
        <v>0</v>
      </c>
      <c r="Y102">
        <f>SUM(Y95:Y101)</f>
        <v>0</v>
      </c>
      <c r="AA102">
        <f t="shared" ref="AA102:AF102" si="27">SUM(AA95:AA101)</f>
        <v>0</v>
      </c>
      <c r="AB102">
        <f t="shared" si="27"/>
        <v>0</v>
      </c>
      <c r="AC102">
        <f t="shared" si="27"/>
        <v>0</v>
      </c>
      <c r="AD102">
        <f t="shared" si="27"/>
        <v>0</v>
      </c>
      <c r="AE102">
        <f t="shared" si="27"/>
        <v>0</v>
      </c>
      <c r="AF102">
        <f t="shared" si="27"/>
        <v>0</v>
      </c>
    </row>
    <row r="103" spans="2:32" x14ac:dyDescent="0.3">
      <c r="B103" s="19"/>
      <c r="W103" s="17"/>
      <c r="Y103" s="3"/>
      <c r="AA103" s="37"/>
      <c r="AB103" s="37"/>
      <c r="AC103" s="37"/>
      <c r="AD103" s="37"/>
      <c r="AE103" s="37"/>
      <c r="AF103" s="37"/>
    </row>
    <row r="104" spans="2:32" ht="21" x14ac:dyDescent="0.4">
      <c r="B104" s="19"/>
      <c r="C104" s="70" t="s">
        <v>821</v>
      </c>
      <c r="AA104" s="37"/>
      <c r="AB104" s="37"/>
      <c r="AC104" s="37"/>
      <c r="AD104" s="37"/>
      <c r="AE104" s="37"/>
      <c r="AF104" s="37"/>
    </row>
    <row r="105" spans="2:32" ht="18" x14ac:dyDescent="0.35">
      <c r="B105" s="71" t="s">
        <v>92</v>
      </c>
      <c r="C105" s="22" t="s">
        <v>822</v>
      </c>
      <c r="D105" s="67"/>
      <c r="L105" t="s">
        <v>138</v>
      </c>
      <c r="W105" t="s">
        <v>81</v>
      </c>
      <c r="X105" t="str">
        <f>X4</f>
        <v>June #2</v>
      </c>
      <c r="Y105" t="s">
        <v>7</v>
      </c>
      <c r="AA105" s="37"/>
      <c r="AB105" s="37"/>
      <c r="AC105" s="37"/>
      <c r="AD105" s="37"/>
      <c r="AE105" s="37"/>
      <c r="AF105" s="37"/>
    </row>
    <row r="106" spans="2:32" x14ac:dyDescent="0.3">
      <c r="B106" s="19"/>
      <c r="L106" s="17">
        <f>SUMIFS('FTE Detail'!$O$1:$O$99997,'FTE Detail'!$L$1:$L$99997,L$5,'FTE Detail'!$M$1:$M$99997,$B106,'FTE Detail'!$V$1:$V$99997,"NONE")</f>
        <v>0</v>
      </c>
      <c r="W106" s="17">
        <f>L106</f>
        <v>0</v>
      </c>
      <c r="Y106" s="3">
        <f t="shared" ref="Y106:Y108" si="28">W106-X106</f>
        <v>0</v>
      </c>
    </row>
    <row r="107" spans="2:32" x14ac:dyDescent="0.3">
      <c r="L107" s="17">
        <f>SUMIFS('FTE Detail'!$O$1:$O$99997,'FTE Detail'!$L$1:$L$99997,L$5,'FTE Detail'!$M$1:$M$99997,$B107,'FTE Detail'!$V$1:$V$99997,"NONE")</f>
        <v>0</v>
      </c>
      <c r="W107" s="17">
        <f>L107</f>
        <v>0</v>
      </c>
      <c r="Y107" s="3">
        <f t="shared" si="28"/>
        <v>0</v>
      </c>
    </row>
    <row r="108" spans="2:32" x14ac:dyDescent="0.3">
      <c r="L108" s="17">
        <f>SUMIFS('FTE Detail'!$O$1:$O$99997,'FTE Detail'!$L$1:$L$99997,L$5,'FTE Detail'!$M$1:$M$99997,$B108,'FTE Detail'!$V$1:$V$99997,"NONE")</f>
        <v>0</v>
      </c>
      <c r="W108" s="17">
        <f>L108</f>
        <v>0</v>
      </c>
      <c r="Y108" s="3">
        <f t="shared" si="28"/>
        <v>0</v>
      </c>
    </row>
    <row r="111" spans="2:32" ht="18" x14ac:dyDescent="0.35">
      <c r="B111" s="67" t="s">
        <v>92</v>
      </c>
      <c r="C111" s="22" t="s">
        <v>823</v>
      </c>
      <c r="D111" s="67"/>
      <c r="F111" t="s">
        <v>769</v>
      </c>
      <c r="G111" s="67" t="s">
        <v>3</v>
      </c>
      <c r="P111" t="s">
        <v>770</v>
      </c>
      <c r="W111" t="s">
        <v>81</v>
      </c>
      <c r="X111" t="str">
        <f>X4</f>
        <v>June #2</v>
      </c>
      <c r="Y111" t="s">
        <v>7</v>
      </c>
    </row>
    <row r="112" spans="2:32" ht="15" x14ac:dyDescent="0.3">
      <c r="B112" s="67"/>
      <c r="C112" s="72"/>
      <c r="D112" s="67"/>
      <c r="F112" s="17">
        <f>SUMIFS('FTE Detail'!$O$1:$O$99997,'FTE Detail'!$L$1:$L$99997,F$5,'FTE Detail'!$M$1:$M$99997,$B112,'FTE Detail'!$V$1:$V$99997,"NONE")</f>
        <v>0</v>
      </c>
      <c r="G112" s="17">
        <f>SUMIFS('FTE Detail'!$O$1:$O$99997,'FTE Detail'!$L$1:$L$99997,G$5,'FTE Detail'!$M$1:$M$99997,$B112,'FTE Detail'!$V$1:$V$99997,"NONE")</f>
        <v>0</v>
      </c>
      <c r="P112" s="17">
        <f>SUMIFS('FTE Detail'!$O$1:$O$99997,'FTE Detail'!$L$1:$L$99997,P$5,'FTE Detail'!$M$1:$M$99997,$B112,'FTE Detail'!$V$1:$V$99997,"NONE")</f>
        <v>0</v>
      </c>
      <c r="W112" s="17">
        <f>SUM(F112:P112)</f>
        <v>0</v>
      </c>
      <c r="X112" s="17">
        <v>0</v>
      </c>
      <c r="Y112" s="17">
        <f>W112-X112</f>
        <v>0</v>
      </c>
    </row>
    <row r="113" spans="2:25" ht="15" x14ac:dyDescent="0.3">
      <c r="B113" s="67"/>
      <c r="C113" s="72"/>
      <c r="D113" s="67"/>
      <c r="F113" s="17">
        <f>SUMIFS('FTE Detail'!$O$1:$O$99997,'FTE Detail'!$L$1:$L$99997,F$5,'FTE Detail'!$M$1:$M$99997,$B113,'FTE Detail'!$V$1:$V$99997,"NONE")</f>
        <v>0</v>
      </c>
      <c r="G113" s="17">
        <f>SUMIFS('FTE Detail'!$O$1:$O$99997,'FTE Detail'!$L$1:$L$99997,G$5,'FTE Detail'!$M$1:$M$99997,$B113,'FTE Detail'!$V$1:$V$99997,"NONE")</f>
        <v>0</v>
      </c>
      <c r="P113" s="17">
        <f>SUMIFS('FTE Detail'!$O$1:$O$99997,'FTE Detail'!$L$1:$L$99997,P$5,'FTE Detail'!$M$1:$M$99997,$B113,'FTE Detail'!$V$1:$V$99997,"NONE")</f>
        <v>0</v>
      </c>
      <c r="W113" s="17">
        <f t="shared" ref="W113:W117" si="29">SUM(F113:P113)</f>
        <v>0</v>
      </c>
      <c r="X113" s="17">
        <v>0</v>
      </c>
      <c r="Y113" s="17">
        <f t="shared" ref="Y113:Y116" si="30">W113-X113</f>
        <v>0</v>
      </c>
    </row>
    <row r="114" spans="2:25" ht="15" x14ac:dyDescent="0.3">
      <c r="B114" s="67"/>
      <c r="C114" s="72"/>
      <c r="D114" s="67"/>
      <c r="F114" s="17">
        <f>SUMIFS('FTE Detail'!$O$1:$O$99997,'FTE Detail'!$L$1:$L$99997,F$5,'FTE Detail'!$M$1:$M$99997,$B114,'FTE Detail'!$V$1:$V$99997,"NONE")</f>
        <v>0</v>
      </c>
      <c r="G114" s="17">
        <f>SUMIFS('FTE Detail'!$O$1:$O$99997,'FTE Detail'!$L$1:$L$99997,G$5,'FTE Detail'!$M$1:$M$99997,$B114,'FTE Detail'!$V$1:$V$99997,"NONE")</f>
        <v>0</v>
      </c>
      <c r="P114" s="17">
        <f>SUMIFS('FTE Detail'!$O$1:$O$99997,'FTE Detail'!$L$1:$L$99997,P$5,'FTE Detail'!$M$1:$M$99997,$B114,'FTE Detail'!$V$1:$V$99997,"NONE")</f>
        <v>0</v>
      </c>
      <c r="W114" s="17">
        <f t="shared" si="29"/>
        <v>0</v>
      </c>
      <c r="X114" s="17">
        <v>0</v>
      </c>
      <c r="Y114" s="17">
        <f t="shared" si="30"/>
        <v>0</v>
      </c>
    </row>
    <row r="115" spans="2:25" ht="15" x14ac:dyDescent="0.3">
      <c r="B115" s="67"/>
      <c r="C115" s="72"/>
      <c r="F115" s="17">
        <f>SUMIFS('FTE Detail'!$O$1:$O$99997,'FTE Detail'!$L$1:$L$99997,F$5,'FTE Detail'!$M$1:$M$99997,$B115,'FTE Detail'!$V$1:$V$99997,"NONE")</f>
        <v>0</v>
      </c>
      <c r="G115" s="17">
        <f>SUMIFS('FTE Detail'!$O$1:$O$99997,'FTE Detail'!$L$1:$L$99997,G$5,'FTE Detail'!$M$1:$M$99997,$B115,'FTE Detail'!$V$1:$V$99997,"NONE")</f>
        <v>0</v>
      </c>
      <c r="P115" s="17">
        <f>SUMIFS('FTE Detail'!$O$1:$O$99997,'FTE Detail'!$L$1:$L$99997,P$5,'FTE Detail'!$M$1:$M$99997,$B115,'FTE Detail'!$V$1:$V$99997,"NONE")</f>
        <v>0</v>
      </c>
      <c r="W115" s="17">
        <f t="shared" si="29"/>
        <v>0</v>
      </c>
      <c r="X115" s="17">
        <v>0</v>
      </c>
      <c r="Y115" s="17">
        <f t="shared" si="30"/>
        <v>0</v>
      </c>
    </row>
    <row r="116" spans="2:25" ht="15" x14ac:dyDescent="0.3">
      <c r="B116" s="67"/>
      <c r="C116" s="72"/>
      <c r="F116" s="17">
        <f>SUMIFS('FTE Detail'!$O$1:$O$99997,'FTE Detail'!$L$1:$L$99997,F$5,'FTE Detail'!$M$1:$M$99997,$B116,'FTE Detail'!$V$1:$V$99997,"NONE")</f>
        <v>0</v>
      </c>
      <c r="G116" s="17">
        <f>SUMIFS('FTE Detail'!$O$1:$O$99997,'FTE Detail'!$L$1:$L$99997,G$5,'FTE Detail'!$M$1:$M$99997,$B116,'FTE Detail'!$V$1:$V$99997,"NONE")</f>
        <v>0</v>
      </c>
      <c r="P116" s="17">
        <f>SUMIFS('FTE Detail'!$O$1:$O$99997,'FTE Detail'!$L$1:$L$99997,P$5,'FTE Detail'!$M$1:$M$99997,$B116,'FTE Detail'!$V$1:$V$99997,"NONE")</f>
        <v>0</v>
      </c>
      <c r="W116" s="17">
        <f t="shared" si="29"/>
        <v>0</v>
      </c>
      <c r="X116" s="17">
        <v>0</v>
      </c>
      <c r="Y116" s="17">
        <f t="shared" si="30"/>
        <v>0</v>
      </c>
    </row>
    <row r="117" spans="2:25" x14ac:dyDescent="0.3">
      <c r="B117" s="67"/>
      <c r="G117" s="17"/>
      <c r="W117" s="17">
        <f t="shared" si="29"/>
        <v>0</v>
      </c>
      <c r="X117" s="17">
        <f t="shared" ref="X117:Y117" si="31">SUM(X112:X116)</f>
        <v>0</v>
      </c>
      <c r="Y117" s="17">
        <f t="shared" si="31"/>
        <v>0</v>
      </c>
    </row>
    <row r="119" spans="2:25" ht="18" x14ac:dyDescent="0.35">
      <c r="B119" s="67" t="s">
        <v>92</v>
      </c>
      <c r="C119" s="22" t="s">
        <v>824</v>
      </c>
      <c r="D119" s="67"/>
      <c r="L119" s="67" t="s">
        <v>138</v>
      </c>
      <c r="W119" t="s">
        <v>81</v>
      </c>
      <c r="X119" t="str">
        <f>X4</f>
        <v>June #2</v>
      </c>
      <c r="Y119" t="s">
        <v>7</v>
      </c>
    </row>
    <row r="120" spans="2:25" ht="15" x14ac:dyDescent="0.3">
      <c r="B120" s="67">
        <v>48363</v>
      </c>
      <c r="C120" s="72" t="s">
        <v>3832</v>
      </c>
      <c r="L120" s="17">
        <f>SUMIFS('FTE Detail'!$O$1:$O$99997,'FTE Detail'!$L$1:$L$99997,L$5,'FTE Detail'!$H$1:$H$99997,$B120,'FTE Detail'!$V$1:$V$99997,"FULL")</f>
        <v>1</v>
      </c>
      <c r="W120" s="60">
        <f>L120</f>
        <v>1</v>
      </c>
      <c r="X120" s="37">
        <v>1</v>
      </c>
      <c r="Y120" s="60">
        <f>W120-X120</f>
        <v>0</v>
      </c>
    </row>
    <row r="121" spans="2:25" ht="15" x14ac:dyDescent="0.3">
      <c r="B121" s="67"/>
      <c r="C121" s="72"/>
      <c r="L121" s="17">
        <f>SUMIFS('FTE Detail'!$O$1:$O$99997,'FTE Detail'!$L$1:$L$99997,L$5,'FTE Detail'!$H$1:$H$99997,$B121,'FTE Detail'!$V$1:$V$99997,"FULL")</f>
        <v>0</v>
      </c>
      <c r="W121" s="60">
        <f>L121</f>
        <v>0</v>
      </c>
      <c r="X121">
        <v>0</v>
      </c>
      <c r="Y121" s="60">
        <f>W121-X121</f>
        <v>0</v>
      </c>
    </row>
    <row r="122" spans="2:25" x14ac:dyDescent="0.3">
      <c r="W122" s="60">
        <f>SUM(W120:W121)</f>
        <v>1</v>
      </c>
      <c r="X122" s="60">
        <f t="shared" ref="X122:Y122" si="32">SUM(X120:X121)</f>
        <v>1</v>
      </c>
      <c r="Y122" s="60">
        <f t="shared" si="32"/>
        <v>0</v>
      </c>
    </row>
    <row r="126" spans="2:25" ht="18" x14ac:dyDescent="0.35">
      <c r="B126" s="67" t="s">
        <v>92</v>
      </c>
      <c r="C126" s="22" t="s">
        <v>825</v>
      </c>
      <c r="D126" s="67"/>
      <c r="F126" t="s">
        <v>769</v>
      </c>
      <c r="G126" s="67" t="s">
        <v>3</v>
      </c>
      <c r="Q126" t="s">
        <v>770</v>
      </c>
      <c r="W126" t="s">
        <v>81</v>
      </c>
      <c r="X126" t="str">
        <f>X4</f>
        <v>June #2</v>
      </c>
      <c r="Y126" t="s">
        <v>7</v>
      </c>
    </row>
    <row r="127" spans="2:25" ht="15" x14ac:dyDescent="0.3">
      <c r="C127" s="72"/>
      <c r="F127" s="17">
        <f>SUMIFS('FTE Detail'!$O$1:$O$99997,'FTE Detail'!$L$1:$L$99997,F$5,'FTE Detail'!$H$1:$H$99997,$B127,'FTE Detail'!$V$1:$V$99997,"FULL")</f>
        <v>0</v>
      </c>
      <c r="G127" s="17">
        <f>SUMIFS('FTE Detail'!$O$1:$O$99997,'FTE Detail'!$L$1:$L$99997,G$5,'FTE Detail'!$H$1:$H$99997,$B127,'FTE Detail'!$V$1:$V$99997,"FULL")</f>
        <v>0</v>
      </c>
      <c r="Q127" s="17">
        <f>SUMIFS('FTE Detail'!$O$1:$O$99997,'FTE Detail'!$L$1:$L$99997,Q$5,'FTE Detail'!$H$1:$H$99997,$B127,'FTE Detail'!$V$1:$V$99997,"FULL")</f>
        <v>0</v>
      </c>
      <c r="W127" s="60">
        <f>SUM(F127:Q127)</f>
        <v>0</v>
      </c>
      <c r="X127" s="17"/>
      <c r="Y127" s="60">
        <f>W127-X127</f>
        <v>0</v>
      </c>
    </row>
    <row r="128" spans="2:25" ht="15" x14ac:dyDescent="0.3">
      <c r="C128" s="72"/>
      <c r="F128" s="17">
        <f>SUMIFS('FTE Detail'!$O$1:$O$99997,'FTE Detail'!$L$1:$L$99997,F$5,'FTE Detail'!$H$1:$H$99997,$B128,'FTE Detail'!$V$1:$V$99997,"FULL")</f>
        <v>0</v>
      </c>
      <c r="G128" s="17">
        <f>SUMIFS('FTE Detail'!$O$1:$O$99997,'FTE Detail'!$L$1:$L$99997,G$5,'FTE Detail'!$H$1:$H$99997,$B128,'FTE Detail'!$V$1:$V$99997,"FULL")</f>
        <v>0</v>
      </c>
      <c r="Q128" s="17">
        <f>SUMIFS('FTE Detail'!$O$1:$O$99997,'FTE Detail'!$L$1:$L$99997,Q$5,'FTE Detail'!$H$1:$H$99997,$B128,'FTE Detail'!$V$1:$V$99997,"FULL")</f>
        <v>0</v>
      </c>
      <c r="W128" s="60">
        <f t="shared" ref="W128:W132" si="33">SUM(F128:Q128)</f>
        <v>0</v>
      </c>
      <c r="X128" s="17"/>
      <c r="Y128" s="60">
        <f t="shared" ref="Y128:Y131" si="34">W128-X128</f>
        <v>0</v>
      </c>
    </row>
    <row r="129" spans="3:25" ht="15" x14ac:dyDescent="0.3">
      <c r="C129" s="72"/>
      <c r="F129" s="17">
        <f>SUMIFS('FTE Detail'!$O$1:$O$99997,'FTE Detail'!$L$1:$L$99997,F$5,'FTE Detail'!$H$1:$H$99997,$B129,'FTE Detail'!$V$1:$V$99997,"FULL")</f>
        <v>0</v>
      </c>
      <c r="G129" s="17">
        <f>SUMIFS('FTE Detail'!$O$1:$O$99997,'FTE Detail'!$L$1:$L$99997,G$5,'FTE Detail'!$H$1:$H$99997,$B129,'FTE Detail'!$V$1:$V$99997,"FULL")</f>
        <v>0</v>
      </c>
      <c r="Q129" s="17">
        <f>SUMIFS('FTE Detail'!$O$1:$O$99997,'FTE Detail'!$L$1:$L$99997,Q$5,'FTE Detail'!$H$1:$H$99997,$B129,'FTE Detail'!$V$1:$V$99997,"FULL")</f>
        <v>0</v>
      </c>
      <c r="W129" s="60">
        <f t="shared" si="33"/>
        <v>0</v>
      </c>
      <c r="X129" s="17"/>
      <c r="Y129" s="60">
        <f t="shared" si="34"/>
        <v>0</v>
      </c>
    </row>
    <row r="130" spans="3:25" ht="15" x14ac:dyDescent="0.3">
      <c r="C130" s="72"/>
      <c r="F130" s="17">
        <f>SUMIFS('FTE Detail'!$O$1:$O$99997,'FTE Detail'!$L$1:$L$99997,F$5,'FTE Detail'!$H$1:$H$99997,$B130,'FTE Detail'!$V$1:$V$99997,"FULL")</f>
        <v>0</v>
      </c>
      <c r="G130" s="17">
        <f>SUMIFS('FTE Detail'!$O$1:$O$99997,'FTE Detail'!$L$1:$L$99997,G$5,'FTE Detail'!$H$1:$H$99997,$B130,'FTE Detail'!$V$1:$V$99997,"FULL")</f>
        <v>0</v>
      </c>
      <c r="Q130" s="17">
        <f>SUMIFS('FTE Detail'!$O$1:$O$99997,'FTE Detail'!$L$1:$L$99997,Q$5,'FTE Detail'!$H$1:$H$99997,$B130,'FTE Detail'!$V$1:$V$99997,"FULL")</f>
        <v>0</v>
      </c>
      <c r="W130" s="60">
        <f t="shared" si="33"/>
        <v>0</v>
      </c>
      <c r="X130" s="17"/>
      <c r="Y130" s="60">
        <f t="shared" si="34"/>
        <v>0</v>
      </c>
    </row>
    <row r="131" spans="3:25" ht="15" x14ac:dyDescent="0.3">
      <c r="C131" s="72"/>
      <c r="F131" s="17">
        <f>SUMIFS('FTE Detail'!$O$1:$O$99997,'FTE Detail'!$L$1:$L$99997,F$5,'FTE Detail'!$H$1:$H$99997,$B131,'FTE Detail'!$V$1:$V$99997,"FULL")</f>
        <v>0</v>
      </c>
      <c r="G131" s="17">
        <f>SUMIFS('FTE Detail'!$O$1:$O$99997,'FTE Detail'!$L$1:$L$99997,G$5,'FTE Detail'!$H$1:$H$99997,$B131,'FTE Detail'!$V$1:$V$99997,"FULL")</f>
        <v>0</v>
      </c>
      <c r="Q131" s="17">
        <f>SUMIFS('FTE Detail'!$O$1:$O$99997,'FTE Detail'!$L$1:$L$99997,Q$5,'FTE Detail'!$H$1:$H$99997,$B131,'FTE Detail'!$V$1:$V$99997,"FULL")</f>
        <v>0</v>
      </c>
      <c r="W131" s="60">
        <f t="shared" si="33"/>
        <v>0</v>
      </c>
      <c r="X131" s="17"/>
      <c r="Y131" s="60">
        <f t="shared" si="34"/>
        <v>0</v>
      </c>
    </row>
    <row r="132" spans="3:25" x14ac:dyDescent="0.3">
      <c r="W132" s="60">
        <f t="shared" si="33"/>
        <v>0</v>
      </c>
      <c r="X132" s="60">
        <f t="shared" ref="X132:Y132" si="35">SUM(X127:X131)</f>
        <v>0</v>
      </c>
      <c r="Y132" s="60">
        <f t="shared" si="35"/>
        <v>0</v>
      </c>
    </row>
    <row r="133" spans="3:25" x14ac:dyDescent="0.3">
      <c r="W133" s="60"/>
      <c r="X133" s="60"/>
      <c r="Y133" s="60"/>
    </row>
    <row r="134" spans="3:25" x14ac:dyDescent="0.3">
      <c r="W134" s="60"/>
      <c r="X134" s="60"/>
      <c r="Y134" s="60"/>
    </row>
    <row r="136" spans="3:25" ht="58.2" x14ac:dyDescent="0.35">
      <c r="C136" s="22" t="s">
        <v>826</v>
      </c>
      <c r="D136" s="54"/>
      <c r="H136" s="75" t="s">
        <v>768</v>
      </c>
      <c r="S136" t="s">
        <v>827</v>
      </c>
      <c r="T136" t="s">
        <v>828</v>
      </c>
      <c r="U136" s="67">
        <v>0.5</v>
      </c>
      <c r="V136" s="58" t="s">
        <v>830</v>
      </c>
      <c r="W136" s="58" t="s">
        <v>829</v>
      </c>
    </row>
    <row r="137" spans="3:25" x14ac:dyDescent="0.3">
      <c r="C137" t="s">
        <v>86</v>
      </c>
      <c r="D137" s="8"/>
      <c r="H137" s="8">
        <f>SUMIFS('FTE Detail'!$O$1:$O$99999,'FTE Detail'!$L$1:$L$99999,H$43,'FTE Detail'!$A$1:$A$99999,SFPR!$B$4,'FTE Detail'!$V$1:$V$99999,"FULL",'FTE Detail'!$R$1:$R$99999,1)</f>
        <v>0</v>
      </c>
      <c r="S137" s="17">
        <v>4000</v>
      </c>
      <c r="T137" s="73">
        <v>1547</v>
      </c>
      <c r="U137" s="67">
        <v>0.5</v>
      </c>
      <c r="V137" s="76"/>
      <c r="W137" s="17">
        <f>SUM(((H137*S137)+(H137*T137*U137*V137)))</f>
        <v>0</v>
      </c>
    </row>
    <row r="138" spans="3:25" x14ac:dyDescent="0.3">
      <c r="C138" t="s">
        <v>87</v>
      </c>
      <c r="D138" s="8"/>
      <c r="H138" s="8">
        <f>SUMIFS('FTE Detail'!$O$1:$O$99999,'FTE Detail'!$L$1:$L$99999,H$43,'FTE Detail'!$A$1:$A$99999,SFPR!$B$4,'FTE Detail'!$V$1:$V$99999,"FULL",'FTE Detail'!$R$1:$R$99999,2)</f>
        <v>0</v>
      </c>
      <c r="S138" s="60">
        <f>S137</f>
        <v>4000</v>
      </c>
      <c r="T138" s="73">
        <v>3926</v>
      </c>
      <c r="U138" s="67">
        <v>0.5</v>
      </c>
      <c r="V138" s="74">
        <f>V137</f>
        <v>0</v>
      </c>
      <c r="W138" s="17">
        <f t="shared" ref="W138:W142" si="36">SUM(((H138*S138)+(H138*T138*U138*V138)))</f>
        <v>0</v>
      </c>
    </row>
    <row r="139" spans="3:25" x14ac:dyDescent="0.3">
      <c r="C139" t="s">
        <v>88</v>
      </c>
      <c r="D139" s="8"/>
      <c r="H139" s="8">
        <f>SUMIFS('FTE Detail'!$O$1:$O$99999,'FTE Detail'!$L$1:$L$99999,H$43,'FTE Detail'!$A$1:$A$99999,SFPR!$B$4,'FTE Detail'!$V$1:$V$99999,"FULL",'FTE Detail'!$R$1:$R$99999,3)</f>
        <v>0</v>
      </c>
      <c r="S139" s="60">
        <f t="shared" ref="S139:S142" si="37">S138</f>
        <v>4000</v>
      </c>
      <c r="T139" s="73">
        <v>9433</v>
      </c>
      <c r="U139" s="67">
        <v>0.5</v>
      </c>
      <c r="V139" s="74">
        <f t="shared" ref="V139:V142" si="38">V138</f>
        <v>0</v>
      </c>
      <c r="W139" s="17">
        <f t="shared" si="36"/>
        <v>0</v>
      </c>
    </row>
    <row r="140" spans="3:25" x14ac:dyDescent="0.3">
      <c r="C140" t="s">
        <v>89</v>
      </c>
      <c r="D140" s="8"/>
      <c r="H140" s="8">
        <f>SUMIFS('FTE Detail'!$O$1:$O$99999,'FTE Detail'!$L$1:$L$99999,H$43,'FTE Detail'!$A$1:$A$99999,SFPR!$B$4,'FTE Detail'!$V$1:$V$99999,"FULL",'FTE Detail'!$R$1:$R$99999,4)</f>
        <v>0</v>
      </c>
      <c r="S140" s="60">
        <f t="shared" si="37"/>
        <v>4000</v>
      </c>
      <c r="T140" s="73">
        <v>12589</v>
      </c>
      <c r="U140" s="67">
        <v>0.5</v>
      </c>
      <c r="V140" s="74">
        <f t="shared" si="38"/>
        <v>0</v>
      </c>
      <c r="W140" s="17">
        <f t="shared" si="36"/>
        <v>0</v>
      </c>
    </row>
    <row r="141" spans="3:25" x14ac:dyDescent="0.3">
      <c r="C141" t="s">
        <v>90</v>
      </c>
      <c r="D141" s="8"/>
      <c r="H141" s="8">
        <f>SUMIFS('FTE Detail'!$O$1:$O$99999,'FTE Detail'!$L$1:$L$99999,H$43,'FTE Detail'!$A$1:$A$99999,SFPR!$B$4,'FTE Detail'!$V$1:$V$99999,"FULL",'FTE Detail'!$R$1:$R$99999,5)</f>
        <v>0</v>
      </c>
      <c r="S141" s="60">
        <f t="shared" si="37"/>
        <v>4000</v>
      </c>
      <c r="T141" s="73">
        <v>17049</v>
      </c>
      <c r="U141" s="67">
        <v>0.5</v>
      </c>
      <c r="V141" s="74">
        <f t="shared" si="38"/>
        <v>0</v>
      </c>
      <c r="W141" s="17">
        <f t="shared" si="36"/>
        <v>0</v>
      </c>
    </row>
    <row r="142" spans="3:25" x14ac:dyDescent="0.3">
      <c r="C142" t="s">
        <v>91</v>
      </c>
      <c r="D142" s="8"/>
      <c r="H142" s="8">
        <f>SUMIFS('FTE Detail'!$O$1:$O$99999,'FTE Detail'!$L$1:$L$99999,H$43,'FTE Detail'!$A$1:$A$99999,SFPR!$B$4,'FTE Detail'!$V$1:$V$99999,"FULL",'FTE Detail'!$R$1:$R$99999,5)</f>
        <v>0</v>
      </c>
      <c r="S142" s="60">
        <f t="shared" si="37"/>
        <v>4000</v>
      </c>
      <c r="T142" s="73">
        <v>25134</v>
      </c>
      <c r="U142" s="67">
        <v>0.5</v>
      </c>
      <c r="V142" s="74">
        <f t="shared" si="38"/>
        <v>0</v>
      </c>
      <c r="W142" s="17">
        <f t="shared" si="36"/>
        <v>0</v>
      </c>
    </row>
    <row r="143" spans="3:25" x14ac:dyDescent="0.3">
      <c r="V143" s="63" t="s">
        <v>103</v>
      </c>
      <c r="W143" s="60">
        <f>SUM(W137:W142)</f>
        <v>0</v>
      </c>
    </row>
  </sheetData>
  <mergeCells count="4">
    <mergeCell ref="I4:R4"/>
    <mergeCell ref="I3:R3"/>
    <mergeCell ref="D3:G3"/>
    <mergeCell ref="D4:G4"/>
  </mergeCells>
  <printOptions headings="1" gridLines="1"/>
  <pageMargins left="0" right="0" top="0" bottom="0" header="0" footer="0"/>
  <pageSetup scale="50" orientation="landscape" horizontalDpi="4294967293" verticalDpi="4294967293" r:id="rId1"/>
  <headerFooter>
    <oddFooter>&amp;C&amp;P&amp;R&amp;D &amp;T</oddFooter>
  </headerFooter>
  <rowBreaks count="1" manualBreakCount="1">
    <brk id="62"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J18" sqref="J18"/>
    </sheetView>
  </sheetViews>
  <sheetFormatPr defaultRowHeight="14.4" x14ac:dyDescent="0.3"/>
  <cols>
    <col min="1" max="1" width="5.44140625" bestFit="1" customWidth="1"/>
    <col min="2" max="2" width="29.109375" bestFit="1" customWidth="1"/>
    <col min="3" max="3" width="10.5546875" bestFit="1" customWidth="1"/>
    <col min="4" max="4" width="10" bestFit="1" customWidth="1"/>
    <col min="5" max="21" width="8.88671875" customWidth="1"/>
    <col min="22" max="22" width="11" bestFit="1" customWidth="1"/>
  </cols>
  <sheetData>
    <row r="1" spans="1:12" x14ac:dyDescent="0.3">
      <c r="A1" s="66" t="s">
        <v>92</v>
      </c>
      <c r="B1" t="s">
        <v>139</v>
      </c>
      <c r="C1" t="s">
        <v>3752</v>
      </c>
      <c r="D1" t="s">
        <v>3753</v>
      </c>
      <c r="E1" t="s">
        <v>3754</v>
      </c>
      <c r="F1" t="s">
        <v>3755</v>
      </c>
      <c r="G1" t="s">
        <v>3756</v>
      </c>
      <c r="H1" t="s">
        <v>3757</v>
      </c>
      <c r="I1" t="s">
        <v>3758</v>
      </c>
      <c r="J1" t="s">
        <v>3759</v>
      </c>
      <c r="K1" t="s">
        <v>3760</v>
      </c>
      <c r="L1" t="s">
        <v>3761</v>
      </c>
    </row>
    <row r="2" spans="1:12" x14ac:dyDescent="0.3">
      <c r="A2" s="19">
        <v>236</v>
      </c>
      <c r="B2" t="s">
        <v>3766</v>
      </c>
      <c r="C2" s="17">
        <v>2</v>
      </c>
      <c r="D2" s="3">
        <v>11800</v>
      </c>
      <c r="E2">
        <v>0</v>
      </c>
      <c r="F2">
        <v>0</v>
      </c>
      <c r="G2">
        <v>0</v>
      </c>
      <c r="H2">
        <v>0</v>
      </c>
      <c r="I2">
        <v>0</v>
      </c>
      <c r="J2" s="3">
        <v>1093.42</v>
      </c>
      <c r="K2">
        <v>0</v>
      </c>
      <c r="L2" s="3">
        <v>12893.42</v>
      </c>
    </row>
    <row r="3" spans="1:12" x14ac:dyDescent="0.3">
      <c r="A3" s="77">
        <v>623</v>
      </c>
      <c r="B3" t="s">
        <v>3768</v>
      </c>
      <c r="C3" s="17">
        <v>1</v>
      </c>
      <c r="D3" s="3">
        <v>5900</v>
      </c>
      <c r="E3">
        <v>0</v>
      </c>
      <c r="F3">
        <v>0</v>
      </c>
      <c r="G3">
        <v>13.35</v>
      </c>
      <c r="H3">
        <v>0</v>
      </c>
      <c r="I3" s="3">
        <v>3180.06</v>
      </c>
      <c r="J3" s="3">
        <v>0</v>
      </c>
      <c r="K3">
        <v>0</v>
      </c>
      <c r="L3" s="3">
        <v>9093.41</v>
      </c>
    </row>
    <row r="4" spans="1:12" x14ac:dyDescent="0.3">
      <c r="A4" s="19">
        <v>133413</v>
      </c>
      <c r="B4" t="s">
        <v>3764</v>
      </c>
      <c r="C4" s="17">
        <v>3.93</v>
      </c>
      <c r="D4" s="3">
        <v>23187</v>
      </c>
      <c r="E4">
        <v>0</v>
      </c>
      <c r="F4">
        <v>0</v>
      </c>
      <c r="G4">
        <v>0</v>
      </c>
      <c r="H4">
        <v>0</v>
      </c>
      <c r="I4" s="3">
        <v>26681</v>
      </c>
      <c r="J4">
        <v>125.8</v>
      </c>
      <c r="K4">
        <v>0</v>
      </c>
      <c r="L4" s="3">
        <v>49993.8</v>
      </c>
    </row>
    <row r="5" spans="1:12" x14ac:dyDescent="0.3">
      <c r="A5" s="19">
        <v>142950</v>
      </c>
      <c r="B5" t="s">
        <v>3767</v>
      </c>
      <c r="C5" s="17">
        <v>4.05</v>
      </c>
      <c r="D5" s="3">
        <v>23895</v>
      </c>
      <c r="E5">
        <v>0</v>
      </c>
      <c r="F5">
        <v>0</v>
      </c>
      <c r="G5">
        <v>0</v>
      </c>
      <c r="H5">
        <v>0</v>
      </c>
      <c r="I5">
        <v>0</v>
      </c>
      <c r="J5">
        <v>0</v>
      </c>
      <c r="K5">
        <v>0</v>
      </c>
      <c r="L5" s="3">
        <v>23895</v>
      </c>
    </row>
    <row r="6" spans="1:12" x14ac:dyDescent="0.3">
      <c r="A6" s="19">
        <v>143396</v>
      </c>
      <c r="B6" t="s">
        <v>3762</v>
      </c>
      <c r="C6" s="17">
        <v>2</v>
      </c>
      <c r="D6" s="3">
        <v>11800</v>
      </c>
      <c r="E6">
        <v>0</v>
      </c>
      <c r="F6">
        <v>0</v>
      </c>
      <c r="G6">
        <v>0</v>
      </c>
      <c r="H6">
        <v>0</v>
      </c>
      <c r="I6" s="3">
        <v>2080.7800000000002</v>
      </c>
      <c r="J6">
        <v>0</v>
      </c>
      <c r="K6">
        <v>0</v>
      </c>
      <c r="L6" s="3">
        <v>13880.78</v>
      </c>
    </row>
    <row r="7" spans="1:12" x14ac:dyDescent="0.3">
      <c r="A7" s="19">
        <v>148999</v>
      </c>
      <c r="B7" t="s">
        <v>3765</v>
      </c>
      <c r="C7" s="17">
        <v>2.29</v>
      </c>
      <c r="D7" s="3">
        <v>13511</v>
      </c>
      <c r="E7">
        <v>0</v>
      </c>
      <c r="F7">
        <v>0</v>
      </c>
      <c r="G7">
        <v>0</v>
      </c>
      <c r="H7">
        <v>0</v>
      </c>
      <c r="I7" s="3">
        <v>1648.92</v>
      </c>
      <c r="J7">
        <v>0</v>
      </c>
      <c r="K7">
        <v>0</v>
      </c>
      <c r="L7" s="3">
        <v>15159.92</v>
      </c>
    </row>
    <row r="8" spans="1:12" x14ac:dyDescent="0.3">
      <c r="A8" s="19"/>
      <c r="C8" s="60">
        <f>SUM(C2:C7)</f>
        <v>15.27</v>
      </c>
      <c r="D8" s="3"/>
      <c r="I8" s="3"/>
      <c r="L8" s="3"/>
    </row>
    <row r="9" spans="1:12" x14ac:dyDescent="0.3">
      <c r="A9" s="19"/>
      <c r="D9" s="3"/>
      <c r="L9" s="3"/>
    </row>
    <row r="10" spans="1:12" x14ac:dyDescent="0.3">
      <c r="A10" s="19">
        <v>14231</v>
      </c>
      <c r="B10" t="s">
        <v>3763</v>
      </c>
      <c r="C10" s="17">
        <v>4</v>
      </c>
      <c r="D10" s="3">
        <v>23600</v>
      </c>
      <c r="E10">
        <v>0</v>
      </c>
      <c r="F10">
        <v>0</v>
      </c>
      <c r="G10">
        <v>0</v>
      </c>
      <c r="H10">
        <v>0</v>
      </c>
      <c r="I10">
        <v>0</v>
      </c>
      <c r="J10">
        <v>0</v>
      </c>
      <c r="K10">
        <v>0</v>
      </c>
      <c r="L10" s="3">
        <v>23600</v>
      </c>
    </row>
    <row r="11" spans="1:12" x14ac:dyDescent="0.3">
      <c r="A11" s="19"/>
      <c r="D11" s="3"/>
      <c r="L11" s="3"/>
    </row>
    <row r="12" spans="1:12" x14ac:dyDescent="0.3">
      <c r="A12" s="19"/>
      <c r="D12" s="3"/>
      <c r="I12" s="3"/>
      <c r="J12" s="3"/>
      <c r="L12" s="3"/>
    </row>
    <row r="14" spans="1:12" x14ac:dyDescent="0.3">
      <c r="A14" s="49"/>
      <c r="D14" s="3"/>
      <c r="L14" s="3"/>
    </row>
  </sheetData>
  <sortState ref="A2:L8">
    <sortCondition ref="A6"/>
  </sortState>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
  <sheetViews>
    <sheetView topLeftCell="A23" workbookViewId="0">
      <selection activeCell="E47" activeCellId="15" sqref="E3 E5 E8 E11 E13 E15 E18 E20 E23 E25 E31 E37 E39 E41 E43 E47"/>
    </sheetView>
  </sheetViews>
  <sheetFormatPr defaultRowHeight="14.4" outlineLevelRow="2" x14ac:dyDescent="0.3"/>
  <cols>
    <col min="2" max="2" width="37.44140625" customWidth="1"/>
    <col min="3" max="3" width="12.5546875" bestFit="1" customWidth="1"/>
    <col min="4" max="4" width="5.5546875" bestFit="1" customWidth="1"/>
    <col min="5" max="5" width="8.77734375" style="17" bestFit="1" customWidth="1"/>
    <col min="6" max="6" width="8" style="17" bestFit="1" customWidth="1"/>
    <col min="7" max="7" width="18.5546875" bestFit="1" customWidth="1"/>
    <col min="8" max="8" width="9.33203125" bestFit="1" customWidth="1"/>
  </cols>
  <sheetData>
    <row r="1" spans="1:8" x14ac:dyDescent="0.3">
      <c r="A1" s="49" t="s">
        <v>92</v>
      </c>
      <c r="B1" t="s">
        <v>3769</v>
      </c>
      <c r="C1" t="s">
        <v>3770</v>
      </c>
      <c r="D1" t="s">
        <v>3771</v>
      </c>
      <c r="E1" s="17" t="s">
        <v>3772</v>
      </c>
      <c r="F1" s="17" t="s">
        <v>3772</v>
      </c>
      <c r="G1" t="s">
        <v>3773</v>
      </c>
      <c r="H1" t="s">
        <v>3774</v>
      </c>
    </row>
    <row r="2" spans="1:8" outlineLevel="2" x14ac:dyDescent="0.3">
      <c r="A2" s="19">
        <v>44065</v>
      </c>
      <c r="B2" t="s">
        <v>3775</v>
      </c>
      <c r="C2" t="s">
        <v>3776</v>
      </c>
      <c r="D2" t="s">
        <v>3777</v>
      </c>
      <c r="E2" s="17">
        <v>1</v>
      </c>
      <c r="F2" s="17">
        <v>1</v>
      </c>
      <c r="G2" s="57">
        <v>-5900</v>
      </c>
      <c r="H2" t="s">
        <v>104</v>
      </c>
    </row>
    <row r="3" spans="1:8" outlineLevel="1" x14ac:dyDescent="0.3">
      <c r="A3" s="2" t="s">
        <v>3811</v>
      </c>
      <c r="E3" s="17">
        <f>SUBTOTAL(9,E2:E2)</f>
        <v>1</v>
      </c>
      <c r="G3" s="57">
        <f>SUBTOTAL(9,G2:G2)</f>
        <v>-5900</v>
      </c>
      <c r="H3">
        <f>SUBTOTAL(9,H2:H2)</f>
        <v>0</v>
      </c>
    </row>
    <row r="4" spans="1:8" outlineLevel="2" x14ac:dyDescent="0.3">
      <c r="A4" s="19">
        <v>44735</v>
      </c>
      <c r="B4" t="s">
        <v>3778</v>
      </c>
      <c r="C4" t="s">
        <v>3779</v>
      </c>
      <c r="D4" t="s">
        <v>3777</v>
      </c>
      <c r="E4" s="17">
        <v>1</v>
      </c>
      <c r="F4" s="17">
        <v>1</v>
      </c>
      <c r="G4" s="57">
        <v>-5900</v>
      </c>
      <c r="H4" t="s">
        <v>104</v>
      </c>
    </row>
    <row r="5" spans="1:8" outlineLevel="1" x14ac:dyDescent="0.3">
      <c r="A5" s="2" t="s">
        <v>3812</v>
      </c>
      <c r="E5" s="17">
        <f>SUBTOTAL(9,E4:E4)</f>
        <v>1</v>
      </c>
      <c r="G5" s="57">
        <f>SUBTOTAL(9,G4:G4)</f>
        <v>-5900</v>
      </c>
      <c r="H5">
        <f>SUBTOTAL(9,H4:H4)</f>
        <v>0</v>
      </c>
    </row>
    <row r="6" spans="1:8" outlineLevel="2" x14ac:dyDescent="0.3">
      <c r="A6" s="19">
        <v>45161</v>
      </c>
      <c r="B6" t="s">
        <v>3783</v>
      </c>
      <c r="C6" t="s">
        <v>3781</v>
      </c>
      <c r="D6" t="s">
        <v>3784</v>
      </c>
      <c r="E6" s="17">
        <v>0.28999999999999998</v>
      </c>
      <c r="F6" s="17">
        <v>0.28999999999999998</v>
      </c>
      <c r="G6" s="57">
        <v>-1711</v>
      </c>
      <c r="H6" t="s">
        <v>104</v>
      </c>
    </row>
    <row r="7" spans="1:8" outlineLevel="2" x14ac:dyDescent="0.3">
      <c r="A7" s="19">
        <v>45161</v>
      </c>
      <c r="B7" t="s">
        <v>3783</v>
      </c>
      <c r="C7" t="s">
        <v>3781</v>
      </c>
      <c r="D7" t="s">
        <v>3785</v>
      </c>
      <c r="E7" s="17">
        <v>1</v>
      </c>
      <c r="F7" s="17">
        <v>1</v>
      </c>
      <c r="G7" s="57">
        <v>-5900</v>
      </c>
      <c r="H7" t="s">
        <v>104</v>
      </c>
    </row>
    <row r="8" spans="1:8" outlineLevel="1" x14ac:dyDescent="0.3">
      <c r="A8" s="2" t="s">
        <v>3813</v>
      </c>
      <c r="E8" s="17">
        <f>SUBTOTAL(9,E6:E7)</f>
        <v>1.29</v>
      </c>
      <c r="G8" s="57">
        <f>SUBTOTAL(9,G6:G7)</f>
        <v>-7611</v>
      </c>
      <c r="H8">
        <f>SUBTOTAL(9,H6:H7)</f>
        <v>0</v>
      </c>
    </row>
    <row r="9" spans="1:8" outlineLevel="2" x14ac:dyDescent="0.3">
      <c r="A9" s="19">
        <v>45328</v>
      </c>
      <c r="B9" t="s">
        <v>3786</v>
      </c>
      <c r="C9" t="s">
        <v>3779</v>
      </c>
      <c r="D9" t="s">
        <v>3777</v>
      </c>
      <c r="E9" s="17">
        <v>4.41</v>
      </c>
      <c r="F9" s="17">
        <v>4.41</v>
      </c>
      <c r="G9" s="57">
        <v>-26019</v>
      </c>
      <c r="H9" t="s">
        <v>104</v>
      </c>
    </row>
    <row r="10" spans="1:8" outlineLevel="2" x14ac:dyDescent="0.3">
      <c r="A10" s="19">
        <v>45328</v>
      </c>
      <c r="B10" t="s">
        <v>3786</v>
      </c>
      <c r="C10" t="s">
        <v>3779</v>
      </c>
      <c r="D10" t="s">
        <v>3784</v>
      </c>
      <c r="E10" s="17">
        <v>1</v>
      </c>
      <c r="F10" s="17">
        <v>1</v>
      </c>
      <c r="G10" s="57">
        <v>-5900</v>
      </c>
      <c r="H10" t="s">
        <v>104</v>
      </c>
    </row>
    <row r="11" spans="1:8" outlineLevel="1" x14ac:dyDescent="0.3">
      <c r="A11" s="2" t="s">
        <v>3814</v>
      </c>
      <c r="E11" s="17">
        <f>SUBTOTAL(9,E9:E10)</f>
        <v>5.41</v>
      </c>
      <c r="G11" s="57">
        <f>SUBTOTAL(9,G9:G10)</f>
        <v>-31919</v>
      </c>
      <c r="H11">
        <f>SUBTOTAL(9,H9:H10)</f>
        <v>0</v>
      </c>
    </row>
    <row r="12" spans="1:8" outlineLevel="2" x14ac:dyDescent="0.3">
      <c r="A12" s="19">
        <v>45443</v>
      </c>
      <c r="B12" t="s">
        <v>3787</v>
      </c>
      <c r="C12" t="s">
        <v>3779</v>
      </c>
      <c r="D12" t="s">
        <v>3777</v>
      </c>
      <c r="E12" s="17">
        <v>1</v>
      </c>
      <c r="F12" s="17">
        <v>1</v>
      </c>
      <c r="G12" s="57">
        <v>-5900</v>
      </c>
      <c r="H12" t="s">
        <v>104</v>
      </c>
    </row>
    <row r="13" spans="1:8" outlineLevel="1" x14ac:dyDescent="0.3">
      <c r="A13" s="2" t="s">
        <v>3815</v>
      </c>
      <c r="E13" s="17">
        <f>SUBTOTAL(9,E12:E12)</f>
        <v>1</v>
      </c>
      <c r="G13" s="57">
        <f>SUBTOTAL(9,G12:G12)</f>
        <v>-5900</v>
      </c>
      <c r="H13">
        <f>SUBTOTAL(9,H12:H12)</f>
        <v>0</v>
      </c>
    </row>
    <row r="14" spans="1:8" outlineLevel="2" x14ac:dyDescent="0.3">
      <c r="A14" s="19">
        <v>46425</v>
      </c>
      <c r="B14" t="s">
        <v>3788</v>
      </c>
      <c r="C14" t="s">
        <v>3779</v>
      </c>
      <c r="D14" t="s">
        <v>3777</v>
      </c>
      <c r="E14" s="17">
        <v>1</v>
      </c>
      <c r="F14" s="17">
        <v>1</v>
      </c>
      <c r="G14" s="57">
        <v>-5900</v>
      </c>
      <c r="H14" t="s">
        <v>104</v>
      </c>
    </row>
    <row r="15" spans="1:8" outlineLevel="1" x14ac:dyDescent="0.3">
      <c r="A15" s="2" t="s">
        <v>3816</v>
      </c>
      <c r="E15" s="17">
        <f>SUBTOTAL(9,E14:E14)</f>
        <v>1</v>
      </c>
      <c r="G15" s="57">
        <f>SUBTOTAL(9,G14:G14)</f>
        <v>-5900</v>
      </c>
      <c r="H15">
        <f>SUBTOTAL(9,H14:H14)</f>
        <v>0</v>
      </c>
    </row>
    <row r="16" spans="1:8" outlineLevel="2" x14ac:dyDescent="0.3">
      <c r="A16" s="19">
        <v>46433</v>
      </c>
      <c r="B16" t="s">
        <v>3789</v>
      </c>
      <c r="C16" t="s">
        <v>3779</v>
      </c>
      <c r="D16" t="s">
        <v>3777</v>
      </c>
      <c r="E16" s="17">
        <v>2</v>
      </c>
      <c r="F16" s="17">
        <v>2</v>
      </c>
      <c r="G16" s="57">
        <v>-11800</v>
      </c>
      <c r="H16" t="s">
        <v>104</v>
      </c>
    </row>
    <row r="17" spans="1:8" outlineLevel="2" x14ac:dyDescent="0.3">
      <c r="A17" s="19">
        <v>46433</v>
      </c>
      <c r="B17" t="s">
        <v>3789</v>
      </c>
      <c r="C17" t="s">
        <v>3779</v>
      </c>
      <c r="D17" t="s">
        <v>3784</v>
      </c>
      <c r="E17" s="17">
        <v>1</v>
      </c>
      <c r="F17" s="17">
        <v>1</v>
      </c>
      <c r="G17" s="57">
        <v>-5900</v>
      </c>
      <c r="H17" t="s">
        <v>104</v>
      </c>
    </row>
    <row r="18" spans="1:8" outlineLevel="1" x14ac:dyDescent="0.3">
      <c r="A18" s="2" t="s">
        <v>3817</v>
      </c>
      <c r="E18" s="17">
        <f>SUBTOTAL(9,E16:E17)</f>
        <v>3</v>
      </c>
      <c r="G18" s="57">
        <f>SUBTOTAL(9,G16:G17)</f>
        <v>-17700</v>
      </c>
      <c r="H18">
        <f>SUBTOTAL(9,H16:H17)</f>
        <v>0</v>
      </c>
    </row>
    <row r="19" spans="1:8" outlineLevel="2" x14ac:dyDescent="0.3">
      <c r="A19" s="19">
        <v>46441</v>
      </c>
      <c r="B19" t="s">
        <v>3790</v>
      </c>
      <c r="C19" t="s">
        <v>3779</v>
      </c>
      <c r="D19" t="s">
        <v>3777</v>
      </c>
      <c r="E19" s="17">
        <v>0.28999999999999998</v>
      </c>
      <c r="F19" s="17">
        <v>0.28999999999999998</v>
      </c>
      <c r="G19" s="57">
        <v>-1711</v>
      </c>
      <c r="H19" t="s">
        <v>104</v>
      </c>
    </row>
    <row r="20" spans="1:8" outlineLevel="1" x14ac:dyDescent="0.3">
      <c r="A20" s="2" t="s">
        <v>3818</v>
      </c>
      <c r="E20" s="17">
        <f>SUBTOTAL(9,E19:E19)</f>
        <v>0.28999999999999998</v>
      </c>
      <c r="G20" s="57">
        <f>SUBTOTAL(9,G19:G19)</f>
        <v>-1711</v>
      </c>
      <c r="H20">
        <f>SUBTOTAL(9,H19:H19)</f>
        <v>0</v>
      </c>
    </row>
    <row r="21" spans="1:8" outlineLevel="2" x14ac:dyDescent="0.3">
      <c r="A21" s="19">
        <v>48298</v>
      </c>
      <c r="B21" t="s">
        <v>3791</v>
      </c>
      <c r="C21" t="s">
        <v>3781</v>
      </c>
      <c r="D21" t="s">
        <v>3777</v>
      </c>
      <c r="E21" s="17">
        <v>6</v>
      </c>
      <c r="F21" s="17">
        <v>6</v>
      </c>
      <c r="G21" s="57">
        <v>-35400</v>
      </c>
      <c r="H21" t="s">
        <v>104</v>
      </c>
    </row>
    <row r="22" spans="1:8" outlineLevel="2" x14ac:dyDescent="0.3">
      <c r="A22" s="19">
        <v>48298</v>
      </c>
      <c r="B22" t="s">
        <v>3791</v>
      </c>
      <c r="C22" t="s">
        <v>3781</v>
      </c>
      <c r="D22" t="s">
        <v>3784</v>
      </c>
      <c r="E22" s="17">
        <v>2</v>
      </c>
      <c r="F22" s="17">
        <v>2</v>
      </c>
      <c r="G22" s="57">
        <v>-11800</v>
      </c>
      <c r="H22" t="s">
        <v>104</v>
      </c>
    </row>
    <row r="23" spans="1:8" outlineLevel="1" x14ac:dyDescent="0.3">
      <c r="A23" s="2" t="s">
        <v>3819</v>
      </c>
      <c r="E23" s="17">
        <f>SUBTOTAL(9,E21:E22)</f>
        <v>8</v>
      </c>
      <c r="G23" s="57">
        <f>SUBTOTAL(9,G21:G22)</f>
        <v>-47200</v>
      </c>
      <c r="H23">
        <f>SUBTOTAL(9,H21:H22)</f>
        <v>0</v>
      </c>
    </row>
    <row r="24" spans="1:8" outlineLevel="2" x14ac:dyDescent="0.3">
      <c r="A24" s="19">
        <v>48322</v>
      </c>
      <c r="B24" t="s">
        <v>3792</v>
      </c>
      <c r="C24" t="s">
        <v>3781</v>
      </c>
      <c r="D24" t="s">
        <v>3777</v>
      </c>
      <c r="E24" s="17">
        <v>1.31</v>
      </c>
      <c r="F24" s="17">
        <v>1.31</v>
      </c>
      <c r="G24" s="57">
        <v>-7729</v>
      </c>
      <c r="H24" t="s">
        <v>104</v>
      </c>
    </row>
    <row r="25" spans="1:8" outlineLevel="1" x14ac:dyDescent="0.3">
      <c r="A25" s="2" t="s">
        <v>3820</v>
      </c>
      <c r="E25" s="17">
        <f>SUBTOTAL(9,E24:E24)</f>
        <v>1.31</v>
      </c>
      <c r="G25" s="57">
        <f>SUBTOTAL(9,G24:G24)</f>
        <v>-7729</v>
      </c>
      <c r="H25">
        <f>SUBTOTAL(9,H24:H24)</f>
        <v>0</v>
      </c>
    </row>
    <row r="26" spans="1:8" outlineLevel="2" x14ac:dyDescent="0.3">
      <c r="A26" s="19">
        <v>48363</v>
      </c>
      <c r="B26" t="s">
        <v>3803</v>
      </c>
      <c r="C26" t="s">
        <v>3804</v>
      </c>
      <c r="D26" t="s">
        <v>3805</v>
      </c>
      <c r="E26" s="17">
        <v>1.2</v>
      </c>
      <c r="F26" s="17">
        <v>0.24</v>
      </c>
      <c r="G26" s="57">
        <v>-1416</v>
      </c>
      <c r="H26" t="s">
        <v>860</v>
      </c>
    </row>
    <row r="27" spans="1:8" outlineLevel="2" x14ac:dyDescent="0.3">
      <c r="A27" s="19">
        <v>48363</v>
      </c>
      <c r="B27" t="s">
        <v>3795</v>
      </c>
      <c r="C27" t="s">
        <v>3781</v>
      </c>
      <c r="D27" t="s">
        <v>3777</v>
      </c>
      <c r="E27" s="17">
        <v>48.37</v>
      </c>
      <c r="F27" s="17">
        <v>48.37</v>
      </c>
      <c r="G27" s="57">
        <v>-285383</v>
      </c>
      <c r="H27" t="s">
        <v>104</v>
      </c>
    </row>
    <row r="28" spans="1:8" outlineLevel="2" x14ac:dyDescent="0.3">
      <c r="A28" s="19">
        <v>48363</v>
      </c>
      <c r="B28" t="s">
        <v>3795</v>
      </c>
      <c r="C28" t="s">
        <v>3781</v>
      </c>
      <c r="D28" t="s">
        <v>3784</v>
      </c>
      <c r="E28" s="17">
        <v>3</v>
      </c>
      <c r="F28" s="17">
        <v>3</v>
      </c>
      <c r="G28" s="57">
        <v>-17700</v>
      </c>
      <c r="H28" t="s">
        <v>104</v>
      </c>
    </row>
    <row r="29" spans="1:8" outlineLevel="2" x14ac:dyDescent="0.3">
      <c r="A29" s="19">
        <v>48363</v>
      </c>
      <c r="B29" t="s">
        <v>3795</v>
      </c>
      <c r="C29" t="s">
        <v>3781</v>
      </c>
      <c r="D29" t="s">
        <v>3785</v>
      </c>
      <c r="E29" s="17">
        <v>3.08</v>
      </c>
      <c r="F29" s="17">
        <v>3.08</v>
      </c>
      <c r="G29" s="57">
        <v>-18172</v>
      </c>
      <c r="H29" t="s">
        <v>104</v>
      </c>
    </row>
    <row r="30" spans="1:8" outlineLevel="2" x14ac:dyDescent="0.3">
      <c r="A30" s="19">
        <v>48363</v>
      </c>
      <c r="B30" t="s">
        <v>3795</v>
      </c>
      <c r="C30" t="s">
        <v>3781</v>
      </c>
      <c r="D30" t="s">
        <v>3796</v>
      </c>
      <c r="E30" s="17">
        <v>1</v>
      </c>
      <c r="F30" s="17">
        <v>1</v>
      </c>
      <c r="G30" s="57">
        <v>-5900</v>
      </c>
      <c r="H30" t="s">
        <v>104</v>
      </c>
    </row>
    <row r="31" spans="1:8" outlineLevel="1" x14ac:dyDescent="0.3">
      <c r="A31" s="2" t="s">
        <v>3821</v>
      </c>
      <c r="E31" s="17">
        <f>SUBTOTAL(9,E26:E30)</f>
        <v>56.65</v>
      </c>
      <c r="G31" s="57">
        <f>SUBTOTAL(9,G26:G30)</f>
        <v>-328571</v>
      </c>
      <c r="H31">
        <f>SUBTOTAL(9,H26:H30)</f>
        <v>0</v>
      </c>
    </row>
    <row r="32" spans="1:8" outlineLevel="2" x14ac:dyDescent="0.3">
      <c r="A32" s="19">
        <v>48397</v>
      </c>
      <c r="B32" t="s">
        <v>3806</v>
      </c>
      <c r="C32" t="s">
        <v>3804</v>
      </c>
      <c r="D32" t="s">
        <v>3807</v>
      </c>
      <c r="E32" s="17">
        <v>2</v>
      </c>
      <c r="F32" s="17">
        <v>0.4</v>
      </c>
      <c r="G32" s="57">
        <v>-2360</v>
      </c>
      <c r="H32" t="s">
        <v>860</v>
      </c>
    </row>
    <row r="33" spans="1:8" outlineLevel="2" x14ac:dyDescent="0.3">
      <c r="A33" s="19">
        <v>48397</v>
      </c>
      <c r="B33" t="s">
        <v>3806</v>
      </c>
      <c r="C33" t="s">
        <v>3804</v>
      </c>
      <c r="D33" t="s">
        <v>3805</v>
      </c>
      <c r="E33" s="17">
        <v>2</v>
      </c>
      <c r="F33" s="17">
        <v>0.4</v>
      </c>
      <c r="G33" s="57">
        <v>-2360</v>
      </c>
      <c r="H33" t="s">
        <v>860</v>
      </c>
    </row>
    <row r="34" spans="1:8" outlineLevel="2" x14ac:dyDescent="0.3">
      <c r="A34" s="19">
        <v>48397</v>
      </c>
      <c r="B34" t="s">
        <v>3797</v>
      </c>
      <c r="C34" t="s">
        <v>3781</v>
      </c>
      <c r="D34" t="s">
        <v>3777</v>
      </c>
      <c r="E34" s="17">
        <v>26</v>
      </c>
      <c r="F34" s="17">
        <v>26</v>
      </c>
      <c r="G34" s="57">
        <v>-153400</v>
      </c>
      <c r="H34" t="s">
        <v>104</v>
      </c>
    </row>
    <row r="35" spans="1:8" outlineLevel="2" x14ac:dyDescent="0.3">
      <c r="A35" s="19">
        <v>48397</v>
      </c>
      <c r="B35" t="s">
        <v>3797</v>
      </c>
      <c r="C35" t="s">
        <v>3781</v>
      </c>
      <c r="D35" t="s">
        <v>3798</v>
      </c>
      <c r="E35" s="17">
        <v>2</v>
      </c>
      <c r="F35" s="17">
        <v>2</v>
      </c>
      <c r="G35" s="57">
        <v>-11800</v>
      </c>
      <c r="H35" t="s">
        <v>104</v>
      </c>
    </row>
    <row r="36" spans="1:8" outlineLevel="2" x14ac:dyDescent="0.3">
      <c r="A36" s="19">
        <v>48397</v>
      </c>
      <c r="B36" t="s">
        <v>3797</v>
      </c>
      <c r="C36" t="s">
        <v>3781</v>
      </c>
      <c r="D36" t="s">
        <v>3785</v>
      </c>
      <c r="E36" s="17">
        <v>7</v>
      </c>
      <c r="F36" s="17">
        <v>7</v>
      </c>
      <c r="G36" s="57">
        <v>-41300</v>
      </c>
      <c r="H36" t="s">
        <v>104</v>
      </c>
    </row>
    <row r="37" spans="1:8" outlineLevel="1" x14ac:dyDescent="0.3">
      <c r="A37" s="2" t="s">
        <v>3822</v>
      </c>
      <c r="E37" s="17">
        <f>SUBTOTAL(9,E32:E36)</f>
        <v>39</v>
      </c>
      <c r="G37" s="57">
        <f>SUBTOTAL(9,G32:G36)</f>
        <v>-211220</v>
      </c>
      <c r="H37">
        <f>SUBTOTAL(9,H32:H36)</f>
        <v>0</v>
      </c>
    </row>
    <row r="38" spans="1:8" outlineLevel="2" x14ac:dyDescent="0.3">
      <c r="A38" s="19">
        <v>50187</v>
      </c>
      <c r="B38" t="s">
        <v>3799</v>
      </c>
      <c r="C38" t="s">
        <v>3776</v>
      </c>
      <c r="D38" t="s">
        <v>3777</v>
      </c>
      <c r="E38" s="17">
        <v>1</v>
      </c>
      <c r="F38" s="17">
        <v>1</v>
      </c>
      <c r="G38" s="57">
        <v>-5900</v>
      </c>
      <c r="H38" t="s">
        <v>104</v>
      </c>
    </row>
    <row r="39" spans="1:8" outlineLevel="1" x14ac:dyDescent="0.3">
      <c r="A39" s="2" t="s">
        <v>3823</v>
      </c>
      <c r="E39" s="17">
        <f>SUBTOTAL(9,E38:E38)</f>
        <v>1</v>
      </c>
      <c r="G39" s="57">
        <f>SUBTOTAL(9,G38:G38)</f>
        <v>-5900</v>
      </c>
      <c r="H39">
        <f>SUBTOTAL(9,H38:H38)</f>
        <v>0</v>
      </c>
    </row>
    <row r="40" spans="1:8" outlineLevel="2" x14ac:dyDescent="0.3">
      <c r="A40" s="19">
        <v>50203</v>
      </c>
      <c r="B40" t="s">
        <v>3800</v>
      </c>
      <c r="C40" t="s">
        <v>3776</v>
      </c>
      <c r="D40" t="s">
        <v>3777</v>
      </c>
      <c r="E40" s="17">
        <v>1</v>
      </c>
      <c r="F40" s="17">
        <v>1</v>
      </c>
      <c r="G40" s="57">
        <v>-5900</v>
      </c>
      <c r="H40" t="s">
        <v>104</v>
      </c>
    </row>
    <row r="41" spans="1:8" outlineLevel="1" x14ac:dyDescent="0.3">
      <c r="A41" s="2" t="s">
        <v>3824</v>
      </c>
      <c r="E41" s="17">
        <f>SUBTOTAL(9,E40:E40)</f>
        <v>1</v>
      </c>
      <c r="G41" s="57">
        <f>SUBTOTAL(9,G40:G40)</f>
        <v>-5900</v>
      </c>
      <c r="H41">
        <f>SUBTOTAL(9,H40:H40)</f>
        <v>0</v>
      </c>
    </row>
    <row r="42" spans="1:8" outlineLevel="2" x14ac:dyDescent="0.3">
      <c r="A42" s="19">
        <v>50229</v>
      </c>
      <c r="B42" t="s">
        <v>3801</v>
      </c>
      <c r="C42" t="s">
        <v>3776</v>
      </c>
      <c r="D42" t="s">
        <v>3777</v>
      </c>
      <c r="E42" s="17">
        <v>1</v>
      </c>
      <c r="F42" s="17">
        <v>1</v>
      </c>
      <c r="G42" s="57">
        <v>-5900</v>
      </c>
      <c r="H42" t="s">
        <v>104</v>
      </c>
    </row>
    <row r="43" spans="1:8" outlineLevel="1" x14ac:dyDescent="0.3">
      <c r="A43" s="2" t="s">
        <v>3825</v>
      </c>
      <c r="E43" s="17">
        <f>SUBTOTAL(9,E42:E42)</f>
        <v>1</v>
      </c>
      <c r="G43" s="57">
        <f>SUBTOTAL(9,G42:G42)</f>
        <v>-5900</v>
      </c>
      <c r="H43">
        <f>SUBTOTAL(9,H42:H42)</f>
        <v>0</v>
      </c>
    </row>
    <row r="44" spans="1:8" outlineLevel="2" x14ac:dyDescent="0.3">
      <c r="A44" s="78">
        <v>50252</v>
      </c>
      <c r="B44" t="s">
        <v>3810</v>
      </c>
      <c r="C44" t="s">
        <v>3804</v>
      </c>
      <c r="D44" t="s">
        <v>3805</v>
      </c>
      <c r="E44" s="17">
        <v>0.59</v>
      </c>
      <c r="F44" s="17">
        <v>0.59</v>
      </c>
      <c r="G44" s="57">
        <v>-3481</v>
      </c>
      <c r="H44" t="s">
        <v>836</v>
      </c>
    </row>
    <row r="45" spans="1:8" outlineLevel="2" x14ac:dyDescent="0.3">
      <c r="A45" s="19">
        <v>50252</v>
      </c>
      <c r="B45" t="s">
        <v>3802</v>
      </c>
      <c r="C45" t="s">
        <v>3776</v>
      </c>
      <c r="D45" t="s">
        <v>3777</v>
      </c>
      <c r="E45" s="17">
        <v>4</v>
      </c>
      <c r="F45" s="17">
        <v>4</v>
      </c>
      <c r="G45" s="57">
        <v>-23600</v>
      </c>
      <c r="H45" t="s">
        <v>104</v>
      </c>
    </row>
    <row r="46" spans="1:8" outlineLevel="2" x14ac:dyDescent="0.3">
      <c r="A46" s="19">
        <v>50252</v>
      </c>
      <c r="B46" t="s">
        <v>3802</v>
      </c>
      <c r="C46" t="s">
        <v>3776</v>
      </c>
      <c r="D46" t="s">
        <v>3785</v>
      </c>
      <c r="E46" s="17">
        <v>0.42</v>
      </c>
      <c r="F46" s="17">
        <v>0.42</v>
      </c>
      <c r="G46" s="57">
        <v>-2478</v>
      </c>
      <c r="H46" t="s">
        <v>104</v>
      </c>
    </row>
    <row r="47" spans="1:8" outlineLevel="1" x14ac:dyDescent="0.3">
      <c r="A47" s="2" t="s">
        <v>3826</v>
      </c>
      <c r="E47" s="17">
        <f>SUBTOTAL(9,E44:E46)</f>
        <v>5.01</v>
      </c>
      <c r="G47" s="57">
        <f>SUBTOTAL(9,G44:G46)</f>
        <v>-29559</v>
      </c>
      <c r="H47">
        <f>SUBTOTAL(9,H44:H46)</f>
        <v>0</v>
      </c>
    </row>
    <row r="48" spans="1:8" x14ac:dyDescent="0.3">
      <c r="A48" s="2" t="s">
        <v>765</v>
      </c>
      <c r="E48" s="17">
        <f>SUBTOTAL(9,E2:E46)</f>
        <v>126.96</v>
      </c>
      <c r="G48" s="57">
        <f>SUBTOTAL(9,G2:G46)</f>
        <v>-724520</v>
      </c>
      <c r="H48">
        <f>SUBTOTAL(9,H2:H46)</f>
        <v>0</v>
      </c>
    </row>
    <row r="49" spans="1:8" x14ac:dyDescent="0.3">
      <c r="A49" s="19"/>
      <c r="G49" s="57"/>
    </row>
    <row r="50" spans="1:8" x14ac:dyDescent="0.3">
      <c r="A50" s="2"/>
      <c r="G50" s="57"/>
    </row>
    <row r="51" spans="1:8" x14ac:dyDescent="0.3">
      <c r="A51" s="49" t="s">
        <v>92</v>
      </c>
      <c r="B51" t="s">
        <v>3769</v>
      </c>
      <c r="C51" t="s">
        <v>3770</v>
      </c>
      <c r="D51" t="s">
        <v>3771</v>
      </c>
      <c r="E51" s="17" t="s">
        <v>3772</v>
      </c>
      <c r="F51" s="17" t="s">
        <v>3772</v>
      </c>
      <c r="G51" t="s">
        <v>3773</v>
      </c>
      <c r="H51" t="s">
        <v>3774</v>
      </c>
    </row>
    <row r="52" spans="1:8" x14ac:dyDescent="0.3">
      <c r="A52" s="19">
        <v>45161</v>
      </c>
      <c r="B52" t="s">
        <v>3780</v>
      </c>
      <c r="C52" t="s">
        <v>3781</v>
      </c>
      <c r="D52" t="s">
        <v>3782</v>
      </c>
      <c r="E52" s="17">
        <v>0.42</v>
      </c>
      <c r="F52" s="17">
        <v>0.42</v>
      </c>
      <c r="G52" s="57">
        <v>-1987.44</v>
      </c>
      <c r="H52" t="s">
        <v>104</v>
      </c>
    </row>
    <row r="53" spans="1:8" x14ac:dyDescent="0.3">
      <c r="A53" s="19">
        <v>51631</v>
      </c>
      <c r="B53" t="s">
        <v>3808</v>
      </c>
      <c r="C53" t="s">
        <v>3776</v>
      </c>
      <c r="D53" t="s">
        <v>3809</v>
      </c>
      <c r="E53" s="17">
        <v>0.53</v>
      </c>
      <c r="F53" s="17">
        <v>0.53</v>
      </c>
      <c r="G53" s="57">
        <v>-776.98</v>
      </c>
      <c r="H53" t="s">
        <v>104</v>
      </c>
    </row>
    <row r="54" spans="1:8" x14ac:dyDescent="0.3">
      <c r="A54" s="19">
        <v>48322</v>
      </c>
      <c r="B54" t="s">
        <v>3792</v>
      </c>
      <c r="C54" t="s">
        <v>3781</v>
      </c>
      <c r="D54" t="s">
        <v>3793</v>
      </c>
      <c r="E54" s="17">
        <v>7.0000000000000007E-2</v>
      </c>
      <c r="F54" s="17">
        <v>7.0000000000000007E-2</v>
      </c>
      <c r="G54" s="57">
        <v>-88.06</v>
      </c>
      <c r="H54" t="s">
        <v>104</v>
      </c>
    </row>
    <row r="55" spans="1:8" x14ac:dyDescent="0.3">
      <c r="A55" s="19">
        <v>48363</v>
      </c>
      <c r="B55" t="s">
        <v>3794</v>
      </c>
      <c r="C55" t="s">
        <v>3781</v>
      </c>
      <c r="D55" t="s">
        <v>3793</v>
      </c>
      <c r="E55" s="17">
        <v>0.52</v>
      </c>
      <c r="F55" s="17">
        <v>0.52</v>
      </c>
      <c r="G55" s="57">
        <v>-654.16</v>
      </c>
      <c r="H55" t="s">
        <v>104</v>
      </c>
    </row>
    <row r="56" spans="1:8" x14ac:dyDescent="0.3">
      <c r="A56" s="19">
        <v>48397</v>
      </c>
      <c r="B56" t="s">
        <v>3797</v>
      </c>
      <c r="C56" t="s">
        <v>3781</v>
      </c>
      <c r="D56" t="s">
        <v>3793</v>
      </c>
      <c r="E56" s="17">
        <v>0.39</v>
      </c>
      <c r="F56" s="17">
        <v>0.39</v>
      </c>
      <c r="G56" s="57">
        <v>-490.62</v>
      </c>
      <c r="H56" t="s">
        <v>104</v>
      </c>
    </row>
    <row r="57" spans="1:8" x14ac:dyDescent="0.3">
      <c r="A57" s="2"/>
      <c r="G57" s="57"/>
    </row>
    <row r="58" spans="1:8" x14ac:dyDescent="0.3">
      <c r="A58" s="19"/>
      <c r="G58" s="57"/>
    </row>
    <row r="59" spans="1:8" x14ac:dyDescent="0.3">
      <c r="A59" s="2"/>
      <c r="G59" s="57"/>
    </row>
    <row r="60" spans="1:8" x14ac:dyDescent="0.3">
      <c r="A60" s="19"/>
      <c r="G60" s="57"/>
    </row>
    <row r="61" spans="1:8" x14ac:dyDescent="0.3">
      <c r="A61" s="2"/>
      <c r="G61" s="57"/>
    </row>
    <row r="62" spans="1:8" x14ac:dyDescent="0.3">
      <c r="A62" s="19"/>
      <c r="G62" s="57"/>
    </row>
    <row r="63" spans="1:8" x14ac:dyDescent="0.3">
      <c r="A63" s="19"/>
      <c r="G63" s="57"/>
    </row>
    <row r="64" spans="1:8" x14ac:dyDescent="0.3">
      <c r="A64" s="19"/>
      <c r="G64" s="57"/>
    </row>
    <row r="65" spans="1:7" x14ac:dyDescent="0.3">
      <c r="A65" s="19"/>
      <c r="G65" s="57"/>
    </row>
    <row r="66" spans="1:7" x14ac:dyDescent="0.3">
      <c r="A66" s="2"/>
      <c r="G66" s="57"/>
    </row>
    <row r="67" spans="1:7" x14ac:dyDescent="0.3">
      <c r="A67" s="19"/>
      <c r="G67" s="57"/>
    </row>
    <row r="68" spans="1:7" x14ac:dyDescent="0.3">
      <c r="A68" s="2"/>
      <c r="G68" s="57"/>
    </row>
    <row r="69" spans="1:7" x14ac:dyDescent="0.3">
      <c r="A69" s="19"/>
      <c r="G69" s="57"/>
    </row>
    <row r="70" spans="1:7" x14ac:dyDescent="0.3">
      <c r="A70" s="2"/>
      <c r="G70" s="57"/>
    </row>
    <row r="71" spans="1:7" x14ac:dyDescent="0.3">
      <c r="A71" s="19"/>
      <c r="G71" s="57"/>
    </row>
    <row r="72" spans="1:7" x14ac:dyDescent="0.3">
      <c r="A72" s="2"/>
      <c r="G72" s="57"/>
    </row>
    <row r="73" spans="1:7" x14ac:dyDescent="0.3">
      <c r="A73" s="19"/>
      <c r="G73" s="57"/>
    </row>
    <row r="74" spans="1:7" x14ac:dyDescent="0.3">
      <c r="A74" s="2"/>
      <c r="G74" s="57"/>
    </row>
    <row r="75" spans="1:7" x14ac:dyDescent="0.3">
      <c r="A75" s="19"/>
      <c r="G75" s="57"/>
    </row>
    <row r="76" spans="1:7" x14ac:dyDescent="0.3">
      <c r="A76" s="2"/>
      <c r="G76" s="57"/>
    </row>
    <row r="77" spans="1:7" x14ac:dyDescent="0.3">
      <c r="A77" s="19"/>
      <c r="G77" s="57"/>
    </row>
    <row r="78" spans="1:7" x14ac:dyDescent="0.3">
      <c r="A78" s="2"/>
      <c r="G78" s="57"/>
    </row>
    <row r="79" spans="1:7" x14ac:dyDescent="0.3">
      <c r="A79" s="19"/>
      <c r="G79" s="57"/>
    </row>
    <row r="80" spans="1:7" x14ac:dyDescent="0.3">
      <c r="A80" s="19"/>
      <c r="G80" s="57"/>
    </row>
    <row r="81" spans="1:7" x14ac:dyDescent="0.3">
      <c r="A81" s="2"/>
      <c r="G81" s="57"/>
    </row>
    <row r="82" spans="1:7" x14ac:dyDescent="0.3">
      <c r="A82" s="19"/>
      <c r="G82" s="57"/>
    </row>
    <row r="83" spans="1:7" x14ac:dyDescent="0.3">
      <c r="A83" s="2"/>
      <c r="G83" s="57"/>
    </row>
    <row r="84" spans="1:7" x14ac:dyDescent="0.3">
      <c r="A84" s="19"/>
      <c r="G84" s="57"/>
    </row>
    <row r="85" spans="1:7" x14ac:dyDescent="0.3">
      <c r="A85" s="2"/>
      <c r="G85" s="57"/>
    </row>
    <row r="86" spans="1:7" x14ac:dyDescent="0.3">
      <c r="A86" s="19"/>
      <c r="G86" s="57"/>
    </row>
    <row r="87" spans="1:7" x14ac:dyDescent="0.3">
      <c r="A87" s="2"/>
      <c r="G87" s="57"/>
    </row>
    <row r="88" spans="1:7" x14ac:dyDescent="0.3">
      <c r="A88" s="19"/>
      <c r="G88" s="57"/>
    </row>
    <row r="89" spans="1:7" x14ac:dyDescent="0.3">
      <c r="A89" s="2"/>
      <c r="G89" s="57"/>
    </row>
    <row r="90" spans="1:7" x14ac:dyDescent="0.3">
      <c r="A90" s="19"/>
      <c r="G90" s="57"/>
    </row>
    <row r="91" spans="1:7" x14ac:dyDescent="0.3">
      <c r="A91" s="2"/>
      <c r="G91" s="57"/>
    </row>
    <row r="92" spans="1:7" x14ac:dyDescent="0.3">
      <c r="A92" s="19"/>
      <c r="G92" s="57"/>
    </row>
    <row r="93" spans="1:7" x14ac:dyDescent="0.3">
      <c r="A93" s="2"/>
      <c r="G93" s="57"/>
    </row>
    <row r="94" spans="1:7" x14ac:dyDescent="0.3">
      <c r="A94" s="19"/>
      <c r="G94" s="57"/>
    </row>
    <row r="95" spans="1:7" x14ac:dyDescent="0.3">
      <c r="A95" s="19"/>
      <c r="G95" s="57"/>
    </row>
    <row r="96" spans="1:7" x14ac:dyDescent="0.3">
      <c r="A96" s="2"/>
      <c r="G96" s="57"/>
    </row>
    <row r="97" spans="1:7" x14ac:dyDescent="0.3">
      <c r="A97" s="19"/>
      <c r="G97" s="57"/>
    </row>
    <row r="98" spans="1:7" x14ac:dyDescent="0.3">
      <c r="A98" s="2"/>
      <c r="G98" s="57"/>
    </row>
    <row r="99" spans="1:7" x14ac:dyDescent="0.3">
      <c r="A99" s="19"/>
      <c r="G99" s="57"/>
    </row>
    <row r="100" spans="1:7" x14ac:dyDescent="0.3">
      <c r="A100" s="2"/>
      <c r="G100" s="57"/>
    </row>
    <row r="101" spans="1:7" x14ac:dyDescent="0.3">
      <c r="A101" s="19"/>
      <c r="G101" s="57"/>
    </row>
    <row r="102" spans="1:7" x14ac:dyDescent="0.3">
      <c r="A102" s="19"/>
      <c r="G102" s="57"/>
    </row>
    <row r="103" spans="1:7" x14ac:dyDescent="0.3">
      <c r="A103" s="2"/>
      <c r="G103" s="57"/>
    </row>
    <row r="104" spans="1:7" x14ac:dyDescent="0.3">
      <c r="A104" s="19"/>
      <c r="G104" s="57"/>
    </row>
    <row r="105" spans="1:7" x14ac:dyDescent="0.3">
      <c r="A105" s="2"/>
      <c r="G105" s="57"/>
    </row>
    <row r="106" spans="1:7" x14ac:dyDescent="0.3">
      <c r="A106" s="19"/>
      <c r="G106" s="57"/>
    </row>
    <row r="107" spans="1:7" x14ac:dyDescent="0.3">
      <c r="A107" s="19"/>
      <c r="G107" s="57"/>
    </row>
    <row r="108" spans="1:7" x14ac:dyDescent="0.3">
      <c r="A108" s="2"/>
      <c r="G108" s="57"/>
    </row>
    <row r="109" spans="1:7" x14ac:dyDescent="0.3">
      <c r="A109" s="19"/>
      <c r="G109" s="57"/>
    </row>
    <row r="110" spans="1:7" x14ac:dyDescent="0.3">
      <c r="A110" s="2"/>
      <c r="G110" s="57"/>
    </row>
    <row r="111" spans="1:7" x14ac:dyDescent="0.3">
      <c r="A111" s="2"/>
      <c r="G111" s="57"/>
    </row>
    <row r="112" spans="1:7" x14ac:dyDescent="0.3">
      <c r="A112" s="19"/>
      <c r="G112" s="57"/>
    </row>
    <row r="113" spans="1:7" x14ac:dyDescent="0.3">
      <c r="A113" s="19"/>
      <c r="G113" s="57"/>
    </row>
    <row r="114" spans="1:7" x14ac:dyDescent="0.3">
      <c r="A114" s="19"/>
      <c r="G114" s="57"/>
    </row>
    <row r="115" spans="1:7" x14ac:dyDescent="0.3">
      <c r="A115" s="19"/>
      <c r="G115" s="57"/>
    </row>
    <row r="116" spans="1:7" x14ac:dyDescent="0.3">
      <c r="A116" s="19"/>
      <c r="G116" s="57"/>
    </row>
    <row r="117" spans="1:7" x14ac:dyDescent="0.3">
      <c r="A117" s="19"/>
      <c r="G117" s="57"/>
    </row>
    <row r="118" spans="1:7" x14ac:dyDescent="0.3">
      <c r="A118" s="19"/>
      <c r="G118" s="57"/>
    </row>
    <row r="119" spans="1:7" x14ac:dyDescent="0.3">
      <c r="A119" s="19"/>
      <c r="G119" s="57"/>
    </row>
    <row r="120" spans="1:7" x14ac:dyDescent="0.3">
      <c r="A120" s="19"/>
      <c r="G120" s="57"/>
    </row>
    <row r="121" spans="1:7" x14ac:dyDescent="0.3">
      <c r="A121" s="19"/>
      <c r="G121" s="57"/>
    </row>
    <row r="122" spans="1:7" x14ac:dyDescent="0.3">
      <c r="A122" s="19"/>
      <c r="G122" s="57"/>
    </row>
    <row r="123" spans="1:7" x14ac:dyDescent="0.3">
      <c r="A123" s="19"/>
      <c r="G123" s="57"/>
    </row>
    <row r="124" spans="1:7" x14ac:dyDescent="0.3">
      <c r="A124" s="19"/>
      <c r="G124" s="57"/>
    </row>
    <row r="125" spans="1:7" x14ac:dyDescent="0.3">
      <c r="A125" s="19"/>
      <c r="G125" s="57"/>
    </row>
    <row r="126" spans="1:7" x14ac:dyDescent="0.3">
      <c r="A126" s="19"/>
      <c r="G126" s="57"/>
    </row>
    <row r="127" spans="1:7" x14ac:dyDescent="0.3">
      <c r="A127" s="19"/>
      <c r="G127" s="57"/>
    </row>
    <row r="128" spans="1:7" x14ac:dyDescent="0.3">
      <c r="A128" s="19"/>
      <c r="G128" s="57"/>
    </row>
    <row r="129" spans="1:7" x14ac:dyDescent="0.3">
      <c r="A129" s="19"/>
      <c r="G129" s="57"/>
    </row>
    <row r="130" spans="1:7" x14ac:dyDescent="0.3">
      <c r="A130" s="19"/>
      <c r="G130" s="57"/>
    </row>
    <row r="131" spans="1:7" x14ac:dyDescent="0.3">
      <c r="A131" s="19"/>
      <c r="G131" s="57"/>
    </row>
    <row r="132" spans="1:7" x14ac:dyDescent="0.3">
      <c r="A132" s="19"/>
      <c r="G132" s="57"/>
    </row>
    <row r="133" spans="1:7" x14ac:dyDescent="0.3">
      <c r="A133" s="19"/>
      <c r="G133" s="57"/>
    </row>
    <row r="134" spans="1:7" x14ac:dyDescent="0.3">
      <c r="A134" s="19"/>
      <c r="G134" s="57"/>
    </row>
    <row r="135" spans="1:7" x14ac:dyDescent="0.3">
      <c r="A135" s="19"/>
      <c r="G135" s="57"/>
    </row>
    <row r="136" spans="1:7" x14ac:dyDescent="0.3">
      <c r="A136" s="19"/>
      <c r="G136" s="57"/>
    </row>
    <row r="137" spans="1:7" x14ac:dyDescent="0.3">
      <c r="A137" s="19"/>
      <c r="G137" s="57"/>
    </row>
    <row r="138" spans="1:7" x14ac:dyDescent="0.3">
      <c r="A138" s="19"/>
      <c r="G138" s="57"/>
    </row>
    <row r="139" spans="1:7" x14ac:dyDescent="0.3">
      <c r="A139" s="19"/>
      <c r="G139" s="57"/>
    </row>
    <row r="140" spans="1:7" x14ac:dyDescent="0.3">
      <c r="A140" s="19"/>
      <c r="G140" s="57"/>
    </row>
    <row r="141" spans="1:7" x14ac:dyDescent="0.3">
      <c r="A141" s="19"/>
      <c r="G141" s="57"/>
    </row>
    <row r="142" spans="1:7" x14ac:dyDescent="0.3">
      <c r="A142" s="19"/>
      <c r="G142" s="57"/>
    </row>
    <row r="143" spans="1:7" x14ac:dyDescent="0.3">
      <c r="A143" s="19"/>
      <c r="G143" s="57"/>
    </row>
    <row r="144" spans="1:7" x14ac:dyDescent="0.3">
      <c r="A144" s="19"/>
      <c r="G144" s="57"/>
    </row>
    <row r="145" spans="1:7" x14ac:dyDescent="0.3">
      <c r="A145" s="19"/>
      <c r="G145" s="57"/>
    </row>
    <row r="146" spans="1:7" x14ac:dyDescent="0.3">
      <c r="A146" s="19"/>
      <c r="G146" s="57"/>
    </row>
    <row r="147" spans="1:7" x14ac:dyDescent="0.3">
      <c r="A147" s="19"/>
      <c r="G147" s="57"/>
    </row>
    <row r="148" spans="1:7" x14ac:dyDescent="0.3">
      <c r="A148" s="19"/>
      <c r="G148" s="57"/>
    </row>
    <row r="149" spans="1:7" x14ac:dyDescent="0.3">
      <c r="A149" s="19"/>
      <c r="G149" s="57"/>
    </row>
    <row r="150" spans="1:7" x14ac:dyDescent="0.3">
      <c r="A150" s="19"/>
      <c r="G150" s="57"/>
    </row>
    <row r="151" spans="1:7" x14ac:dyDescent="0.3">
      <c r="A151" s="19"/>
      <c r="G151" s="57"/>
    </row>
    <row r="152" spans="1:7" x14ac:dyDescent="0.3">
      <c r="A152" s="19"/>
      <c r="G152" s="57"/>
    </row>
    <row r="153" spans="1:7" x14ac:dyDescent="0.3">
      <c r="A153" s="19"/>
      <c r="G153" s="57"/>
    </row>
    <row r="154" spans="1:7" x14ac:dyDescent="0.3">
      <c r="A154" s="19"/>
      <c r="G154" s="57"/>
    </row>
    <row r="155" spans="1:7" x14ac:dyDescent="0.3">
      <c r="A155" s="19"/>
      <c r="G155" s="57"/>
    </row>
    <row r="156" spans="1:7" x14ac:dyDescent="0.3">
      <c r="A156" s="19"/>
      <c r="G156" s="57"/>
    </row>
    <row r="157" spans="1:7" x14ac:dyDescent="0.3">
      <c r="A157" s="19"/>
      <c r="G157" s="57"/>
    </row>
    <row r="158" spans="1:7" x14ac:dyDescent="0.3">
      <c r="A158" s="19"/>
      <c r="G158" s="57"/>
    </row>
    <row r="159" spans="1:7" x14ac:dyDescent="0.3">
      <c r="A159" s="19"/>
      <c r="G159" s="57"/>
    </row>
    <row r="160" spans="1:7" x14ac:dyDescent="0.3">
      <c r="A160" s="19"/>
      <c r="G160" s="57"/>
    </row>
    <row r="161" spans="1:7" x14ac:dyDescent="0.3">
      <c r="A161" s="19"/>
      <c r="G161" s="57"/>
    </row>
  </sheetData>
  <sortState ref="A2:H31">
    <sortCondition ref="A8"/>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C18" sqref="C18"/>
    </sheetView>
  </sheetViews>
  <sheetFormatPr defaultRowHeight="14.4" x14ac:dyDescent="0.3"/>
  <cols>
    <col min="2" max="2" width="23.21875" bestFit="1" customWidth="1"/>
    <col min="3" max="3" width="10.77734375" bestFit="1" customWidth="1"/>
    <col min="4" max="4" width="7.21875" bestFit="1" customWidth="1"/>
    <col min="7" max="7" width="11.33203125" bestFit="1" customWidth="1"/>
  </cols>
  <sheetData>
    <row r="1" spans="1:7" ht="15" x14ac:dyDescent="0.3">
      <c r="A1" t="s">
        <v>92</v>
      </c>
      <c r="B1" s="79" t="s">
        <v>3769</v>
      </c>
      <c r="C1" t="s">
        <v>3770</v>
      </c>
      <c r="D1" t="s">
        <v>3831</v>
      </c>
      <c r="E1" t="s">
        <v>3771</v>
      </c>
      <c r="F1" t="s">
        <v>3772</v>
      </c>
      <c r="G1" t="s">
        <v>3773</v>
      </c>
    </row>
    <row r="2" spans="1:7" ht="15" x14ac:dyDescent="0.35">
      <c r="A2">
        <v>48363</v>
      </c>
      <c r="B2" s="80" t="s">
        <v>3829</v>
      </c>
      <c r="C2" t="s">
        <v>3781</v>
      </c>
      <c r="D2" t="s">
        <v>3830</v>
      </c>
      <c r="E2" t="s">
        <v>3777</v>
      </c>
      <c r="F2" s="17">
        <v>1</v>
      </c>
      <c r="G2" s="57">
        <v>-5900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4"/>
  <sheetViews>
    <sheetView workbookViewId="0">
      <pane xSplit="3" ySplit="5" topLeftCell="D12" activePane="bottomRight" state="frozen"/>
      <selection pane="topRight" activeCell="D1" sqref="D1"/>
      <selection pane="bottomLeft" activeCell="A6" sqref="A6"/>
      <selection pane="bottomRight" activeCell="S23" sqref="S23"/>
    </sheetView>
  </sheetViews>
  <sheetFormatPr defaultRowHeight="14.4" x14ac:dyDescent="0.3"/>
  <cols>
    <col min="14" max="14" width="10.5546875" bestFit="1" customWidth="1"/>
  </cols>
  <sheetData>
    <row r="1" spans="1:15" ht="18" x14ac:dyDescent="0.35">
      <c r="E1" s="22" t="s">
        <v>761</v>
      </c>
    </row>
    <row r="3" spans="1:15" ht="15" thickBot="1" x14ac:dyDescent="0.35">
      <c r="D3" s="81" t="s">
        <v>105</v>
      </c>
      <c r="E3" s="81"/>
      <c r="F3" s="81"/>
      <c r="G3" s="81"/>
      <c r="H3" s="55" t="s">
        <v>106</v>
      </c>
      <c r="I3" s="55"/>
      <c r="J3" s="55"/>
      <c r="K3" s="55"/>
      <c r="L3" s="55"/>
      <c r="M3" s="55"/>
    </row>
    <row r="4" spans="1:15" ht="15.6" thickTop="1" thickBot="1" x14ac:dyDescent="0.35">
      <c r="A4" s="59"/>
      <c r="B4" s="47"/>
      <c r="C4" s="38"/>
      <c r="D4" s="81" t="s">
        <v>757</v>
      </c>
      <c r="E4" s="81"/>
      <c r="F4" s="81"/>
      <c r="G4" s="81"/>
      <c r="H4" s="55" t="s">
        <v>758</v>
      </c>
      <c r="I4" s="55"/>
      <c r="J4" s="55"/>
      <c r="K4" s="55"/>
      <c r="L4" s="55"/>
      <c r="M4" s="55"/>
    </row>
    <row r="5" spans="1:15" ht="15" thickTop="1" x14ac:dyDescent="0.3">
      <c r="A5" s="5"/>
      <c r="B5" s="6" t="s">
        <v>762</v>
      </c>
      <c r="C5" s="35" t="s">
        <v>763</v>
      </c>
      <c r="D5" s="29" t="s">
        <v>0</v>
      </c>
      <c r="E5" s="29" t="s">
        <v>97</v>
      </c>
      <c r="F5" s="29" t="s">
        <v>3</v>
      </c>
      <c r="G5" s="29" t="s">
        <v>102</v>
      </c>
      <c r="H5" s="30" t="s">
        <v>98</v>
      </c>
      <c r="I5" s="30" t="s">
        <v>138</v>
      </c>
      <c r="J5" s="30" t="s">
        <v>1</v>
      </c>
      <c r="K5" s="30" t="s">
        <v>100</v>
      </c>
      <c r="L5" s="30" t="s">
        <v>101</v>
      </c>
      <c r="M5" s="30" t="s">
        <v>4</v>
      </c>
      <c r="N5" s="30" t="s">
        <v>103</v>
      </c>
    </row>
    <row r="6" spans="1:15" x14ac:dyDescent="0.3">
      <c r="A6" s="5"/>
      <c r="B6" s="5">
        <v>38430</v>
      </c>
      <c r="C6" s="61" t="s">
        <v>764</v>
      </c>
      <c r="D6" s="8">
        <f>COUNTIFS('FTE Detail'!$P$2:$P$99999,'In Seat'!$C6,'FTE Detail'!$B$2:$B$99999,'In Seat'!B6,'FTE Detail'!$L$2:$L$99999,'In Seat'!D$5,'FTE Detail'!$U$2:$U$99999,"2500-12-31")</f>
        <v>76</v>
      </c>
      <c r="E6" s="8">
        <f>COUNTIFS('FTE Detail'!$P$2:$P$99999,'In Seat'!$C6,'FTE Detail'!$B$2:$B$99999,'In Seat'!C6,'FTE Detail'!$L$2:$L$99999,'In Seat'!E$5,'FTE Detail'!$U$2:$U$99999,"2500-12-31")</f>
        <v>0</v>
      </c>
      <c r="F6" s="8">
        <f>COUNTIFS('FTE Detail'!$P$2:$P$99999,'In Seat'!$C6,'FTE Detail'!$B$2:$B$99999,'In Seat'!D6,'FTE Detail'!$L$2:$L$99999,'In Seat'!F$5,'FTE Detail'!$U$2:$U$99999,"2500-12-31")</f>
        <v>0</v>
      </c>
      <c r="G6" s="8">
        <f>COUNTIFS('FTE Detail'!$P$2:$P$99999,'In Seat'!$C6,'FTE Detail'!$B$2:$B$99999,'In Seat'!E6,'FTE Detail'!$L$2:$L$99999,'In Seat'!G$5,'FTE Detail'!$U$2:$U$99999,"2500-12-31")</f>
        <v>0</v>
      </c>
      <c r="H6" s="8">
        <f>COUNTIFS('FTE Detail'!$P$2:$P$99999,'In Seat'!$C6,'FTE Detail'!$B$2:$B$99999,'In Seat'!F6,'FTE Detail'!$L$2:$L$99999,'In Seat'!H$5,'FTE Detail'!$U$2:$U$99999,"2500-12-31")</f>
        <v>0</v>
      </c>
      <c r="I6" s="8">
        <f>COUNTIFS('FTE Detail'!$P$2:$P$99999,'In Seat'!$C6,'FTE Detail'!$B$2:$B$99999,'In Seat'!G6,'FTE Detail'!$L$2:$L$99999,'In Seat'!I$5,'FTE Detail'!$V$2:$V$99999,"NONE",'FTE Detail'!$U$2:$U$99999,"2500-12-31")</f>
        <v>0</v>
      </c>
      <c r="J6" s="8">
        <f>COUNTIFS('FTE Detail'!$P$2:$P$99999,'In Seat'!$C6,'FTE Detail'!$B$2:$B$99999,'In Seat'!H6,'FTE Detail'!$L$2:$L$99999,'In Seat'!J$5,'FTE Detail'!$V$2:$V$99999,"NONE",'FTE Detail'!$U$2:$U$99999,"2500-12-31")</f>
        <v>0</v>
      </c>
      <c r="K6" s="8">
        <f>COUNTIFS('FTE Detail'!$P$2:$P$99999,'In Seat'!$C6,'FTE Detail'!$B$2:$B$99999,'In Seat'!I6,'FTE Detail'!$L$2:$L$99999,'In Seat'!K$5,'FTE Detail'!$V$2:$V$99999,"NONE",'FTE Detail'!$U$2:$U$99999,"2500-12-31")</f>
        <v>0</v>
      </c>
      <c r="L6" s="8">
        <f>COUNTIFS('FTE Detail'!$P$2:$P$99999,'In Seat'!$C6,'FTE Detail'!$B$2:$B$99999,'In Seat'!J6,'FTE Detail'!$L$2:$L$99999,'In Seat'!L$5,'FTE Detail'!$V$2:$V$99999,"NONE",'FTE Detail'!$U$2:$U$99999,"2500-12-31")</f>
        <v>0</v>
      </c>
      <c r="M6" s="8">
        <f>COUNTIFS('FTE Detail'!$P$2:$P$99999,'In Seat'!$C6,'FTE Detail'!$B$2:$B$99999,'In Seat'!K6,'FTE Detail'!$L$2:$L$99999,'In Seat'!M$5,'FTE Detail'!$V$2:$V$99999,"NONE",'FTE Detail'!$U$2:$U$99999,"2500-12-31")</f>
        <v>0</v>
      </c>
      <c r="N6" s="8">
        <f>SUM(D6:M6)</f>
        <v>76</v>
      </c>
    </row>
    <row r="7" spans="1:15" x14ac:dyDescent="0.3">
      <c r="A7" s="5"/>
      <c r="B7" s="5">
        <v>38430</v>
      </c>
      <c r="C7" s="5">
        <v>1</v>
      </c>
      <c r="D7" s="8">
        <f>COUNTIFS('FTE Detail'!$P$2:$P$99999,'In Seat'!$C7,'FTE Detail'!$B$2:$B$99999,'In Seat'!B7,'FTE Detail'!$L$2:$L$99999,'In Seat'!D$5,'FTE Detail'!$U$2:$U$99999,"2500-12-31")</f>
        <v>98</v>
      </c>
      <c r="E7" s="8">
        <f>COUNTIFS('FTE Detail'!$P$2:$P$99999,'In Seat'!$C7,'FTE Detail'!$B$2:$B$99999,'In Seat'!C7,'FTE Detail'!$L$2:$L$99999,'In Seat'!E$5,'FTE Detail'!$U$2:$U$99999,"2500-12-31")</f>
        <v>0</v>
      </c>
      <c r="F7" s="8">
        <f>COUNTIFS('FTE Detail'!$P$2:$P$99999,'In Seat'!$C7,'FTE Detail'!$B$2:$B$99999,'In Seat'!D7,'FTE Detail'!$L$2:$L$99999,'In Seat'!F$5,'FTE Detail'!$U$2:$U$99999,"2500-12-31")</f>
        <v>0</v>
      </c>
      <c r="G7" s="8">
        <f>COUNTIFS('FTE Detail'!$P$2:$P$99999,'In Seat'!$C7,'FTE Detail'!$B$2:$B$99999,'In Seat'!E7,'FTE Detail'!$L$2:$L$99999,'In Seat'!G$5,'FTE Detail'!$U$2:$U$99999,"2500-12-31")</f>
        <v>0</v>
      </c>
      <c r="H7" s="8">
        <f>COUNTIFS('FTE Detail'!$P$2:$P$99999,'In Seat'!$C7,'FTE Detail'!$B$2:$B$99999,'In Seat'!F7,'FTE Detail'!$L$2:$L$99999,'In Seat'!H$5,'FTE Detail'!$U$2:$U$99999,"2500-12-31")</f>
        <v>0</v>
      </c>
      <c r="I7" s="8">
        <f>COUNTIFS('FTE Detail'!$P$2:$P$99999,'In Seat'!$C7,'FTE Detail'!$B$2:$B$99999,'In Seat'!G7,'FTE Detail'!$L$2:$L$99999,'In Seat'!I$5,'FTE Detail'!$V$2:$V$99999,"NONE",'FTE Detail'!$U$2:$U$99999,"2500-12-31")</f>
        <v>0</v>
      </c>
      <c r="J7" s="8">
        <f>COUNTIFS('FTE Detail'!$P$2:$P$99999,'In Seat'!$C7,'FTE Detail'!$B$2:$B$99999,'In Seat'!H7,'FTE Detail'!$L$2:$L$99999,'In Seat'!J$5,'FTE Detail'!$V$2:$V$99999,"NONE",'FTE Detail'!$U$2:$U$99999,"2500-12-31")</f>
        <v>0</v>
      </c>
      <c r="K7" s="8">
        <f>COUNTIFS('FTE Detail'!$P$2:$P$99999,'In Seat'!$C7,'FTE Detail'!$B$2:$B$99999,'In Seat'!I7,'FTE Detail'!$L$2:$L$99999,'In Seat'!K$5,'FTE Detail'!$V$2:$V$99999,"NONE",'FTE Detail'!$U$2:$U$99999,"2500-12-31")</f>
        <v>0</v>
      </c>
      <c r="L7" s="8">
        <f>COUNTIFS('FTE Detail'!$P$2:$P$99999,'In Seat'!$C7,'FTE Detail'!$B$2:$B$99999,'In Seat'!J7,'FTE Detail'!$L$2:$L$99999,'In Seat'!L$5,'FTE Detail'!$V$2:$V$99999,"NONE",'FTE Detail'!$U$2:$U$99999,"2500-12-31")</f>
        <v>0</v>
      </c>
      <c r="M7" s="8">
        <f>COUNTIFS('FTE Detail'!$P$2:$P$99999,'In Seat'!$C7,'FTE Detail'!$B$2:$B$99999,'In Seat'!K7,'FTE Detail'!$L$2:$L$99999,'In Seat'!M$5,'FTE Detail'!$V$2:$V$99999,"NONE",'FTE Detail'!$U$2:$U$99999,"2500-12-31")</f>
        <v>0</v>
      </c>
      <c r="N7" s="8">
        <f t="shared" ref="N7:N11" si="0">SUM(D7:M7)</f>
        <v>98</v>
      </c>
    </row>
    <row r="8" spans="1:15" x14ac:dyDescent="0.3">
      <c r="A8" s="5"/>
      <c r="B8" s="5">
        <v>38430</v>
      </c>
      <c r="C8" s="61">
        <v>2</v>
      </c>
      <c r="D8" s="8">
        <f>COUNTIFS('FTE Detail'!$P$2:$P$99999,'In Seat'!$C8,'FTE Detail'!$B$2:$B$99999,'In Seat'!B8,'FTE Detail'!$L$2:$L$99999,'In Seat'!D$5,'FTE Detail'!$U$2:$U$99999,"2500-12-31")</f>
        <v>88</v>
      </c>
      <c r="E8" s="8">
        <f>COUNTIFS('FTE Detail'!$P$2:$P$99999,'In Seat'!$C8,'FTE Detail'!$B$2:$B$99999,'In Seat'!C8,'FTE Detail'!$L$2:$L$99999,'In Seat'!E$5,'FTE Detail'!$U$2:$U$99999,"2500-12-31")</f>
        <v>0</v>
      </c>
      <c r="F8" s="8">
        <f>COUNTIFS('FTE Detail'!$P$2:$P$99999,'In Seat'!$C8,'FTE Detail'!$B$2:$B$99999,'In Seat'!D8,'FTE Detail'!$L$2:$L$99999,'In Seat'!F$5,'FTE Detail'!$U$2:$U$99999,"2500-12-31")</f>
        <v>0</v>
      </c>
      <c r="G8" s="8">
        <f>COUNTIFS('FTE Detail'!$P$2:$P$99999,'In Seat'!$C8,'FTE Detail'!$B$2:$B$99999,'In Seat'!E8,'FTE Detail'!$L$2:$L$99999,'In Seat'!G$5,'FTE Detail'!$U$2:$U$99999,"2500-12-31")</f>
        <v>0</v>
      </c>
      <c r="H8" s="8">
        <f>COUNTIFS('FTE Detail'!$P$2:$P$99999,'In Seat'!$C8,'FTE Detail'!$B$2:$B$99999,'In Seat'!F8,'FTE Detail'!$L$2:$L$99999,'In Seat'!H$5,'FTE Detail'!$U$2:$U$99999,"2500-12-31")</f>
        <v>0</v>
      </c>
      <c r="I8" s="8">
        <f>COUNTIFS('FTE Detail'!$P$2:$P$99999,'In Seat'!$C8,'FTE Detail'!$B$2:$B$99999,'In Seat'!G8,'FTE Detail'!$L$2:$L$99999,'In Seat'!I$5,'FTE Detail'!$V$2:$V$99999,"NONE",'FTE Detail'!$U$2:$U$99999,"2500-12-31")</f>
        <v>0</v>
      </c>
      <c r="J8" s="8">
        <f>COUNTIFS('FTE Detail'!$P$2:$P$99999,'In Seat'!$C8,'FTE Detail'!$B$2:$B$99999,'In Seat'!H8,'FTE Detail'!$L$2:$L$99999,'In Seat'!J$5,'FTE Detail'!$V$2:$V$99999,"NONE",'FTE Detail'!$U$2:$U$99999,"2500-12-31")</f>
        <v>0</v>
      </c>
      <c r="K8" s="8">
        <f>COUNTIFS('FTE Detail'!$P$2:$P$99999,'In Seat'!$C8,'FTE Detail'!$B$2:$B$99999,'In Seat'!I8,'FTE Detail'!$L$2:$L$99999,'In Seat'!K$5,'FTE Detail'!$V$2:$V$99999,"NONE",'FTE Detail'!$U$2:$U$99999,"2500-12-31")</f>
        <v>0</v>
      </c>
      <c r="L8" s="8">
        <f>COUNTIFS('FTE Detail'!$P$2:$P$99999,'In Seat'!$C8,'FTE Detail'!$B$2:$B$99999,'In Seat'!J8,'FTE Detail'!$L$2:$L$99999,'In Seat'!L$5,'FTE Detail'!$V$2:$V$99999,"NONE",'FTE Detail'!$U$2:$U$99999,"2500-12-31")</f>
        <v>0</v>
      </c>
      <c r="M8" s="8">
        <f>COUNTIFS('FTE Detail'!$P$2:$P$99999,'In Seat'!$C8,'FTE Detail'!$B$2:$B$99999,'In Seat'!K8,'FTE Detail'!$L$2:$L$99999,'In Seat'!M$5,'FTE Detail'!$V$2:$V$99999,"NONE",'FTE Detail'!$U$2:$U$99999,"2500-12-31")</f>
        <v>0</v>
      </c>
      <c r="N8" s="8">
        <f t="shared" si="0"/>
        <v>88</v>
      </c>
    </row>
    <row r="9" spans="1:15" x14ac:dyDescent="0.3">
      <c r="A9" s="5"/>
      <c r="B9" s="5">
        <v>38430</v>
      </c>
      <c r="C9" s="61">
        <v>3</v>
      </c>
      <c r="D9" s="8">
        <f>COUNTIFS('FTE Detail'!$P$2:$P$99999,'In Seat'!$C9,'FTE Detail'!$B$2:$B$99999,'In Seat'!B9,'FTE Detail'!$L$2:$L$99999,'In Seat'!D$5,'FTE Detail'!$U$2:$U$99999,"2500-12-31")</f>
        <v>81</v>
      </c>
      <c r="E9" s="8">
        <f>COUNTIFS('FTE Detail'!$P$2:$P$99999,'In Seat'!$C9,'FTE Detail'!$B$2:$B$99999,'In Seat'!C9,'FTE Detail'!$L$2:$L$99999,'In Seat'!E$5,'FTE Detail'!$U$2:$U$99999,"2500-12-31")</f>
        <v>0</v>
      </c>
      <c r="F9" s="8">
        <f>COUNTIFS('FTE Detail'!$P$2:$P$99999,'In Seat'!$C9,'FTE Detail'!$B$2:$B$99999,'In Seat'!D9,'FTE Detail'!$L$2:$L$99999,'In Seat'!F$5,'FTE Detail'!$U$2:$U$99999,"2500-12-31")</f>
        <v>0</v>
      </c>
      <c r="G9" s="8">
        <f>COUNTIFS('FTE Detail'!$P$2:$P$99999,'In Seat'!$C9,'FTE Detail'!$B$2:$B$99999,'In Seat'!E9,'FTE Detail'!$L$2:$L$99999,'In Seat'!G$5,'FTE Detail'!$U$2:$U$99999,"2500-12-31")</f>
        <v>0</v>
      </c>
      <c r="H9" s="8">
        <f>COUNTIFS('FTE Detail'!$P$2:$P$99999,'In Seat'!$C9,'FTE Detail'!$B$2:$B$99999,'In Seat'!F9,'FTE Detail'!$L$2:$L$99999,'In Seat'!H$5,'FTE Detail'!$U$2:$U$99999,"2500-12-31")</f>
        <v>0</v>
      </c>
      <c r="I9" s="8">
        <f>COUNTIFS('FTE Detail'!$P$2:$P$99999,'In Seat'!$C9,'FTE Detail'!$B$2:$B$99999,'In Seat'!G9,'FTE Detail'!$L$2:$L$99999,'In Seat'!I$5,'FTE Detail'!$V$2:$V$99999,"NONE",'FTE Detail'!$U$2:$U$99999,"2500-12-31")</f>
        <v>0</v>
      </c>
      <c r="J9" s="8">
        <f>COUNTIFS('FTE Detail'!$P$2:$P$99999,'In Seat'!$C9,'FTE Detail'!$B$2:$B$99999,'In Seat'!H9,'FTE Detail'!$L$2:$L$99999,'In Seat'!J$5,'FTE Detail'!$V$2:$V$99999,"NONE",'FTE Detail'!$U$2:$U$99999,"2500-12-31")</f>
        <v>0</v>
      </c>
      <c r="K9" s="8">
        <f>COUNTIFS('FTE Detail'!$P$2:$P$99999,'In Seat'!$C9,'FTE Detail'!$B$2:$B$99999,'In Seat'!I9,'FTE Detail'!$L$2:$L$99999,'In Seat'!K$5,'FTE Detail'!$V$2:$V$99999,"NONE",'FTE Detail'!$U$2:$U$99999,"2500-12-31")</f>
        <v>0</v>
      </c>
      <c r="L9" s="8">
        <f>COUNTIFS('FTE Detail'!$P$2:$P$99999,'In Seat'!$C9,'FTE Detail'!$B$2:$B$99999,'In Seat'!J9,'FTE Detail'!$L$2:$L$99999,'In Seat'!L$5,'FTE Detail'!$V$2:$V$99999,"NONE",'FTE Detail'!$U$2:$U$99999,"2500-12-31")</f>
        <v>0</v>
      </c>
      <c r="M9" s="8">
        <f>COUNTIFS('FTE Detail'!$P$2:$P$99999,'In Seat'!$C9,'FTE Detail'!$B$2:$B$99999,'In Seat'!K9,'FTE Detail'!$L$2:$L$99999,'In Seat'!M$5,'FTE Detail'!$V$2:$V$99999,"NONE",'FTE Detail'!$U$2:$U$99999,"2500-12-31")</f>
        <v>0</v>
      </c>
      <c r="N9" s="8">
        <f t="shared" si="0"/>
        <v>81</v>
      </c>
    </row>
    <row r="10" spans="1:15" x14ac:dyDescent="0.3">
      <c r="A10" s="5"/>
      <c r="B10" s="5">
        <v>38430</v>
      </c>
      <c r="C10" s="5">
        <v>4</v>
      </c>
      <c r="D10" s="8">
        <f>COUNTIFS('FTE Detail'!$P$2:$P$99999,'In Seat'!$C10,'FTE Detail'!$B$2:$B$99999,'In Seat'!B10,'FTE Detail'!$L$2:$L$99999,'In Seat'!D$5,'FTE Detail'!$U$2:$U$99999,"2500-12-31")</f>
        <v>109</v>
      </c>
      <c r="E10" s="8">
        <f>COUNTIFS('FTE Detail'!$P$2:$P$99999,'In Seat'!$C10,'FTE Detail'!$B$2:$B$99999,'In Seat'!C10,'FTE Detail'!$L$2:$L$99999,'In Seat'!E$5,'FTE Detail'!$U$2:$U$99999,"2500-12-31")</f>
        <v>0</v>
      </c>
      <c r="F10" s="8">
        <f>COUNTIFS('FTE Detail'!$P$2:$P$99999,'In Seat'!$C10,'FTE Detail'!$B$2:$B$99999,'In Seat'!D10,'FTE Detail'!$L$2:$L$99999,'In Seat'!F$5,'FTE Detail'!$U$2:$U$99999,"2500-12-31")</f>
        <v>0</v>
      </c>
      <c r="G10" s="8">
        <f>COUNTIFS('FTE Detail'!$P$2:$P$99999,'In Seat'!$C10,'FTE Detail'!$B$2:$B$99999,'In Seat'!E10,'FTE Detail'!$L$2:$L$99999,'In Seat'!G$5,'FTE Detail'!$U$2:$U$99999,"2500-12-31")</f>
        <v>0</v>
      </c>
      <c r="H10" s="8">
        <f>COUNTIFS('FTE Detail'!$P$2:$P$99999,'In Seat'!$C10,'FTE Detail'!$B$2:$B$99999,'In Seat'!F10,'FTE Detail'!$L$2:$L$99999,'In Seat'!H$5,'FTE Detail'!$U$2:$U$99999,"2500-12-31")</f>
        <v>0</v>
      </c>
      <c r="I10" s="8">
        <f>COUNTIFS('FTE Detail'!$P$2:$P$99999,'In Seat'!$C10,'FTE Detail'!$B$2:$B$99999,'In Seat'!G10,'FTE Detail'!$L$2:$L$99999,'In Seat'!I$5,'FTE Detail'!$V$2:$V$99999,"NONE",'FTE Detail'!$U$2:$U$99999,"2500-12-31")</f>
        <v>0</v>
      </c>
      <c r="J10" s="8">
        <f>COUNTIFS('FTE Detail'!$P$2:$P$99999,'In Seat'!$C10,'FTE Detail'!$B$2:$B$99999,'In Seat'!H10,'FTE Detail'!$L$2:$L$99999,'In Seat'!J$5,'FTE Detail'!$V$2:$V$99999,"NONE",'FTE Detail'!$U$2:$U$99999,"2500-12-31")</f>
        <v>0</v>
      </c>
      <c r="K10" s="8">
        <f>COUNTIFS('FTE Detail'!$P$2:$P$99999,'In Seat'!$C10,'FTE Detail'!$B$2:$B$99999,'In Seat'!I10,'FTE Detail'!$L$2:$L$99999,'In Seat'!K$5,'FTE Detail'!$V$2:$V$99999,"NONE",'FTE Detail'!$U$2:$U$99999,"2500-12-31")</f>
        <v>0</v>
      </c>
      <c r="L10" s="8">
        <f>COUNTIFS('FTE Detail'!$P$2:$P$99999,'In Seat'!$C10,'FTE Detail'!$B$2:$B$99999,'In Seat'!J10,'FTE Detail'!$L$2:$L$99999,'In Seat'!L$5,'FTE Detail'!$V$2:$V$99999,"NONE",'FTE Detail'!$U$2:$U$99999,"2500-12-31")</f>
        <v>0</v>
      </c>
      <c r="M10" s="8">
        <f>COUNTIFS('FTE Detail'!$P$2:$P$99999,'In Seat'!$C10,'FTE Detail'!$B$2:$B$99999,'In Seat'!K10,'FTE Detail'!$L$2:$L$99999,'In Seat'!M$5,'FTE Detail'!$V$2:$V$99999,"NONE",'FTE Detail'!$U$2:$U$99999,"2500-12-31")</f>
        <v>0</v>
      </c>
      <c r="N10" s="8">
        <f t="shared" si="0"/>
        <v>109</v>
      </c>
    </row>
    <row r="11" spans="1:15" x14ac:dyDescent="0.3">
      <c r="A11" s="5"/>
      <c r="B11" s="5">
        <v>38430</v>
      </c>
      <c r="C11" s="61">
        <v>5</v>
      </c>
      <c r="D11" s="8">
        <f>COUNTIFS('FTE Detail'!$P$2:$P$99999,'In Seat'!$C11,'FTE Detail'!$B$2:$B$99999,'In Seat'!B11,'FTE Detail'!$L$2:$L$99999,'In Seat'!D$5,'FTE Detail'!$U$2:$U$99999,"2500-12-31")</f>
        <v>101</v>
      </c>
      <c r="E11" s="8">
        <f>COUNTIFS('FTE Detail'!$P$2:$P$99999,'In Seat'!$C11,'FTE Detail'!$B$2:$B$99999,'In Seat'!C11,'FTE Detail'!$L$2:$L$99999,'In Seat'!E$5,'FTE Detail'!$U$2:$U$99999,"2500-12-31")</f>
        <v>0</v>
      </c>
      <c r="F11" s="8">
        <f>COUNTIFS('FTE Detail'!$P$2:$P$99999,'In Seat'!$C11,'FTE Detail'!$B$2:$B$99999,'In Seat'!D11,'FTE Detail'!$L$2:$L$99999,'In Seat'!F$5,'FTE Detail'!$U$2:$U$99999,"2500-12-31")</f>
        <v>0</v>
      </c>
      <c r="G11" s="8">
        <f>COUNTIFS('FTE Detail'!$P$2:$P$99999,'In Seat'!$C11,'FTE Detail'!$B$2:$B$99999,'In Seat'!E11,'FTE Detail'!$L$2:$L$99999,'In Seat'!G$5,'FTE Detail'!$U$2:$U$99999,"2500-12-31")</f>
        <v>0</v>
      </c>
      <c r="H11" s="8">
        <f>COUNTIFS('FTE Detail'!$P$2:$P$99999,'In Seat'!$C11,'FTE Detail'!$B$2:$B$99999,'In Seat'!F11,'FTE Detail'!$L$2:$L$99999,'In Seat'!H$5,'FTE Detail'!$U$2:$U$99999,"2500-12-31")</f>
        <v>0</v>
      </c>
      <c r="I11" s="8">
        <f>COUNTIFS('FTE Detail'!$P$2:$P$99999,'In Seat'!$C11,'FTE Detail'!$B$2:$B$99999,'In Seat'!G11,'FTE Detail'!$L$2:$L$99999,'In Seat'!I$5,'FTE Detail'!$V$2:$V$99999,"NONE",'FTE Detail'!$U$2:$U$99999,"2500-12-31")</f>
        <v>0</v>
      </c>
      <c r="J11" s="8">
        <f>COUNTIFS('FTE Detail'!$P$2:$P$99999,'In Seat'!$C11,'FTE Detail'!$B$2:$B$99999,'In Seat'!H11,'FTE Detail'!$L$2:$L$99999,'In Seat'!J$5,'FTE Detail'!$V$2:$V$99999,"NONE",'FTE Detail'!$U$2:$U$99999,"2500-12-31")</f>
        <v>0</v>
      </c>
      <c r="K11" s="8">
        <f>COUNTIFS('FTE Detail'!$P$2:$P$99999,'In Seat'!$C11,'FTE Detail'!$B$2:$B$99999,'In Seat'!I11,'FTE Detail'!$L$2:$L$99999,'In Seat'!K$5,'FTE Detail'!$V$2:$V$99999,"NONE",'FTE Detail'!$U$2:$U$99999,"2500-12-31")</f>
        <v>0</v>
      </c>
      <c r="L11" s="8">
        <f>COUNTIFS('FTE Detail'!$P$2:$P$99999,'In Seat'!$C11,'FTE Detail'!$B$2:$B$99999,'In Seat'!J11,'FTE Detail'!$L$2:$L$99999,'In Seat'!L$5,'FTE Detail'!$V$2:$V$99999,"NONE",'FTE Detail'!$U$2:$U$99999,"2500-12-31")</f>
        <v>0</v>
      </c>
      <c r="M11" s="8">
        <f>COUNTIFS('FTE Detail'!$P$2:$P$99999,'In Seat'!$C11,'FTE Detail'!$B$2:$B$99999,'In Seat'!K11,'FTE Detail'!$L$2:$L$99999,'In Seat'!M$5,'FTE Detail'!$V$2:$V$99999,"NONE",'FTE Detail'!$U$2:$U$99999,"2500-12-31")</f>
        <v>0</v>
      </c>
      <c r="N11" s="8">
        <f t="shared" si="0"/>
        <v>101</v>
      </c>
    </row>
    <row r="12" spans="1:15" x14ac:dyDescent="0.3">
      <c r="A12" s="5"/>
      <c r="B12" s="5"/>
      <c r="C12" s="61"/>
      <c r="D12" s="8"/>
      <c r="E12" s="8"/>
      <c r="F12" s="8"/>
      <c r="G12" s="8"/>
      <c r="H12" s="8"/>
      <c r="I12" s="8"/>
      <c r="J12" s="8"/>
      <c r="K12" s="8"/>
      <c r="L12" s="8"/>
      <c r="M12" s="8"/>
      <c r="N12" s="8"/>
      <c r="O12" s="3">
        <f>SUM(N6:N11)</f>
        <v>553</v>
      </c>
    </row>
    <row r="13" spans="1:15" x14ac:dyDescent="0.3">
      <c r="A13" s="5"/>
      <c r="B13" s="12"/>
      <c r="C13" s="61"/>
      <c r="D13" s="8"/>
      <c r="E13" s="8"/>
      <c r="F13" s="8"/>
      <c r="G13" s="8"/>
      <c r="H13" s="13"/>
      <c r="I13" s="14"/>
      <c r="J13" s="13"/>
      <c r="K13" s="14"/>
      <c r="L13" s="14"/>
      <c r="M13" s="14"/>
    </row>
    <row r="14" spans="1:15" x14ac:dyDescent="0.3">
      <c r="A14" s="18"/>
      <c r="B14" s="5">
        <v>4697</v>
      </c>
      <c r="C14" s="61" t="s">
        <v>764</v>
      </c>
      <c r="D14" s="8">
        <f>COUNTIFS('FTE Detail'!$P$2:$P$99999,'In Seat'!$C14,'FTE Detail'!$B$2:$B$99999,'In Seat'!B14,'FTE Detail'!$L$2:$L$99999,'In Seat'!D$5,'FTE Detail'!$U$2:$U$99999,"2500-12-31")</f>
        <v>78</v>
      </c>
      <c r="E14" s="8">
        <f>COUNTIFS('FTE Detail'!$P$2:$P$99999,'In Seat'!$C14,'FTE Detail'!$B$2:$B$99999,'In Seat'!C14,'FTE Detail'!$L$2:$L$99999,'In Seat'!E$5,'FTE Detail'!$U$2:$U$99999,"2500-12-31")</f>
        <v>0</v>
      </c>
      <c r="F14" s="8">
        <f>COUNTIFS('FTE Detail'!$P$2:$P$99999,'In Seat'!$C14,'FTE Detail'!$B$2:$B$99999,'In Seat'!D14,'FTE Detail'!$L$2:$L$99999,'In Seat'!F$5,'FTE Detail'!$U$2:$U$99999,"2500-12-31")</f>
        <v>0</v>
      </c>
      <c r="G14" s="8">
        <f>COUNTIFS('FTE Detail'!$P$2:$P$99999,'In Seat'!$C14,'FTE Detail'!$B$2:$B$99999,'In Seat'!E14,'FTE Detail'!$L$2:$L$99999,'In Seat'!G$5,'FTE Detail'!$U$2:$U$99999,"2500-12-31")</f>
        <v>0</v>
      </c>
      <c r="H14" s="8">
        <f>COUNTIFS('FTE Detail'!$P$2:$P$99999,'In Seat'!$C14,'FTE Detail'!$B$2:$B$99999,'In Seat'!F14,'FTE Detail'!$L$2:$L$99999,'In Seat'!H$5,'FTE Detail'!$U$2:$U$99999,"2500-12-31")</f>
        <v>0</v>
      </c>
      <c r="I14" s="8">
        <f>COUNTIFS('FTE Detail'!$P$2:$P$99999,'In Seat'!$C14,'FTE Detail'!$B$2:$B$99999,'In Seat'!G14,'FTE Detail'!$L$2:$L$99999,'In Seat'!I$5,'FTE Detail'!$V$2:$V$99999,"NONE",'FTE Detail'!$U$2:$U$99999,"2500-12-31")</f>
        <v>0</v>
      </c>
      <c r="J14" s="8">
        <f>COUNTIFS('FTE Detail'!$P$2:$P$99999,'In Seat'!$C14,'FTE Detail'!$B$2:$B$99999,'In Seat'!H14,'FTE Detail'!$L$2:$L$99999,'In Seat'!J$5,'FTE Detail'!$V$2:$V$99999,"NONE",'FTE Detail'!$U$2:$U$99999,"2500-12-31")</f>
        <v>0</v>
      </c>
      <c r="K14" s="8">
        <f>COUNTIFS('FTE Detail'!$P$2:$P$99999,'In Seat'!$C14,'FTE Detail'!$B$2:$B$99999,'In Seat'!I14,'FTE Detail'!$L$2:$L$99999,'In Seat'!K$5,'FTE Detail'!$V$2:$V$99999,"NONE",'FTE Detail'!$U$2:$U$99999,"2500-12-31")</f>
        <v>0</v>
      </c>
      <c r="L14" s="8">
        <f>COUNTIFS('FTE Detail'!$P$2:$P$99999,'In Seat'!$C14,'FTE Detail'!$B$2:$B$99999,'In Seat'!J14,'FTE Detail'!$L$2:$L$99999,'In Seat'!L$5,'FTE Detail'!$V$2:$V$99999,"NONE",'FTE Detail'!$U$2:$U$99999,"2500-12-31")</f>
        <v>0</v>
      </c>
      <c r="M14" s="8">
        <f>COUNTIFS('FTE Detail'!$P$2:$P$99999,'In Seat'!$C14,'FTE Detail'!$B$2:$B$99999,'In Seat'!K14,'FTE Detail'!$L$2:$L$99999,'In Seat'!M$5,'FTE Detail'!$V$2:$V$99999,"NONE",'FTE Detail'!$U$2:$U$99999,"2500-12-31")</f>
        <v>0</v>
      </c>
      <c r="N14" s="8">
        <f>SUM(D14:M14)</f>
        <v>78</v>
      </c>
    </row>
    <row r="15" spans="1:15" x14ac:dyDescent="0.3">
      <c r="A15" s="18"/>
      <c r="B15" s="5">
        <v>4697</v>
      </c>
      <c r="C15" s="5">
        <v>1</v>
      </c>
      <c r="D15" s="8">
        <f>COUNTIFS('FTE Detail'!$P$2:$P$99999,'In Seat'!$C15,'FTE Detail'!$B$2:$B$99999,'In Seat'!B15,'FTE Detail'!$L$2:$L$99999,'In Seat'!D$5,'FTE Detail'!$U$2:$U$99999,"2500-12-31")</f>
        <v>88</v>
      </c>
      <c r="E15" s="8">
        <f>COUNTIFS('FTE Detail'!$P$2:$P$99999,'In Seat'!$C15,'FTE Detail'!$B$2:$B$99999,'In Seat'!C15,'FTE Detail'!$L$2:$L$99999,'In Seat'!E$5,'FTE Detail'!$U$2:$U$99999,"2500-12-31")</f>
        <v>0</v>
      </c>
      <c r="F15" s="8">
        <f>COUNTIFS('FTE Detail'!$P$2:$P$99999,'In Seat'!$C15,'FTE Detail'!$B$2:$B$99999,'In Seat'!D15,'FTE Detail'!$L$2:$L$99999,'In Seat'!F$5,'FTE Detail'!$U$2:$U$99999,"2500-12-31")</f>
        <v>0</v>
      </c>
      <c r="G15" s="8">
        <f>COUNTIFS('FTE Detail'!$P$2:$P$99999,'In Seat'!$C15,'FTE Detail'!$B$2:$B$99999,'In Seat'!E15,'FTE Detail'!$L$2:$L$99999,'In Seat'!G$5,'FTE Detail'!$U$2:$U$99999,"2500-12-31")</f>
        <v>0</v>
      </c>
      <c r="H15" s="8">
        <f>COUNTIFS('FTE Detail'!$P$2:$P$99999,'In Seat'!$C15,'FTE Detail'!$B$2:$B$99999,'In Seat'!F15,'FTE Detail'!$L$2:$L$99999,'In Seat'!H$5,'FTE Detail'!$U$2:$U$99999,"2500-12-31")</f>
        <v>0</v>
      </c>
      <c r="I15" s="8">
        <f>COUNTIFS('FTE Detail'!$P$2:$P$99999,'In Seat'!$C15,'FTE Detail'!$B$2:$B$99999,'In Seat'!G15,'FTE Detail'!$L$2:$L$99999,'In Seat'!I$5,'FTE Detail'!$V$2:$V$99999,"NONE",'FTE Detail'!$U$2:$U$99999,"2500-12-31")</f>
        <v>0</v>
      </c>
      <c r="J15" s="8">
        <f>COUNTIFS('FTE Detail'!$P$2:$P$99999,'In Seat'!$C15,'FTE Detail'!$B$2:$B$99999,'In Seat'!H15,'FTE Detail'!$L$2:$L$99999,'In Seat'!J$5,'FTE Detail'!$V$2:$V$99999,"NONE",'FTE Detail'!$U$2:$U$99999,"2500-12-31")</f>
        <v>0</v>
      </c>
      <c r="K15" s="8">
        <f>COUNTIFS('FTE Detail'!$P$2:$P$99999,'In Seat'!$C15,'FTE Detail'!$B$2:$B$99999,'In Seat'!I15,'FTE Detail'!$L$2:$L$99999,'In Seat'!K$5,'FTE Detail'!$V$2:$V$99999,"NONE",'FTE Detail'!$U$2:$U$99999,"2500-12-31")</f>
        <v>0</v>
      </c>
      <c r="L15" s="8">
        <f>COUNTIFS('FTE Detail'!$P$2:$P$99999,'In Seat'!$C15,'FTE Detail'!$B$2:$B$99999,'In Seat'!J15,'FTE Detail'!$L$2:$L$99999,'In Seat'!L$5,'FTE Detail'!$V$2:$V$99999,"NONE",'FTE Detail'!$U$2:$U$99999,"2500-12-31")</f>
        <v>0</v>
      </c>
      <c r="M15" s="8">
        <f>COUNTIFS('FTE Detail'!$P$2:$P$99999,'In Seat'!$C15,'FTE Detail'!$B$2:$B$99999,'In Seat'!K15,'FTE Detail'!$L$2:$L$99999,'In Seat'!M$5,'FTE Detail'!$V$2:$V$99999,"NONE",'FTE Detail'!$U$2:$U$99999,"2500-12-31")</f>
        <v>0</v>
      </c>
      <c r="N15" s="8">
        <f t="shared" ref="N15:N19" si="1">SUM(D15:M15)</f>
        <v>88</v>
      </c>
    </row>
    <row r="16" spans="1:15" x14ac:dyDescent="0.3">
      <c r="A16" s="18"/>
      <c r="B16" s="5">
        <v>4697</v>
      </c>
      <c r="C16" s="61">
        <v>2</v>
      </c>
      <c r="D16" s="8">
        <f>COUNTIFS('FTE Detail'!$P$2:$P$99999,'In Seat'!$C16,'FTE Detail'!$B$2:$B$99999,'In Seat'!B16,'FTE Detail'!$L$2:$L$99999,'In Seat'!D$5,'FTE Detail'!$U$2:$U$99999,"2500-12-31")</f>
        <v>83</v>
      </c>
      <c r="E16" s="8">
        <f>COUNTIFS('FTE Detail'!$P$2:$P$99999,'In Seat'!$C16,'FTE Detail'!$B$2:$B$99999,'In Seat'!C16,'FTE Detail'!$L$2:$L$99999,'In Seat'!E$5,'FTE Detail'!$U$2:$U$99999,"2500-12-31")</f>
        <v>0</v>
      </c>
      <c r="F16" s="8">
        <f>COUNTIFS('FTE Detail'!$P$2:$P$99999,'In Seat'!$C16,'FTE Detail'!$B$2:$B$99999,'In Seat'!D16,'FTE Detail'!$L$2:$L$99999,'In Seat'!F$5,'FTE Detail'!$U$2:$U$99999,"2500-12-31")</f>
        <v>0</v>
      </c>
      <c r="G16" s="8">
        <f>COUNTIFS('FTE Detail'!$P$2:$P$99999,'In Seat'!$C16,'FTE Detail'!$B$2:$B$99999,'In Seat'!E16,'FTE Detail'!$L$2:$L$99999,'In Seat'!G$5,'FTE Detail'!$U$2:$U$99999,"2500-12-31")</f>
        <v>0</v>
      </c>
      <c r="H16" s="8">
        <f>COUNTIFS('FTE Detail'!$P$2:$P$99999,'In Seat'!$C16,'FTE Detail'!$B$2:$B$99999,'In Seat'!F16,'FTE Detail'!$L$2:$L$99999,'In Seat'!H$5,'FTE Detail'!$U$2:$U$99999,"2500-12-31")</f>
        <v>0</v>
      </c>
      <c r="I16" s="8">
        <f>COUNTIFS('FTE Detail'!$P$2:$P$99999,'In Seat'!$C16,'FTE Detail'!$B$2:$B$99999,'In Seat'!G16,'FTE Detail'!$L$2:$L$99999,'In Seat'!I$5,'FTE Detail'!$V$2:$V$99999,"NONE",'FTE Detail'!$U$2:$U$99999,"2500-12-31")</f>
        <v>0</v>
      </c>
      <c r="J16" s="8">
        <f>COUNTIFS('FTE Detail'!$P$2:$P$99999,'In Seat'!$C16,'FTE Detail'!$B$2:$B$99999,'In Seat'!H16,'FTE Detail'!$L$2:$L$99999,'In Seat'!J$5,'FTE Detail'!$V$2:$V$99999,"NONE",'FTE Detail'!$U$2:$U$99999,"2500-12-31")</f>
        <v>0</v>
      </c>
      <c r="K16" s="8">
        <f>COUNTIFS('FTE Detail'!$P$2:$P$99999,'In Seat'!$C16,'FTE Detail'!$B$2:$B$99999,'In Seat'!I16,'FTE Detail'!$L$2:$L$99999,'In Seat'!K$5,'FTE Detail'!$V$2:$V$99999,"NONE",'FTE Detail'!$U$2:$U$99999,"2500-12-31")</f>
        <v>0</v>
      </c>
      <c r="L16" s="8">
        <f>COUNTIFS('FTE Detail'!$P$2:$P$99999,'In Seat'!$C16,'FTE Detail'!$B$2:$B$99999,'In Seat'!J16,'FTE Detail'!$L$2:$L$99999,'In Seat'!L$5,'FTE Detail'!$V$2:$V$99999,"NONE",'FTE Detail'!$U$2:$U$99999,"2500-12-31")</f>
        <v>0</v>
      </c>
      <c r="M16" s="8">
        <f>COUNTIFS('FTE Detail'!$P$2:$P$99999,'In Seat'!$C16,'FTE Detail'!$B$2:$B$99999,'In Seat'!K16,'FTE Detail'!$L$2:$L$99999,'In Seat'!M$5,'FTE Detail'!$V$2:$V$99999,"NONE",'FTE Detail'!$U$2:$U$99999,"2500-12-31")</f>
        <v>0</v>
      </c>
      <c r="N16" s="8">
        <f t="shared" si="1"/>
        <v>83</v>
      </c>
    </row>
    <row r="17" spans="1:15" x14ac:dyDescent="0.3">
      <c r="A17" s="18"/>
      <c r="B17" s="5">
        <v>4697</v>
      </c>
      <c r="C17" s="61">
        <v>3</v>
      </c>
      <c r="D17" s="8">
        <f>COUNTIFS('FTE Detail'!$P$2:$P$99999,'In Seat'!$C17,'FTE Detail'!$B$2:$B$99999,'In Seat'!B17,'FTE Detail'!$L$2:$L$99999,'In Seat'!D$5,'FTE Detail'!$U$2:$U$99999,"2500-12-31")</f>
        <v>86</v>
      </c>
      <c r="E17" s="8">
        <f>COUNTIFS('FTE Detail'!$P$2:$P$99999,'In Seat'!$C17,'FTE Detail'!$B$2:$B$99999,'In Seat'!C17,'FTE Detail'!$L$2:$L$99999,'In Seat'!E$5,'FTE Detail'!$U$2:$U$99999,"2500-12-31")</f>
        <v>0</v>
      </c>
      <c r="F17" s="8">
        <f>COUNTIFS('FTE Detail'!$P$2:$P$99999,'In Seat'!$C17,'FTE Detail'!$B$2:$B$99999,'In Seat'!D17,'FTE Detail'!$L$2:$L$99999,'In Seat'!F$5,'FTE Detail'!$U$2:$U$99999,"2500-12-31")</f>
        <v>0</v>
      </c>
      <c r="G17" s="8">
        <f>COUNTIFS('FTE Detail'!$P$2:$P$99999,'In Seat'!$C17,'FTE Detail'!$B$2:$B$99999,'In Seat'!E17,'FTE Detail'!$L$2:$L$99999,'In Seat'!G$5,'FTE Detail'!$U$2:$U$99999,"2500-12-31")</f>
        <v>0</v>
      </c>
      <c r="H17" s="8">
        <f>COUNTIFS('FTE Detail'!$P$2:$P$99999,'In Seat'!$C17,'FTE Detail'!$B$2:$B$99999,'In Seat'!F17,'FTE Detail'!$L$2:$L$99999,'In Seat'!H$5,'FTE Detail'!$U$2:$U$99999,"2500-12-31")</f>
        <v>0</v>
      </c>
      <c r="I17" s="8">
        <f>COUNTIFS('FTE Detail'!$P$2:$P$99999,'In Seat'!$C17,'FTE Detail'!$B$2:$B$99999,'In Seat'!G17,'FTE Detail'!$L$2:$L$99999,'In Seat'!I$5,'FTE Detail'!$V$2:$V$99999,"NONE",'FTE Detail'!$U$2:$U$99999,"2500-12-31")</f>
        <v>0</v>
      </c>
      <c r="J17" s="8">
        <f>COUNTIFS('FTE Detail'!$P$2:$P$99999,'In Seat'!$C17,'FTE Detail'!$B$2:$B$99999,'In Seat'!H17,'FTE Detail'!$L$2:$L$99999,'In Seat'!J$5,'FTE Detail'!$V$2:$V$99999,"NONE",'FTE Detail'!$U$2:$U$99999,"2500-12-31")</f>
        <v>0</v>
      </c>
      <c r="K17" s="8">
        <f>COUNTIFS('FTE Detail'!$P$2:$P$99999,'In Seat'!$C17,'FTE Detail'!$B$2:$B$99999,'In Seat'!I17,'FTE Detail'!$L$2:$L$99999,'In Seat'!K$5,'FTE Detail'!$V$2:$V$99999,"NONE",'FTE Detail'!$U$2:$U$99999,"2500-12-31")</f>
        <v>0</v>
      </c>
      <c r="L17" s="8">
        <f>COUNTIFS('FTE Detail'!$P$2:$P$99999,'In Seat'!$C17,'FTE Detail'!$B$2:$B$99999,'In Seat'!J17,'FTE Detail'!$L$2:$L$99999,'In Seat'!L$5,'FTE Detail'!$V$2:$V$99999,"NONE",'FTE Detail'!$U$2:$U$99999,"2500-12-31")</f>
        <v>0</v>
      </c>
      <c r="M17" s="8">
        <f>COUNTIFS('FTE Detail'!$P$2:$P$99999,'In Seat'!$C17,'FTE Detail'!$B$2:$B$99999,'In Seat'!K17,'FTE Detail'!$L$2:$L$99999,'In Seat'!M$5,'FTE Detail'!$V$2:$V$99999,"NONE",'FTE Detail'!$U$2:$U$99999,"2500-12-31")</f>
        <v>0</v>
      </c>
      <c r="N17" s="8">
        <f t="shared" si="1"/>
        <v>86</v>
      </c>
    </row>
    <row r="18" spans="1:15" x14ac:dyDescent="0.3">
      <c r="A18" s="18"/>
      <c r="B18" s="5">
        <v>4697</v>
      </c>
      <c r="C18" s="5">
        <v>4</v>
      </c>
      <c r="D18" s="8">
        <f>COUNTIFS('FTE Detail'!$P$2:$P$99999,'In Seat'!$C18,'FTE Detail'!$B$2:$B$99999,'In Seat'!B18,'FTE Detail'!$L$2:$L$99999,'In Seat'!D$5,'FTE Detail'!$U$2:$U$99999,"2500-12-31")</f>
        <v>98</v>
      </c>
      <c r="E18" s="8">
        <f>COUNTIFS('FTE Detail'!$P$2:$P$99999,'In Seat'!$C18,'FTE Detail'!$B$2:$B$99999,'In Seat'!C18,'FTE Detail'!$L$2:$L$99999,'In Seat'!E$5,'FTE Detail'!$U$2:$U$99999,"2500-12-31")</f>
        <v>0</v>
      </c>
      <c r="F18" s="8">
        <f>COUNTIFS('FTE Detail'!$P$2:$P$99999,'In Seat'!$C18,'FTE Detail'!$B$2:$B$99999,'In Seat'!D18,'FTE Detail'!$L$2:$L$99999,'In Seat'!F$5,'FTE Detail'!$U$2:$U$99999,"2500-12-31")</f>
        <v>0</v>
      </c>
      <c r="G18" s="8">
        <f>COUNTIFS('FTE Detail'!$P$2:$P$99999,'In Seat'!$C18,'FTE Detail'!$B$2:$B$99999,'In Seat'!E18,'FTE Detail'!$L$2:$L$99999,'In Seat'!G$5,'FTE Detail'!$U$2:$U$99999,"2500-12-31")</f>
        <v>0</v>
      </c>
      <c r="H18" s="8">
        <f>COUNTIFS('FTE Detail'!$P$2:$P$99999,'In Seat'!$C18,'FTE Detail'!$B$2:$B$99999,'In Seat'!F18,'FTE Detail'!$L$2:$L$99999,'In Seat'!H$5,'FTE Detail'!$U$2:$U$99999,"2500-12-31")</f>
        <v>0</v>
      </c>
      <c r="I18" s="8">
        <f>COUNTIFS('FTE Detail'!$P$2:$P$99999,'In Seat'!$C18,'FTE Detail'!$B$2:$B$99999,'In Seat'!G18,'FTE Detail'!$L$2:$L$99999,'In Seat'!I$5,'FTE Detail'!$V$2:$V$99999,"NONE",'FTE Detail'!$U$2:$U$99999,"2500-12-31")</f>
        <v>0</v>
      </c>
      <c r="J18" s="8">
        <f>COUNTIFS('FTE Detail'!$P$2:$P$99999,'In Seat'!$C18,'FTE Detail'!$B$2:$B$99999,'In Seat'!H18,'FTE Detail'!$L$2:$L$99999,'In Seat'!J$5,'FTE Detail'!$V$2:$V$99999,"NONE",'FTE Detail'!$U$2:$U$99999,"2500-12-31")</f>
        <v>0</v>
      </c>
      <c r="K18" s="8">
        <f>COUNTIFS('FTE Detail'!$P$2:$P$99999,'In Seat'!$C18,'FTE Detail'!$B$2:$B$99999,'In Seat'!I18,'FTE Detail'!$L$2:$L$99999,'In Seat'!K$5,'FTE Detail'!$V$2:$V$99999,"NONE",'FTE Detail'!$U$2:$U$99999,"2500-12-31")</f>
        <v>0</v>
      </c>
      <c r="L18" s="8">
        <f>COUNTIFS('FTE Detail'!$P$2:$P$99999,'In Seat'!$C18,'FTE Detail'!$B$2:$B$99999,'In Seat'!J18,'FTE Detail'!$L$2:$L$99999,'In Seat'!L$5,'FTE Detail'!$V$2:$V$99999,"NONE",'FTE Detail'!$U$2:$U$99999,"2500-12-31")</f>
        <v>0</v>
      </c>
      <c r="M18" s="8">
        <f>COUNTIFS('FTE Detail'!$P$2:$P$99999,'In Seat'!$C18,'FTE Detail'!$B$2:$B$99999,'In Seat'!K18,'FTE Detail'!$L$2:$L$99999,'In Seat'!M$5,'FTE Detail'!$V$2:$V$99999,"NONE",'FTE Detail'!$U$2:$U$99999,"2500-12-31")</f>
        <v>0</v>
      </c>
      <c r="N18" s="8">
        <f t="shared" si="1"/>
        <v>98</v>
      </c>
    </row>
    <row r="19" spans="1:15" x14ac:dyDescent="0.3">
      <c r="A19" s="18"/>
      <c r="B19" s="5">
        <v>4697</v>
      </c>
      <c r="C19" s="61">
        <v>5</v>
      </c>
      <c r="D19" s="8">
        <f>COUNTIFS('FTE Detail'!$P$2:$P$99999,'In Seat'!$C19,'FTE Detail'!$B$2:$B$99999,'In Seat'!B19,'FTE Detail'!$L$2:$L$99999,'In Seat'!D$5,'FTE Detail'!$U$2:$U$99999,"2500-12-31")</f>
        <v>99</v>
      </c>
      <c r="E19" s="8">
        <f>COUNTIFS('FTE Detail'!$P$2:$P$99999,'In Seat'!$C19,'FTE Detail'!$B$2:$B$99999,'In Seat'!C19,'FTE Detail'!$L$2:$L$99999,'In Seat'!E$5,'FTE Detail'!$U$2:$U$99999,"2500-12-31")</f>
        <v>0</v>
      </c>
      <c r="F19" s="8">
        <f>COUNTIFS('FTE Detail'!$P$2:$P$99999,'In Seat'!$C19,'FTE Detail'!$B$2:$B$99999,'In Seat'!D19,'FTE Detail'!$L$2:$L$99999,'In Seat'!F$5,'FTE Detail'!$U$2:$U$99999,"2500-12-31")</f>
        <v>0</v>
      </c>
      <c r="G19" s="8">
        <f>COUNTIFS('FTE Detail'!$P$2:$P$99999,'In Seat'!$C19,'FTE Detail'!$B$2:$B$99999,'In Seat'!E19,'FTE Detail'!$L$2:$L$99999,'In Seat'!G$5,'FTE Detail'!$U$2:$U$99999,"2500-12-31")</f>
        <v>0</v>
      </c>
      <c r="H19" s="8">
        <f>COUNTIFS('FTE Detail'!$P$2:$P$99999,'In Seat'!$C19,'FTE Detail'!$B$2:$B$99999,'In Seat'!F19,'FTE Detail'!$L$2:$L$99999,'In Seat'!H$5,'FTE Detail'!$U$2:$U$99999,"2500-12-31")</f>
        <v>0</v>
      </c>
      <c r="I19" s="8">
        <f>COUNTIFS('FTE Detail'!$P$2:$P$99999,'In Seat'!$C19,'FTE Detail'!$B$2:$B$99999,'In Seat'!G19,'FTE Detail'!$L$2:$L$99999,'In Seat'!I$5,'FTE Detail'!$V$2:$V$99999,"NONE",'FTE Detail'!$U$2:$U$99999,"2500-12-31")</f>
        <v>0</v>
      </c>
      <c r="J19" s="8">
        <f>COUNTIFS('FTE Detail'!$P$2:$P$99999,'In Seat'!$C19,'FTE Detail'!$B$2:$B$99999,'In Seat'!H19,'FTE Detail'!$L$2:$L$99999,'In Seat'!J$5,'FTE Detail'!$V$2:$V$99999,"NONE",'FTE Detail'!$U$2:$U$99999,"2500-12-31")</f>
        <v>0</v>
      </c>
      <c r="K19" s="8">
        <f>COUNTIFS('FTE Detail'!$P$2:$P$99999,'In Seat'!$C19,'FTE Detail'!$B$2:$B$99999,'In Seat'!I19,'FTE Detail'!$L$2:$L$99999,'In Seat'!K$5,'FTE Detail'!$V$2:$V$99999,"NONE",'FTE Detail'!$U$2:$U$99999,"2500-12-31")</f>
        <v>0</v>
      </c>
      <c r="L19" s="8">
        <f>COUNTIFS('FTE Detail'!$P$2:$P$99999,'In Seat'!$C19,'FTE Detail'!$B$2:$B$99999,'In Seat'!J19,'FTE Detail'!$L$2:$L$99999,'In Seat'!L$5,'FTE Detail'!$V$2:$V$99999,"NONE",'FTE Detail'!$U$2:$U$99999,"2500-12-31")</f>
        <v>0</v>
      </c>
      <c r="M19" s="8">
        <f>COUNTIFS('FTE Detail'!$P$2:$P$99999,'In Seat'!$C19,'FTE Detail'!$B$2:$B$99999,'In Seat'!K19,'FTE Detail'!$L$2:$L$99999,'In Seat'!M$5,'FTE Detail'!$V$2:$V$99999,"NONE",'FTE Detail'!$U$2:$U$99999,"2500-12-31")</f>
        <v>0</v>
      </c>
      <c r="N19" s="8">
        <f t="shared" si="1"/>
        <v>99</v>
      </c>
    </row>
    <row r="20" spans="1:15" x14ac:dyDescent="0.3">
      <c r="A20" s="18"/>
      <c r="B20" s="5"/>
      <c r="C20" s="61"/>
      <c r="D20" s="8"/>
      <c r="E20" s="8"/>
      <c r="F20" s="8"/>
      <c r="G20" s="8"/>
      <c r="H20" s="8"/>
      <c r="I20" s="8"/>
      <c r="J20" s="8"/>
      <c r="K20" s="8"/>
      <c r="L20" s="8"/>
      <c r="M20" s="8"/>
      <c r="N20" s="8"/>
      <c r="O20" s="3">
        <f>SUM(N14:N19)</f>
        <v>532</v>
      </c>
    </row>
    <row r="21" spans="1:15" x14ac:dyDescent="0.3">
      <c r="A21" s="5"/>
      <c r="B21" s="12"/>
      <c r="C21" s="62"/>
      <c r="D21" s="14"/>
      <c r="E21" s="14"/>
      <c r="F21" s="14"/>
      <c r="G21" s="14"/>
      <c r="H21" s="14"/>
      <c r="I21" s="14"/>
      <c r="J21" s="14"/>
      <c r="K21" s="14"/>
      <c r="L21" s="14"/>
      <c r="M21" s="14"/>
    </row>
    <row r="22" spans="1:15" x14ac:dyDescent="0.3">
      <c r="A22" s="5"/>
      <c r="B22" s="5">
        <v>70417</v>
      </c>
      <c r="C22" s="5">
        <v>6</v>
      </c>
      <c r="D22" s="8">
        <f>COUNTIFS('FTE Detail'!$P$2:$P$99999,'In Seat'!$C22,'FTE Detail'!$B$2:$B$99999,'In Seat'!B22,'FTE Detail'!$L$2:$L$99999,'In Seat'!D$5,'FTE Detail'!$U$2:$U$99999,"2500-12-31")</f>
        <v>208</v>
      </c>
      <c r="E22" s="8">
        <f>COUNTIFS('FTE Detail'!$P$2:$P$99999,'In Seat'!$C22,'FTE Detail'!$B$2:$B$99999,'In Seat'!C22,'FTE Detail'!$L$2:$L$99999,'In Seat'!E$5,'FTE Detail'!$U$2:$U$99999,"2500-12-31")</f>
        <v>0</v>
      </c>
      <c r="F22" s="8">
        <f>COUNTIFS('FTE Detail'!$P$2:$P$99999,'In Seat'!$C22,'FTE Detail'!$B$2:$B$99999,'In Seat'!D22,'FTE Detail'!$L$2:$L$99999,'In Seat'!F$5,'FTE Detail'!$U$2:$U$99999,"2500-12-31")</f>
        <v>0</v>
      </c>
      <c r="G22" s="8">
        <f>COUNTIFS('FTE Detail'!$P$2:$P$99999,'In Seat'!$C22,'FTE Detail'!$B$2:$B$99999,'In Seat'!E22,'FTE Detail'!$L$2:$L$99999,'In Seat'!G$5,'FTE Detail'!$U$2:$U$99999,"2500-12-31")</f>
        <v>0</v>
      </c>
      <c r="H22" s="8">
        <f>COUNTIFS('FTE Detail'!$P$2:$P$99999,'In Seat'!$C22,'FTE Detail'!$B$2:$B$99999,'In Seat'!F22,'FTE Detail'!$L$2:$L$99999,'In Seat'!H$5,'FTE Detail'!$U$2:$U$99999,"2500-12-31")</f>
        <v>0</v>
      </c>
      <c r="I22" s="8">
        <f>COUNTIFS('FTE Detail'!$P$2:$P$99999,'In Seat'!$C22,'FTE Detail'!$B$2:$B$99999,'In Seat'!G22,'FTE Detail'!$L$2:$L$99999,'In Seat'!I$5,'FTE Detail'!$V$2:$V$99999,"NONE",'FTE Detail'!$U$2:$U$99999,"2500-12-31")</f>
        <v>0</v>
      </c>
      <c r="J22" s="8">
        <f>COUNTIFS('FTE Detail'!$P$2:$P$99999,'In Seat'!$C22,'FTE Detail'!$B$2:$B$99999,'In Seat'!H22,'FTE Detail'!$L$2:$L$99999,'In Seat'!J$5,'FTE Detail'!$V$2:$V$99999,"NONE",'FTE Detail'!$U$2:$U$99999,"2500-12-31")</f>
        <v>0</v>
      </c>
      <c r="K22" s="8">
        <f>COUNTIFS('FTE Detail'!$P$2:$P$99999,'In Seat'!$C22,'FTE Detail'!$B$2:$B$99999,'In Seat'!I22,'FTE Detail'!$L$2:$L$99999,'In Seat'!K$5,'FTE Detail'!$V$2:$V$99999,"NONE",'FTE Detail'!$U$2:$U$99999,"2500-12-31")</f>
        <v>0</v>
      </c>
      <c r="L22" s="8">
        <f>COUNTIFS('FTE Detail'!$P$2:$P$99999,'In Seat'!$C22,'FTE Detail'!$B$2:$B$99999,'In Seat'!J22,'FTE Detail'!$L$2:$L$99999,'In Seat'!L$5,'FTE Detail'!$V$2:$V$99999,"NONE",'FTE Detail'!$U$2:$U$99999,"2500-12-31")</f>
        <v>0</v>
      </c>
      <c r="M22" s="8">
        <f>COUNTIFS('FTE Detail'!$P$2:$P$99999,'In Seat'!$C22,'FTE Detail'!$B$2:$B$99999,'In Seat'!K22,'FTE Detail'!$L$2:$L$99999,'In Seat'!M$5,'FTE Detail'!$V$2:$V$99999,"NONE",'FTE Detail'!$U$2:$U$99999,"2500-12-31")</f>
        <v>0</v>
      </c>
      <c r="N22" s="8">
        <f>SUM(D22:M22)</f>
        <v>208</v>
      </c>
    </row>
    <row r="23" spans="1:15" x14ac:dyDescent="0.3">
      <c r="A23" s="5"/>
      <c r="B23" s="5">
        <v>70417</v>
      </c>
      <c r="C23" s="5">
        <v>7</v>
      </c>
      <c r="D23" s="8">
        <f>COUNTIFS('FTE Detail'!$P$2:$P$99999,'In Seat'!$C23,'FTE Detail'!$B$2:$B$99999,'In Seat'!B23,'FTE Detail'!$L$2:$L$99999,'In Seat'!D$5,'FTE Detail'!$U$2:$U$99999,"2500-12-31")</f>
        <v>211</v>
      </c>
      <c r="E23" s="8">
        <f>COUNTIFS('FTE Detail'!$P$2:$P$99999,'In Seat'!$C23,'FTE Detail'!$B$2:$B$99999,'In Seat'!C23,'FTE Detail'!$L$2:$L$99999,'In Seat'!E$5,'FTE Detail'!$U$2:$U$99999,"2500-12-31")</f>
        <v>0</v>
      </c>
      <c r="F23" s="8">
        <f>COUNTIFS('FTE Detail'!$P$2:$P$99999,'In Seat'!$C23,'FTE Detail'!$B$2:$B$99999,'In Seat'!D23,'FTE Detail'!$L$2:$L$99999,'In Seat'!F$5,'FTE Detail'!$U$2:$U$99999,"2500-12-31")</f>
        <v>0</v>
      </c>
      <c r="G23" s="8">
        <f>COUNTIFS('FTE Detail'!$P$2:$P$99999,'In Seat'!$C23,'FTE Detail'!$B$2:$B$99999,'In Seat'!E23,'FTE Detail'!$L$2:$L$99999,'In Seat'!G$5,'FTE Detail'!$U$2:$U$99999,"2500-12-31")</f>
        <v>0</v>
      </c>
      <c r="H23" s="8">
        <f>COUNTIFS('FTE Detail'!$P$2:$P$99999,'In Seat'!$C23,'FTE Detail'!$B$2:$B$99999,'In Seat'!F23,'FTE Detail'!$L$2:$L$99999,'In Seat'!H$5,'FTE Detail'!$U$2:$U$99999,"2500-12-31")</f>
        <v>0</v>
      </c>
      <c r="I23" s="8">
        <f>COUNTIFS('FTE Detail'!$P$2:$P$99999,'In Seat'!$C23,'FTE Detail'!$B$2:$B$99999,'In Seat'!G23,'FTE Detail'!$L$2:$L$99999,'In Seat'!I$5,'FTE Detail'!$V$2:$V$99999,"NONE",'FTE Detail'!$U$2:$U$99999,"2500-12-31")</f>
        <v>0</v>
      </c>
      <c r="J23" s="8">
        <f>COUNTIFS('FTE Detail'!$P$2:$P$99999,'In Seat'!$C23,'FTE Detail'!$B$2:$B$99999,'In Seat'!H23,'FTE Detail'!$L$2:$L$99999,'In Seat'!J$5,'FTE Detail'!$V$2:$V$99999,"NONE",'FTE Detail'!$U$2:$U$99999,"2500-12-31")</f>
        <v>0</v>
      </c>
      <c r="K23" s="8">
        <f>COUNTIFS('FTE Detail'!$P$2:$P$99999,'In Seat'!$C23,'FTE Detail'!$B$2:$B$99999,'In Seat'!I23,'FTE Detail'!$L$2:$L$99999,'In Seat'!K$5,'FTE Detail'!$V$2:$V$99999,"NONE",'FTE Detail'!$U$2:$U$99999,"2500-12-31")</f>
        <v>0</v>
      </c>
      <c r="L23" s="8">
        <f>COUNTIFS('FTE Detail'!$P$2:$P$99999,'In Seat'!$C23,'FTE Detail'!$B$2:$B$99999,'In Seat'!J23,'FTE Detail'!$L$2:$L$99999,'In Seat'!L$5,'FTE Detail'!$V$2:$V$99999,"NONE",'FTE Detail'!$U$2:$U$99999,"2500-12-31")</f>
        <v>0</v>
      </c>
      <c r="M23" s="8">
        <f>COUNTIFS('FTE Detail'!$P$2:$P$99999,'In Seat'!$C23,'FTE Detail'!$B$2:$B$99999,'In Seat'!K23,'FTE Detail'!$L$2:$L$99999,'In Seat'!M$5,'FTE Detail'!$V$2:$V$99999,"NONE",'FTE Detail'!$U$2:$U$99999,"2500-12-31")</f>
        <v>0</v>
      </c>
      <c r="N23" s="8">
        <f t="shared" ref="N23:N25" si="2">SUM(D23:M23)</f>
        <v>211</v>
      </c>
    </row>
    <row r="24" spans="1:15" x14ac:dyDescent="0.3">
      <c r="A24" s="5"/>
      <c r="B24" s="5">
        <v>70417</v>
      </c>
      <c r="C24" s="5">
        <v>8</v>
      </c>
      <c r="D24" s="8">
        <f>COUNTIFS('FTE Detail'!$P$2:$P$99999,'In Seat'!$C24,'FTE Detail'!$B$2:$B$99999,'In Seat'!B24,'FTE Detail'!$L$2:$L$99999,'In Seat'!D$5,'FTE Detail'!$U$2:$U$99999,"2500-12-31")</f>
        <v>226</v>
      </c>
      <c r="E24" s="8">
        <f>COUNTIFS('FTE Detail'!$P$2:$P$99999,'In Seat'!$C24,'FTE Detail'!$B$2:$B$99999,'In Seat'!C24,'FTE Detail'!$L$2:$L$99999,'In Seat'!E$5,'FTE Detail'!$U$2:$U$99999,"2500-12-31")</f>
        <v>0</v>
      </c>
      <c r="F24" s="8">
        <f>COUNTIFS('FTE Detail'!$P$2:$P$99999,'In Seat'!$C24,'FTE Detail'!$B$2:$B$99999,'In Seat'!D24,'FTE Detail'!$L$2:$L$99999,'In Seat'!F$5,'FTE Detail'!$U$2:$U$99999,"2500-12-31")</f>
        <v>0</v>
      </c>
      <c r="G24" s="8">
        <f>COUNTIFS('FTE Detail'!$P$2:$P$99999,'In Seat'!$C24,'FTE Detail'!$B$2:$B$99999,'In Seat'!E24,'FTE Detail'!$L$2:$L$99999,'In Seat'!G$5,'FTE Detail'!$U$2:$U$99999,"2500-12-31")</f>
        <v>0</v>
      </c>
      <c r="H24" s="8">
        <f>COUNTIFS('FTE Detail'!$P$2:$P$99999,'In Seat'!$C24,'FTE Detail'!$B$2:$B$99999,'In Seat'!F24,'FTE Detail'!$L$2:$L$99999,'In Seat'!H$5,'FTE Detail'!$U$2:$U$99999,"2500-12-31")</f>
        <v>0</v>
      </c>
      <c r="I24" s="8">
        <f>COUNTIFS('FTE Detail'!$P$2:$P$99999,'In Seat'!$C24,'FTE Detail'!$B$2:$B$99999,'In Seat'!G24,'FTE Detail'!$L$2:$L$99999,'In Seat'!I$5,'FTE Detail'!$V$2:$V$99999,"NONE",'FTE Detail'!$U$2:$U$99999,"2500-12-31")</f>
        <v>0</v>
      </c>
      <c r="J24" s="8">
        <f>COUNTIFS('FTE Detail'!$P$2:$P$99999,'In Seat'!$C24,'FTE Detail'!$B$2:$B$99999,'In Seat'!H24,'FTE Detail'!$L$2:$L$99999,'In Seat'!J$5,'FTE Detail'!$V$2:$V$99999,"NONE",'FTE Detail'!$U$2:$U$99999,"2500-12-31")</f>
        <v>0</v>
      </c>
      <c r="K24" s="8">
        <f>COUNTIFS('FTE Detail'!$P$2:$P$99999,'In Seat'!$C24,'FTE Detail'!$B$2:$B$99999,'In Seat'!I24,'FTE Detail'!$L$2:$L$99999,'In Seat'!K$5,'FTE Detail'!$V$2:$V$99999,"NONE",'FTE Detail'!$U$2:$U$99999,"2500-12-31")</f>
        <v>0</v>
      </c>
      <c r="L24" s="8">
        <f>COUNTIFS('FTE Detail'!$P$2:$P$99999,'In Seat'!$C24,'FTE Detail'!$B$2:$B$99999,'In Seat'!J24,'FTE Detail'!$L$2:$L$99999,'In Seat'!L$5,'FTE Detail'!$V$2:$V$99999,"NONE",'FTE Detail'!$U$2:$U$99999,"2500-12-31")</f>
        <v>0</v>
      </c>
      <c r="M24" s="8">
        <f>COUNTIFS('FTE Detail'!$P$2:$P$99999,'In Seat'!$C24,'FTE Detail'!$B$2:$B$99999,'In Seat'!K24,'FTE Detail'!$L$2:$L$99999,'In Seat'!M$5,'FTE Detail'!$V$2:$V$99999,"NONE",'FTE Detail'!$U$2:$U$99999,"2500-12-31")</f>
        <v>0</v>
      </c>
      <c r="N24" s="8">
        <f t="shared" si="2"/>
        <v>226</v>
      </c>
    </row>
    <row r="25" spans="1:15" x14ac:dyDescent="0.3">
      <c r="A25" s="5"/>
      <c r="B25" s="5">
        <v>70417</v>
      </c>
      <c r="C25" s="5">
        <v>9</v>
      </c>
      <c r="D25" s="8">
        <f>COUNTIFS('FTE Detail'!$P$2:$P$99999,'In Seat'!$C25,'FTE Detail'!$B$2:$B$99999,'In Seat'!B25,'FTE Detail'!$L$2:$L$99999,'In Seat'!D$5,'FTE Detail'!$U$2:$U$99999,"2500-12-31")</f>
        <v>233</v>
      </c>
      <c r="E25" s="8">
        <f>COUNTIFS('FTE Detail'!$P$2:$P$99999,'In Seat'!$C25,'FTE Detail'!$B$2:$B$99999,'In Seat'!C25,'FTE Detail'!$L$2:$L$99999,'In Seat'!E$5,'FTE Detail'!$U$2:$U$99999,"2500-12-31")</f>
        <v>0</v>
      </c>
      <c r="F25" s="8">
        <f>COUNTIFS('FTE Detail'!$P$2:$P$99999,'In Seat'!$C25,'FTE Detail'!$B$2:$B$99999,'In Seat'!D25,'FTE Detail'!$L$2:$L$99999,'In Seat'!F$5,'FTE Detail'!$U$2:$U$99999,"2500-12-31")</f>
        <v>0</v>
      </c>
      <c r="G25" s="8">
        <f>COUNTIFS('FTE Detail'!$P$2:$P$99999,'In Seat'!$C25,'FTE Detail'!$B$2:$B$99999,'In Seat'!E25,'FTE Detail'!$L$2:$L$99999,'In Seat'!G$5,'FTE Detail'!$U$2:$U$99999,"2500-12-31")</f>
        <v>0</v>
      </c>
      <c r="H25" s="8">
        <f>COUNTIFS('FTE Detail'!$P$2:$P$99999,'In Seat'!$C25,'FTE Detail'!$B$2:$B$99999,'In Seat'!F25,'FTE Detail'!$L$2:$L$99999,'In Seat'!H$5,'FTE Detail'!$U$2:$U$99999,"2500-12-31")</f>
        <v>0</v>
      </c>
      <c r="I25" s="8">
        <f>COUNTIFS('FTE Detail'!$P$2:$P$99999,'In Seat'!$C25,'FTE Detail'!$B$2:$B$99999,'In Seat'!G25,'FTE Detail'!$L$2:$L$99999,'In Seat'!I$5,'FTE Detail'!$V$2:$V$99999,"NONE",'FTE Detail'!$U$2:$U$99999,"2500-12-31")</f>
        <v>0</v>
      </c>
      <c r="J25" s="8">
        <f>COUNTIFS('FTE Detail'!$P$2:$P$99999,'In Seat'!$C25,'FTE Detail'!$B$2:$B$99999,'In Seat'!H25,'FTE Detail'!$L$2:$L$99999,'In Seat'!J$5,'FTE Detail'!$V$2:$V$99999,"NONE",'FTE Detail'!$U$2:$U$99999,"2500-12-31")</f>
        <v>0</v>
      </c>
      <c r="K25" s="8">
        <f>COUNTIFS('FTE Detail'!$P$2:$P$99999,'In Seat'!$C25,'FTE Detail'!$B$2:$B$99999,'In Seat'!I25,'FTE Detail'!$L$2:$L$99999,'In Seat'!K$5,'FTE Detail'!$V$2:$V$99999,"NONE",'FTE Detail'!$U$2:$U$99999,"2500-12-31")</f>
        <v>0</v>
      </c>
      <c r="L25" s="8">
        <f>COUNTIFS('FTE Detail'!$P$2:$P$99999,'In Seat'!$C25,'FTE Detail'!$B$2:$B$99999,'In Seat'!J25,'FTE Detail'!$L$2:$L$99999,'In Seat'!L$5,'FTE Detail'!$V$2:$V$99999,"NONE",'FTE Detail'!$U$2:$U$99999,"2500-12-31")</f>
        <v>0</v>
      </c>
      <c r="M25" s="8">
        <f>COUNTIFS('FTE Detail'!$P$2:$P$99999,'In Seat'!$C25,'FTE Detail'!$B$2:$B$99999,'In Seat'!K25,'FTE Detail'!$L$2:$L$99999,'In Seat'!M$5,'FTE Detail'!$V$2:$V$99999,"NONE",'FTE Detail'!$U$2:$U$99999,"2500-12-31")</f>
        <v>0</v>
      </c>
      <c r="N25" s="8">
        <f t="shared" si="2"/>
        <v>233</v>
      </c>
    </row>
    <row r="26" spans="1:15" x14ac:dyDescent="0.3">
      <c r="A26" s="5"/>
      <c r="B26" s="5"/>
      <c r="C26" s="5"/>
      <c r="D26" s="8"/>
      <c r="E26" s="8"/>
      <c r="F26" s="8"/>
      <c r="G26" s="8"/>
      <c r="H26" s="8"/>
      <c r="I26" s="8"/>
      <c r="J26" s="8"/>
      <c r="K26" s="8"/>
      <c r="L26" s="8"/>
      <c r="M26" s="8"/>
      <c r="N26" s="8"/>
      <c r="O26" s="3">
        <f>SUM(N22:N25)</f>
        <v>878</v>
      </c>
    </row>
    <row r="27" spans="1:15" x14ac:dyDescent="0.3">
      <c r="A27" s="5"/>
      <c r="B27" s="5"/>
      <c r="C27" s="9"/>
      <c r="D27" s="9"/>
      <c r="E27" s="9"/>
      <c r="F27" s="9"/>
      <c r="G27" s="9"/>
      <c r="H27" s="9"/>
      <c r="I27" s="9"/>
      <c r="J27" s="9"/>
      <c r="K27" s="9"/>
      <c r="L27" s="9"/>
      <c r="M27" s="9"/>
    </row>
    <row r="28" spans="1:15" x14ac:dyDescent="0.3">
      <c r="A28" s="16"/>
      <c r="B28" s="5">
        <v>4796</v>
      </c>
      <c r="C28" s="5">
        <v>10</v>
      </c>
      <c r="D28" s="8">
        <f>COUNTIFS('FTE Detail'!$P$2:$P$99999,'In Seat'!$C28,'FTE Detail'!$B$2:$B$99999,'In Seat'!B28,'FTE Detail'!$L$2:$L$99999,'In Seat'!D$5,'FTE Detail'!$V$2:$V$99999,"FULL",'FTE Detail'!$U$2:$U$99999,"2500-12-31")</f>
        <v>255</v>
      </c>
      <c r="E28" s="8">
        <f>COUNTIFS('FTE Detail'!$P$2:$P$99999,'In Seat'!$C28,'FTE Detail'!$B$2:$B$99999,'In Seat'!C28,'FTE Detail'!$L$2:$L$99999,'In Seat'!E$5,'FTE Detail'!$V$2:$V$99999,"FULL",'FTE Detail'!$U$2:$U$99999,"2500-12-31")</f>
        <v>0</v>
      </c>
      <c r="F28" s="8">
        <f>COUNTIFS('FTE Detail'!$P$2:$P$99999,'In Seat'!$C28,'FTE Detail'!$B$2:$B$99999,'In Seat'!D28,'FTE Detail'!$L$2:$L$99999,'In Seat'!F$5,'FTE Detail'!$V$2:$V$99999,"FULL",'FTE Detail'!$U$2:$U$99999,"2500-12-31")</f>
        <v>0</v>
      </c>
      <c r="G28" s="8">
        <f>COUNTIFS('FTE Detail'!$P$2:$P$99999,'In Seat'!$C28,'FTE Detail'!$B$2:$B$99999,'In Seat'!E28,'FTE Detail'!$L$2:$L$99999,'In Seat'!G$5,'FTE Detail'!$V$2:$V$99999,"FULL",'FTE Detail'!$U$2:$U$99999,"2500-12-31")</f>
        <v>0</v>
      </c>
      <c r="H28" s="8">
        <f>COUNTIFS('FTE Detail'!$P$2:$P$99999,'In Seat'!$C28,'FTE Detail'!$B$2:$B$99999,'In Seat'!F28,'FTE Detail'!$L$2:$L$99999,'In Seat'!H$5,'FTE Detail'!$V$2:$V$99999,"FULL",'FTE Detail'!$U$2:$U$99999,"2500-12-31")</f>
        <v>0</v>
      </c>
      <c r="I28" s="8">
        <f>COUNTIFS('FTE Detail'!$P$2:$P$99999,'In Seat'!$C28,'FTE Detail'!$B$2:$B$99999,'In Seat'!G28,'FTE Detail'!$L$2:$L$99999,'In Seat'!I$5,'FTE Detail'!$V$2:$V$99999,"NONE",'FTE Detail'!$U$2:$U$99999,"2500-12-31")</f>
        <v>0</v>
      </c>
      <c r="J28" s="8">
        <f>COUNTIFS('FTE Detail'!$P$2:$P$99999,'In Seat'!$C28,'FTE Detail'!$B$2:$B$99999,'In Seat'!H28,'FTE Detail'!$L$2:$L$99999,'In Seat'!J$5,'FTE Detail'!$V$2:$V$99999,"NONE",'FTE Detail'!$U$2:$U$99999,"2500-12-31")</f>
        <v>0</v>
      </c>
      <c r="K28" s="8">
        <f>COUNTIFS('FTE Detail'!$P$2:$P$99999,'In Seat'!$C28,'FTE Detail'!$B$2:$B$99999,'In Seat'!I28,'FTE Detail'!$L$2:$L$99999,'In Seat'!K$5,'FTE Detail'!$V$2:$V$99999,"NONE",'FTE Detail'!$U$2:$U$99999,"2500-12-31")</f>
        <v>0</v>
      </c>
      <c r="L28" s="8">
        <f>COUNTIFS('FTE Detail'!$P$2:$P$99999,'In Seat'!$C28,'FTE Detail'!$B$2:$B$99999,'In Seat'!J28,'FTE Detail'!$L$2:$L$99999,'In Seat'!L$5,'FTE Detail'!$V$2:$V$99999,"NONE",'FTE Detail'!$U$2:$U$99999,"2500-12-31")</f>
        <v>0</v>
      </c>
      <c r="M28" s="8">
        <f>COUNTIFS('FTE Detail'!$P$2:$P$99999,'In Seat'!$C28,'FTE Detail'!$B$2:$B$99999,'In Seat'!K28,'FTE Detail'!$L$2:$L$99999,'In Seat'!M$5,'FTE Detail'!$V$2:$V$99999,"NONE",'FTE Detail'!$U$2:$U$99999,"2500-12-31")</f>
        <v>0</v>
      </c>
      <c r="N28" s="8">
        <f t="shared" ref="N28:N31" si="3">SUM(D28:M28)</f>
        <v>255</v>
      </c>
    </row>
    <row r="29" spans="1:15" x14ac:dyDescent="0.3">
      <c r="A29" s="5"/>
      <c r="B29" s="5">
        <v>4796</v>
      </c>
      <c r="C29" s="5">
        <v>11</v>
      </c>
      <c r="D29" s="8">
        <f>COUNTIFS('FTE Detail'!$P$2:$P$99999,'In Seat'!$C29,'FTE Detail'!$B$2:$B$99999,'In Seat'!B29,'FTE Detail'!$L$2:$L$99999,'In Seat'!D$5,'FTE Detail'!$V$2:$V$99999,"FULL",'FTE Detail'!$U$2:$U$99999,"2500-12-31")</f>
        <v>223</v>
      </c>
      <c r="E29" s="8">
        <f>COUNTIFS('FTE Detail'!$P$2:$P$99999,'In Seat'!$C29,'FTE Detail'!$B$2:$B$99999,'In Seat'!C29,'FTE Detail'!$L$2:$L$99999,'In Seat'!E$5,'FTE Detail'!$V$2:$V$99999,"FULL",'FTE Detail'!$U$2:$U$99999,"2500-12-31")</f>
        <v>0</v>
      </c>
      <c r="F29" s="8">
        <f>COUNTIFS('FTE Detail'!$P$2:$P$99999,'In Seat'!$C29,'FTE Detail'!$B$2:$B$99999,'In Seat'!D29,'FTE Detail'!$L$2:$L$99999,'In Seat'!F$5,'FTE Detail'!$V$2:$V$99999,"FULL",'FTE Detail'!$U$2:$U$99999,"2500-12-31")</f>
        <v>0</v>
      </c>
      <c r="G29" s="8">
        <f>COUNTIFS('FTE Detail'!$P$2:$P$99999,'In Seat'!$C29,'FTE Detail'!$B$2:$B$99999,'In Seat'!E29,'FTE Detail'!$L$2:$L$99999,'In Seat'!G$5,'FTE Detail'!$V$2:$V$99999,"FULL",'FTE Detail'!$U$2:$U$99999,"2500-12-31")</f>
        <v>0</v>
      </c>
      <c r="H29" s="8">
        <f>COUNTIFS('FTE Detail'!$P$2:$P$99999,'In Seat'!$C29,'FTE Detail'!$B$2:$B$99999,'In Seat'!F29,'FTE Detail'!$L$2:$L$99999,'In Seat'!H$5,'FTE Detail'!$V$2:$V$99999,"FULL",'FTE Detail'!$U$2:$U$99999,"2500-12-31")</f>
        <v>0</v>
      </c>
      <c r="I29" s="8">
        <f>COUNTIFS('FTE Detail'!$P$2:$P$99999,'In Seat'!$C29,'FTE Detail'!$B$2:$B$99999,'In Seat'!G29,'FTE Detail'!$L$2:$L$99999,'In Seat'!I$5,'FTE Detail'!$V$2:$V$99999,"NONE",'FTE Detail'!$U$2:$U$99999,"2500-12-31")</f>
        <v>0</v>
      </c>
      <c r="J29" s="8">
        <f>COUNTIFS('FTE Detail'!$P$2:$P$99999,'In Seat'!$C29,'FTE Detail'!$B$2:$B$99999,'In Seat'!H29,'FTE Detail'!$L$2:$L$99999,'In Seat'!J$5,'FTE Detail'!$V$2:$V$99999,"NONE",'FTE Detail'!$U$2:$U$99999,"2500-12-31")</f>
        <v>0</v>
      </c>
      <c r="K29" s="8">
        <f>COUNTIFS('FTE Detail'!$P$2:$P$99999,'In Seat'!$C29,'FTE Detail'!$B$2:$B$99999,'In Seat'!I29,'FTE Detail'!$L$2:$L$99999,'In Seat'!K$5,'FTE Detail'!$V$2:$V$99999,"NONE",'FTE Detail'!$U$2:$U$99999,"2500-12-31")</f>
        <v>0</v>
      </c>
      <c r="L29" s="8">
        <f>COUNTIFS('FTE Detail'!$P$2:$P$99999,'In Seat'!$C29,'FTE Detail'!$B$2:$B$99999,'In Seat'!J29,'FTE Detail'!$L$2:$L$99999,'In Seat'!L$5,'FTE Detail'!$V$2:$V$99999,"NONE",'FTE Detail'!$U$2:$U$99999,"2500-12-31")</f>
        <v>0</v>
      </c>
      <c r="M29" s="8">
        <f>COUNTIFS('FTE Detail'!$P$2:$P$99999,'In Seat'!$C29,'FTE Detail'!$B$2:$B$99999,'In Seat'!K29,'FTE Detail'!$L$2:$L$99999,'In Seat'!M$5,'FTE Detail'!$V$2:$V$99999,"NONE",'FTE Detail'!$U$2:$U$99999,"2500-12-31")</f>
        <v>0</v>
      </c>
      <c r="N29" s="8">
        <f t="shared" si="3"/>
        <v>223</v>
      </c>
    </row>
    <row r="30" spans="1:15" x14ac:dyDescent="0.3">
      <c r="A30" s="5"/>
      <c r="B30" s="5">
        <v>4796</v>
      </c>
      <c r="C30" s="5">
        <v>12</v>
      </c>
      <c r="D30" s="8">
        <f>COUNTIFS('FTE Detail'!$P$2:$P$99999,'In Seat'!$C30,'FTE Detail'!$B$2:$B$99999,'In Seat'!B30,'FTE Detail'!$L$2:$L$99999,'In Seat'!D$5,'FTE Detail'!$V$2:$V$99999,"FULL",'FTE Detail'!$U$2:$U$99999,"2500-12-31")</f>
        <v>197</v>
      </c>
      <c r="E30" s="8">
        <f>COUNTIFS('FTE Detail'!$P$2:$P$99999,'In Seat'!$C30,'FTE Detail'!$B$2:$B$99999,'In Seat'!C30,'FTE Detail'!$L$2:$L$99999,'In Seat'!E$5,'FTE Detail'!$V$2:$V$99999,"FULL",'FTE Detail'!$U$2:$U$99999,"2500-12-31")</f>
        <v>0</v>
      </c>
      <c r="F30" s="8">
        <f>COUNTIFS('FTE Detail'!$P$2:$P$99999,'In Seat'!$C30,'FTE Detail'!$B$2:$B$99999,'In Seat'!D30,'FTE Detail'!$L$2:$L$99999,'In Seat'!F$5,'FTE Detail'!$V$2:$V$99999,"FULL",'FTE Detail'!$U$2:$U$99999,"2500-12-31")</f>
        <v>0</v>
      </c>
      <c r="G30" s="8">
        <f>COUNTIFS('FTE Detail'!$P$2:$P$99999,'In Seat'!$C30,'FTE Detail'!$B$2:$B$99999,'In Seat'!E30,'FTE Detail'!$L$2:$L$99999,'In Seat'!G$5,'FTE Detail'!$V$2:$V$99999,"FULL",'FTE Detail'!$U$2:$U$99999,"2500-12-31")</f>
        <v>0</v>
      </c>
      <c r="H30" s="8">
        <f>COUNTIFS('FTE Detail'!$P$2:$P$99999,'In Seat'!$C30,'FTE Detail'!$B$2:$B$99999,'In Seat'!F30,'FTE Detail'!$L$2:$L$99999,'In Seat'!H$5,'FTE Detail'!$V$2:$V$99999,"FULL",'FTE Detail'!$U$2:$U$99999,"2500-12-31")</f>
        <v>0</v>
      </c>
      <c r="I30" s="8">
        <f>COUNTIFS('FTE Detail'!$P$2:$P$99999,'In Seat'!$C30,'FTE Detail'!$B$2:$B$99999,'In Seat'!G30,'FTE Detail'!$L$2:$L$99999,'In Seat'!I$5,'FTE Detail'!$V$2:$V$99999,"NONE",'FTE Detail'!$U$2:$U$99999,"2500-12-31")</f>
        <v>0</v>
      </c>
      <c r="J30" s="8">
        <f>COUNTIFS('FTE Detail'!$P$2:$P$99999,'In Seat'!$C30,'FTE Detail'!$B$2:$B$99999,'In Seat'!H30,'FTE Detail'!$L$2:$L$99999,'In Seat'!J$5,'FTE Detail'!$V$2:$V$99999,"NONE",'FTE Detail'!$U$2:$U$99999,"2500-12-31")</f>
        <v>0</v>
      </c>
      <c r="K30" s="8">
        <f>COUNTIFS('FTE Detail'!$P$2:$P$99999,'In Seat'!$C30,'FTE Detail'!$B$2:$B$99999,'In Seat'!I30,'FTE Detail'!$L$2:$L$99999,'In Seat'!K$5,'FTE Detail'!$V$2:$V$99999,"NONE",'FTE Detail'!$U$2:$U$99999,"2500-12-31")</f>
        <v>0</v>
      </c>
      <c r="L30" s="8">
        <f>COUNTIFS('FTE Detail'!$P$2:$P$99999,'In Seat'!$C30,'FTE Detail'!$B$2:$B$99999,'In Seat'!J30,'FTE Detail'!$L$2:$L$99999,'In Seat'!L$5,'FTE Detail'!$V$2:$V$99999,"NONE",'FTE Detail'!$U$2:$U$99999,"2500-12-31")</f>
        <v>0</v>
      </c>
      <c r="M30" s="8">
        <f>COUNTIFS('FTE Detail'!$P$2:$P$99999,'In Seat'!$C30,'FTE Detail'!$B$2:$B$99999,'In Seat'!K30,'FTE Detail'!$L$2:$L$99999,'In Seat'!M$5,'FTE Detail'!$V$2:$V$99999,"NONE",'FTE Detail'!$U$2:$U$99999,"2500-12-31")</f>
        <v>0</v>
      </c>
      <c r="N30" s="8">
        <f t="shared" si="3"/>
        <v>197</v>
      </c>
    </row>
    <row r="31" spans="1:15" x14ac:dyDescent="0.3">
      <c r="A31" s="5"/>
      <c r="B31" s="5">
        <v>4796</v>
      </c>
      <c r="C31" s="5">
        <v>23</v>
      </c>
      <c r="D31" s="8">
        <f>COUNTIFS('FTE Detail'!$P$2:$P$99999,'In Seat'!$C31,'FTE Detail'!$B$2:$B$99999,'In Seat'!B31,'FTE Detail'!$L$2:$L$99999,'In Seat'!D$5,'FTE Detail'!$V$2:$V$99999,"FULL",'FTE Detail'!$U$2:$U$99999,"2500-12-31")</f>
        <v>5</v>
      </c>
      <c r="E31" s="8">
        <f>COUNTIFS('FTE Detail'!$P$2:$P$99999,'In Seat'!$C31,'FTE Detail'!$B$2:$B$99999,'In Seat'!C31,'FTE Detail'!$L$2:$L$99999,'In Seat'!E$5,'FTE Detail'!$V$2:$V$99999,"FULL",'FTE Detail'!$U$2:$U$99999,"2500-12-31")</f>
        <v>0</v>
      </c>
      <c r="F31" s="8">
        <f>COUNTIFS('FTE Detail'!$P$2:$P$99999,'In Seat'!$C31,'FTE Detail'!$B$2:$B$99999,'In Seat'!D31,'FTE Detail'!$L$2:$L$99999,'In Seat'!F$5,'FTE Detail'!$V$2:$V$99999,"FULL",'FTE Detail'!$U$2:$U$99999,"2500-12-31")</f>
        <v>0</v>
      </c>
      <c r="G31" s="8">
        <f>COUNTIFS('FTE Detail'!$P$2:$P$99999,'In Seat'!$C31,'FTE Detail'!$B$2:$B$99999,'In Seat'!E31,'FTE Detail'!$L$2:$L$99999,'In Seat'!G$5,'FTE Detail'!$V$2:$V$99999,"FULL",'FTE Detail'!$U$2:$U$99999,"2500-12-31")</f>
        <v>0</v>
      </c>
      <c r="H31" s="8">
        <f>COUNTIFS('FTE Detail'!$P$2:$P$99999,'In Seat'!$C31,'FTE Detail'!$B$2:$B$99999,'In Seat'!F31,'FTE Detail'!$L$2:$L$99999,'In Seat'!H$5,'FTE Detail'!$V$2:$V$99999,"FULL",'FTE Detail'!$U$2:$U$99999,"2500-12-31")</f>
        <v>0</v>
      </c>
      <c r="I31" s="8">
        <f>COUNTIFS('FTE Detail'!$P$2:$P$99999,'In Seat'!$C31,'FTE Detail'!$B$2:$B$99999,'In Seat'!G31,'FTE Detail'!$L$2:$L$99999,'In Seat'!I$5,'FTE Detail'!$V$2:$V$99999,"NONE",'FTE Detail'!$U$2:$U$99999,"2500-12-31")</f>
        <v>0</v>
      </c>
      <c r="J31" s="8">
        <f>COUNTIFS('FTE Detail'!$P$2:$P$99999,'In Seat'!$C31,'FTE Detail'!$B$2:$B$99999,'In Seat'!H31,'FTE Detail'!$L$2:$L$99999,'In Seat'!J$5,'FTE Detail'!$V$2:$V$99999,"NONE",'FTE Detail'!$U$2:$U$99999,"2500-12-31")</f>
        <v>0</v>
      </c>
      <c r="K31" s="8">
        <f>COUNTIFS('FTE Detail'!$P$2:$P$99999,'In Seat'!$C31,'FTE Detail'!$B$2:$B$99999,'In Seat'!I31,'FTE Detail'!$L$2:$L$99999,'In Seat'!K$5,'FTE Detail'!$V$2:$V$99999,"NONE",'FTE Detail'!$U$2:$U$99999,"2500-12-31")</f>
        <v>0</v>
      </c>
      <c r="L31" s="8">
        <f>COUNTIFS('FTE Detail'!$P$2:$P$99999,'In Seat'!$C31,'FTE Detail'!$B$2:$B$99999,'In Seat'!J31,'FTE Detail'!$L$2:$L$99999,'In Seat'!L$5,'FTE Detail'!$V$2:$V$99999,"NONE",'FTE Detail'!$U$2:$U$99999,"2500-12-31")</f>
        <v>0</v>
      </c>
      <c r="M31" s="8">
        <f>COUNTIFS('FTE Detail'!$P$2:$P$99999,'In Seat'!$C31,'FTE Detail'!$B$2:$B$99999,'In Seat'!K31,'FTE Detail'!$L$2:$L$99999,'In Seat'!M$5,'FTE Detail'!$V$2:$V$99999,"NONE",'FTE Detail'!$U$2:$U$99999,"2500-12-31")</f>
        <v>0</v>
      </c>
      <c r="N31" s="8">
        <f t="shared" si="3"/>
        <v>5</v>
      </c>
    </row>
    <row r="32" spans="1:15" x14ac:dyDescent="0.3">
      <c r="A32" s="5"/>
      <c r="B32" s="12"/>
      <c r="C32" s="14"/>
      <c r="D32" s="14"/>
      <c r="E32" s="14"/>
      <c r="F32" s="14"/>
      <c r="G32" s="14"/>
      <c r="H32" s="14"/>
      <c r="I32" s="14"/>
      <c r="J32" s="14"/>
      <c r="K32" s="14"/>
      <c r="L32" s="14"/>
      <c r="M32" s="14"/>
      <c r="O32" s="3">
        <f>SUM(N28:N31)</f>
        <v>680</v>
      </c>
    </row>
    <row r="33" spans="1:15" x14ac:dyDescent="0.3">
      <c r="A33" s="5"/>
      <c r="B33" s="5"/>
      <c r="C33" s="9"/>
      <c r="D33" s="17"/>
      <c r="E33" s="17"/>
      <c r="F33" s="28"/>
      <c r="G33" s="28"/>
      <c r="H33" s="17"/>
      <c r="I33" s="17"/>
      <c r="J33" s="17"/>
      <c r="K33" s="17"/>
      <c r="L33" s="17"/>
      <c r="M33" s="17"/>
    </row>
    <row r="34" spans="1:15" x14ac:dyDescent="0.3">
      <c r="A34" s="5"/>
      <c r="B34" s="5"/>
      <c r="C34" s="9"/>
      <c r="D34" s="28"/>
      <c r="E34" s="28"/>
      <c r="F34" s="28"/>
      <c r="G34" s="28"/>
      <c r="H34" s="28"/>
      <c r="I34" s="28"/>
      <c r="J34" s="28"/>
      <c r="K34" s="28"/>
      <c r="L34" s="28"/>
      <c r="M34" s="28"/>
      <c r="N34" t="s">
        <v>765</v>
      </c>
      <c r="O34" s="3">
        <f>SUM(O12:O32)</f>
        <v>2643</v>
      </c>
    </row>
  </sheetData>
  <mergeCells count="2">
    <mergeCell ref="D3:G3"/>
    <mergeCell ref="D4:G4"/>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54"/>
  <sheetViews>
    <sheetView workbookViewId="0">
      <pane xSplit="3" ySplit="5" topLeftCell="D33" activePane="bottomRight" state="frozen"/>
      <selection pane="topRight" activeCell="D1" sqref="D1"/>
      <selection pane="bottomLeft" activeCell="A6" sqref="A6"/>
      <selection pane="bottomRight" activeCell="Q53" sqref="Q53"/>
    </sheetView>
  </sheetViews>
  <sheetFormatPr defaultRowHeight="14.4" x14ac:dyDescent="0.3"/>
  <sheetData>
    <row r="2" spans="1:18" x14ac:dyDescent="0.3">
      <c r="E2" s="55"/>
      <c r="F2" s="55"/>
      <c r="G2" s="55"/>
    </row>
    <row r="3" spans="1:18" ht="15" thickBot="1" x14ac:dyDescent="0.35">
      <c r="D3" s="81" t="s">
        <v>105</v>
      </c>
      <c r="E3" s="81"/>
      <c r="F3" s="81"/>
      <c r="G3" s="81"/>
      <c r="H3" s="55" t="s">
        <v>106</v>
      </c>
      <c r="I3" s="55"/>
      <c r="J3" s="55"/>
      <c r="K3" s="55"/>
      <c r="L3" s="55"/>
      <c r="M3" s="55"/>
      <c r="N3" s="55"/>
      <c r="O3" s="55"/>
      <c r="R3" s="55"/>
    </row>
    <row r="4" spans="1:18" ht="15.6" thickTop="1" thickBot="1" x14ac:dyDescent="0.35">
      <c r="A4" s="59"/>
      <c r="B4" s="47"/>
      <c r="C4" s="38"/>
      <c r="D4" s="81" t="s">
        <v>757</v>
      </c>
      <c r="E4" s="81"/>
      <c r="F4" s="81"/>
      <c r="G4" s="81"/>
      <c r="H4" s="55" t="s">
        <v>758</v>
      </c>
      <c r="I4" s="55"/>
      <c r="J4" s="55"/>
      <c r="K4" s="55"/>
      <c r="L4" s="55"/>
      <c r="M4" s="55"/>
      <c r="N4" s="55"/>
      <c r="O4" s="55"/>
      <c r="R4" s="55"/>
    </row>
    <row r="5" spans="1:18" ht="15" thickTop="1" x14ac:dyDescent="0.3">
      <c r="A5" s="5"/>
      <c r="B5" s="6" t="s">
        <v>762</v>
      </c>
      <c r="C5" s="35" t="s">
        <v>763</v>
      </c>
      <c r="D5" s="29" t="s">
        <v>0</v>
      </c>
      <c r="E5" s="29" t="s">
        <v>97</v>
      </c>
      <c r="F5" s="29" t="s">
        <v>3</v>
      </c>
      <c r="G5" s="29" t="s">
        <v>102</v>
      </c>
      <c r="H5" s="30" t="s">
        <v>98</v>
      </c>
      <c r="I5" s="30" t="s">
        <v>2</v>
      </c>
      <c r="J5" s="30" t="s">
        <v>99</v>
      </c>
      <c r="K5" s="30" t="s">
        <v>138</v>
      </c>
      <c r="L5" s="30" t="s">
        <v>1</v>
      </c>
      <c r="M5" s="30" t="s">
        <v>100</v>
      </c>
      <c r="N5" s="30" t="s">
        <v>101</v>
      </c>
      <c r="O5" s="30" t="s">
        <v>4</v>
      </c>
      <c r="P5" s="30" t="s">
        <v>103</v>
      </c>
      <c r="R5" s="30"/>
    </row>
    <row r="6" spans="1:18" x14ac:dyDescent="0.3">
      <c r="A6" s="5"/>
      <c r="B6" s="5">
        <v>38430</v>
      </c>
      <c r="C6" s="61" t="s">
        <v>764</v>
      </c>
      <c r="D6" s="8">
        <f>SUMIFS('FTE Detail'!$O$2:$O$99999,'FTE Detail'!$B$2:$B$99999,Bldg_Grade_Funding!$B6,'FTE Detail'!$P$2:$P$99999,Bldg_Grade_Funding!$C6,'FTE Detail'!$L$2:$L$99999,Bldg_Grade_Funding!D$5)</f>
        <v>74.925595000000001</v>
      </c>
      <c r="E6" s="8">
        <f>SUMIFS('FTE Detail'!$O$2:$O$99999,'FTE Detail'!$B$2:$B$99999,Bldg_Grade_Funding!$B6,'FTE Detail'!$P$2:$P$99999,Bldg_Grade_Funding!$C6,'FTE Detail'!$L$2:$L$99999,Bldg_Grade_Funding!E$5)</f>
        <v>0</v>
      </c>
      <c r="F6" s="8">
        <f>SUMIFS('FTE Detail'!$O$2:$O$99999,'FTE Detail'!$B$2:$B$99999,Bldg_Grade_Funding!$B6,'FTE Detail'!$P$2:$P$99999,Bldg_Grade_Funding!$C6,'FTE Detail'!$L$2:$L$99999,Bldg_Grade_Funding!F$5)</f>
        <v>0</v>
      </c>
      <c r="G6" s="8">
        <f>SUMIFS('FTE Detail'!$O$2:$O$99999,'FTE Detail'!$B$2:$B$99999,Bldg_Grade_Funding!$B6,'FTE Detail'!$P$2:$P$99999,Bldg_Grade_Funding!$C6,'FTE Detail'!$L$2:$L$99999,Bldg_Grade_Funding!G$5)</f>
        <v>0</v>
      </c>
      <c r="H6" s="8">
        <f>SUMIFS('FTE Detail'!$O$2:$O$99999,'FTE Detail'!$B$2:$B$99999,Bldg_Grade_Funding!$B6,'FTE Detail'!$P$2:$P$99999,Bldg_Grade_Funding!$C6,'FTE Detail'!$L$2:$L$99999,Bldg_Grade_Funding!H$5)</f>
        <v>0</v>
      </c>
      <c r="I6" s="8">
        <f>SUMIFS('FTE Detail'!$O$2:$O$99999,'FTE Detail'!$B$2:$B$99999,Bldg_Grade_Funding!$B6,'FTE Detail'!$P$2:$P$99999,Bldg_Grade_Funding!$C6,'FTE Detail'!$L$2:$L$99999,Bldg_Grade_Funding!I$5)</f>
        <v>0</v>
      </c>
      <c r="J6" s="8">
        <f>SUMIFS('FTE Detail'!$O$2:$O$99999,'FTE Detail'!$B$2:$B$99999,Bldg_Grade_Funding!$B6,'FTE Detail'!$P$2:$P$99999,Bldg_Grade_Funding!$C6,'FTE Detail'!$L$2:$L$99999,Bldg_Grade_Funding!J$5)</f>
        <v>0</v>
      </c>
      <c r="K6" s="8">
        <f>SUMIFS('FTE Detail'!$O$2:$O$99999,'FTE Detail'!$B$2:$B$99999,Bldg_Grade_Funding!$B6,'FTE Detail'!$P$2:$P$99999,Bldg_Grade_Funding!$C6,'FTE Detail'!$L$2:$L$99999,Bldg_Grade_Funding!K$5,'FTE Detail'!$V$2:$V$99999,"FULL")</f>
        <v>0</v>
      </c>
      <c r="L6" s="8">
        <f>SUMIFS('FTE Detail'!$O$2:$O$99999,'FTE Detail'!$B$2:$B$99999,Bldg_Grade_Funding!$B6,'FTE Detail'!$P$2:$P$99999,Bldg_Grade_Funding!$C6,'FTE Detail'!$L$2:$L$99999,Bldg_Grade_Funding!L$5,'FTE Detail'!$V$2:$V$99999,"FULL")</f>
        <v>5</v>
      </c>
      <c r="M6" s="8">
        <f>SUMIFS('FTE Detail'!$O$2:$O$99999,'FTE Detail'!$B$2:$B$99999,Bldg_Grade_Funding!$B6,'FTE Detail'!$P$2:$P$99999,Bldg_Grade_Funding!$C6,'FTE Detail'!$L$2:$L$99999,Bldg_Grade_Funding!M$5,'FTE Detail'!$V$2:$V$99999,"PART")</f>
        <v>0</v>
      </c>
      <c r="N6" s="8">
        <f>SUMIFS('FTE Detail'!$O$2:$O$99999,'FTE Detail'!$B$2:$B$99999,Bldg_Grade_Funding!$B6,'FTE Detail'!$P$2:$P$99999,Bldg_Grade_Funding!$C6,'FTE Detail'!$L$2:$L$99999,Bldg_Grade_Funding!N$5,'FTE Detail'!$V$2:$V$99999,"PART")</f>
        <v>0</v>
      </c>
      <c r="O6" s="8">
        <f>SUMIFS('FTE Detail'!$O$2:$O$99999,'FTE Detail'!$B$2:$B$99999,Bldg_Grade_Funding!$B6,'FTE Detail'!$P$2:$P$99999,Bldg_Grade_Funding!$C6,'FTE Detail'!$L$2:$L$99999,Bldg_Grade_Funding!O$5,'FTE Detail'!$V$2:$V$99999,"FULL")</f>
        <v>0</v>
      </c>
      <c r="P6" s="8">
        <f>SUM(D6:O6)</f>
        <v>79.925595000000001</v>
      </c>
      <c r="R6" s="8"/>
    </row>
    <row r="7" spans="1:18" x14ac:dyDescent="0.3">
      <c r="A7" s="5"/>
      <c r="B7" s="5">
        <v>38430</v>
      </c>
      <c r="C7" s="5">
        <v>1</v>
      </c>
      <c r="D7" s="8">
        <f>SUMIFS('FTE Detail'!$O$2:$O$99999,'FTE Detail'!$B$2:$B$99999,Bldg_Grade_Funding!$B7,'FTE Detail'!$P$2:$P$99999,Bldg_Grade_Funding!$C7,'FTE Detail'!$L$2:$L$99999,Bldg_Grade_Funding!D$5)</f>
        <v>98.404145999999997</v>
      </c>
      <c r="E7" s="8">
        <f>SUMIFS('FTE Detail'!$O$2:$O$99999,'FTE Detail'!$B$2:$B$99999,Bldg_Grade_Funding!$B7,'FTE Detail'!$P$2:$P$99999,Bldg_Grade_Funding!$C7,'FTE Detail'!$L$2:$L$99999,Bldg_Grade_Funding!E$5)</f>
        <v>0</v>
      </c>
      <c r="F7" s="8">
        <f>SUMIFS('FTE Detail'!$O$2:$O$99999,'FTE Detail'!$B$2:$B$99999,Bldg_Grade_Funding!$B7,'FTE Detail'!$P$2:$P$99999,Bldg_Grade_Funding!$C7,'FTE Detail'!$L$2:$L$99999,Bldg_Grade_Funding!F$5)</f>
        <v>0</v>
      </c>
      <c r="G7" s="8">
        <f>SUMIFS('FTE Detail'!$O$2:$O$99999,'FTE Detail'!$B$2:$B$99999,Bldg_Grade_Funding!$B7,'FTE Detail'!$P$2:$P$99999,Bldg_Grade_Funding!$C7,'FTE Detail'!$L$2:$L$99999,Bldg_Grade_Funding!G$5)</f>
        <v>0</v>
      </c>
      <c r="H7" s="8">
        <f>SUMIFS('FTE Detail'!$O$2:$O$99999,'FTE Detail'!$B$2:$B$99999,Bldg_Grade_Funding!$B7,'FTE Detail'!$P$2:$P$99999,Bldg_Grade_Funding!$C7,'FTE Detail'!$L$2:$L$99999,Bldg_Grade_Funding!H$5)</f>
        <v>0</v>
      </c>
      <c r="I7" s="8">
        <f>SUMIFS('FTE Detail'!$O$2:$O$99999,'FTE Detail'!$B$2:$B$99999,Bldg_Grade_Funding!$B7,'FTE Detail'!$P$2:$P$99999,Bldg_Grade_Funding!$C7,'FTE Detail'!$L$2:$L$99999,Bldg_Grade_Funding!I$5)</f>
        <v>1</v>
      </c>
      <c r="J7" s="8">
        <f>SUMIFS('FTE Detail'!$O$2:$O$99999,'FTE Detail'!$B$2:$B$99999,Bldg_Grade_Funding!$B7,'FTE Detail'!$P$2:$P$99999,Bldg_Grade_Funding!$C7,'FTE Detail'!$L$2:$L$99999,Bldg_Grade_Funding!J$5)</f>
        <v>0</v>
      </c>
      <c r="K7" s="8">
        <f>SUMIFS('FTE Detail'!$O$2:$O$99999,'FTE Detail'!$B$2:$B$99999,Bldg_Grade_Funding!$B7,'FTE Detail'!$P$2:$P$99999,Bldg_Grade_Funding!$C7,'FTE Detail'!$L$2:$L$99999,Bldg_Grade_Funding!K$5,'FTE Detail'!$V$2:$V$99999,"FULL")</f>
        <v>0</v>
      </c>
      <c r="L7" s="8">
        <f>SUMIFS('FTE Detail'!$O$2:$O$99999,'FTE Detail'!$B$2:$B$99999,Bldg_Grade_Funding!$B7,'FTE Detail'!$P$2:$P$99999,Bldg_Grade_Funding!$C7,'FTE Detail'!$L$2:$L$99999,Bldg_Grade_Funding!L$5,'FTE Detail'!$V$2:$V$99999,"FULL")</f>
        <v>5</v>
      </c>
      <c r="M7" s="8">
        <f>SUMIFS('FTE Detail'!$O$2:$O$99999,'FTE Detail'!$B$2:$B$99999,Bldg_Grade_Funding!$B7,'FTE Detail'!$P$2:$P$99999,Bldg_Grade_Funding!$C7,'FTE Detail'!$L$2:$L$99999,Bldg_Grade_Funding!M$5,'FTE Detail'!$V$2:$V$99999,"PART")</f>
        <v>0</v>
      </c>
      <c r="N7" s="8">
        <f>SUMIFS('FTE Detail'!$O$2:$O$99999,'FTE Detail'!$B$2:$B$99999,Bldg_Grade_Funding!$B7,'FTE Detail'!$P$2:$P$99999,Bldg_Grade_Funding!$C7,'FTE Detail'!$L$2:$L$99999,Bldg_Grade_Funding!N$5,'FTE Detail'!$V$2:$V$99999,"PART")</f>
        <v>0</v>
      </c>
      <c r="O7" s="8">
        <f>SUMIFS('FTE Detail'!$O$2:$O$99999,'FTE Detail'!$B$2:$B$99999,Bldg_Grade_Funding!$B7,'FTE Detail'!$P$2:$P$99999,Bldg_Grade_Funding!$C7,'FTE Detail'!$L$2:$L$99999,Bldg_Grade_Funding!O$5,'FTE Detail'!$V$2:$V$99999,"FULL")</f>
        <v>0</v>
      </c>
      <c r="P7" s="8">
        <f t="shared" ref="P7:P11" si="0">SUM(D7:O7)</f>
        <v>104.404146</v>
      </c>
      <c r="R7" s="8"/>
    </row>
    <row r="8" spans="1:18" x14ac:dyDescent="0.3">
      <c r="A8" s="5"/>
      <c r="B8" s="5">
        <v>38430</v>
      </c>
      <c r="C8" s="61">
        <v>2</v>
      </c>
      <c r="D8" s="8">
        <f>SUMIFS('FTE Detail'!$O$2:$O$99999,'FTE Detail'!$B$2:$B$99999,Bldg_Grade_Funding!$B8,'FTE Detail'!$P$2:$P$99999,Bldg_Grade_Funding!$C8,'FTE Detail'!$L$2:$L$99999,Bldg_Grade_Funding!D$5)</f>
        <v>87.847149999999999</v>
      </c>
      <c r="E8" s="8">
        <f>SUMIFS('FTE Detail'!$O$2:$O$99999,'FTE Detail'!$B$2:$B$99999,Bldg_Grade_Funding!$B8,'FTE Detail'!$P$2:$P$99999,Bldg_Grade_Funding!$C8,'FTE Detail'!$L$2:$L$99999,Bldg_Grade_Funding!E$5)</f>
        <v>0</v>
      </c>
      <c r="F8" s="8">
        <f>SUMIFS('FTE Detail'!$O$2:$O$99999,'FTE Detail'!$B$2:$B$99999,Bldg_Grade_Funding!$B8,'FTE Detail'!$P$2:$P$99999,Bldg_Grade_Funding!$C8,'FTE Detail'!$L$2:$L$99999,Bldg_Grade_Funding!F$5)</f>
        <v>0</v>
      </c>
      <c r="G8" s="8">
        <f>SUMIFS('FTE Detail'!$O$2:$O$99999,'FTE Detail'!$B$2:$B$99999,Bldg_Grade_Funding!$B8,'FTE Detail'!$P$2:$P$99999,Bldg_Grade_Funding!$C8,'FTE Detail'!$L$2:$L$99999,Bldg_Grade_Funding!G$5)</f>
        <v>0</v>
      </c>
      <c r="H8" s="8">
        <f>SUMIFS('FTE Detail'!$O$2:$O$99999,'FTE Detail'!$B$2:$B$99999,Bldg_Grade_Funding!$B8,'FTE Detail'!$P$2:$P$99999,Bldg_Grade_Funding!$C8,'FTE Detail'!$L$2:$L$99999,Bldg_Grade_Funding!H$5)</f>
        <v>0</v>
      </c>
      <c r="I8" s="8">
        <f>SUMIFS('FTE Detail'!$O$2:$O$99999,'FTE Detail'!$B$2:$B$99999,Bldg_Grade_Funding!$B8,'FTE Detail'!$P$2:$P$99999,Bldg_Grade_Funding!$C8,'FTE Detail'!$L$2:$L$99999,Bldg_Grade_Funding!I$5)</f>
        <v>0</v>
      </c>
      <c r="J8" s="8">
        <f>SUMIFS('FTE Detail'!$O$2:$O$99999,'FTE Detail'!$B$2:$B$99999,Bldg_Grade_Funding!$B8,'FTE Detail'!$P$2:$P$99999,Bldg_Grade_Funding!$C8,'FTE Detail'!$L$2:$L$99999,Bldg_Grade_Funding!J$5)</f>
        <v>0</v>
      </c>
      <c r="K8" s="8">
        <f>SUMIFS('FTE Detail'!$O$2:$O$99999,'FTE Detail'!$B$2:$B$99999,Bldg_Grade_Funding!$B8,'FTE Detail'!$P$2:$P$99999,Bldg_Grade_Funding!$C8,'FTE Detail'!$L$2:$L$99999,Bldg_Grade_Funding!K$5,'FTE Detail'!$V$2:$V$99999,"FULL")</f>
        <v>0</v>
      </c>
      <c r="L8" s="8">
        <f>SUMIFS('FTE Detail'!$O$2:$O$99999,'FTE Detail'!$B$2:$B$99999,Bldg_Grade_Funding!$B8,'FTE Detail'!$P$2:$P$99999,Bldg_Grade_Funding!$C8,'FTE Detail'!$L$2:$L$99999,Bldg_Grade_Funding!L$5,'FTE Detail'!$V$2:$V$99999,"FULL")</f>
        <v>7</v>
      </c>
      <c r="M8" s="8">
        <f>SUMIFS('FTE Detail'!$O$2:$O$99999,'FTE Detail'!$B$2:$B$99999,Bldg_Grade_Funding!$B8,'FTE Detail'!$P$2:$P$99999,Bldg_Grade_Funding!$C8,'FTE Detail'!$L$2:$L$99999,Bldg_Grade_Funding!M$5,'FTE Detail'!$V$2:$V$99999,"PART")</f>
        <v>0</v>
      </c>
      <c r="N8" s="8">
        <f>SUMIFS('FTE Detail'!$O$2:$O$99999,'FTE Detail'!$B$2:$B$99999,Bldg_Grade_Funding!$B8,'FTE Detail'!$P$2:$P$99999,Bldg_Grade_Funding!$C8,'FTE Detail'!$L$2:$L$99999,Bldg_Grade_Funding!N$5,'FTE Detail'!$V$2:$V$99999,"PART")</f>
        <v>0</v>
      </c>
      <c r="O8" s="8">
        <f>SUMIFS('FTE Detail'!$O$2:$O$99999,'FTE Detail'!$B$2:$B$99999,Bldg_Grade_Funding!$B8,'FTE Detail'!$P$2:$P$99999,Bldg_Grade_Funding!$C8,'FTE Detail'!$L$2:$L$99999,Bldg_Grade_Funding!O$5,'FTE Detail'!$V$2:$V$99999,"FULL")</f>
        <v>0</v>
      </c>
      <c r="P8" s="8">
        <f t="shared" si="0"/>
        <v>94.847149999999999</v>
      </c>
      <c r="R8" s="6"/>
    </row>
    <row r="9" spans="1:18" x14ac:dyDescent="0.3">
      <c r="A9" s="5"/>
      <c r="B9" s="5">
        <v>38430</v>
      </c>
      <c r="C9" s="61">
        <v>3</v>
      </c>
      <c r="D9" s="8">
        <f>SUMIFS('FTE Detail'!$O$2:$O$99999,'FTE Detail'!$B$2:$B$99999,Bldg_Grade_Funding!$B9,'FTE Detail'!$P$2:$P$99999,Bldg_Grade_Funding!$C9,'FTE Detail'!$L$2:$L$99999,Bldg_Grade_Funding!D$5)</f>
        <v>80.224811000000003</v>
      </c>
      <c r="E9" s="8">
        <f>SUMIFS('FTE Detail'!$O$2:$O$99999,'FTE Detail'!$B$2:$B$99999,Bldg_Grade_Funding!$B9,'FTE Detail'!$P$2:$P$99999,Bldg_Grade_Funding!$C9,'FTE Detail'!$L$2:$L$99999,Bldg_Grade_Funding!E$5)</f>
        <v>0</v>
      </c>
      <c r="F9" s="8">
        <f>SUMIFS('FTE Detail'!$O$2:$O$99999,'FTE Detail'!$B$2:$B$99999,Bldg_Grade_Funding!$B9,'FTE Detail'!$P$2:$P$99999,Bldg_Grade_Funding!$C9,'FTE Detail'!$L$2:$L$99999,Bldg_Grade_Funding!F$5)</f>
        <v>0</v>
      </c>
      <c r="G9" s="8">
        <f>SUMIFS('FTE Detail'!$O$2:$O$99999,'FTE Detail'!$B$2:$B$99999,Bldg_Grade_Funding!$B9,'FTE Detail'!$P$2:$P$99999,Bldg_Grade_Funding!$C9,'FTE Detail'!$L$2:$L$99999,Bldg_Grade_Funding!G$5)</f>
        <v>0</v>
      </c>
      <c r="H9" s="8">
        <f>SUMIFS('FTE Detail'!$O$2:$O$99999,'FTE Detail'!$B$2:$B$99999,Bldg_Grade_Funding!$B9,'FTE Detail'!$P$2:$P$99999,Bldg_Grade_Funding!$C9,'FTE Detail'!$L$2:$L$99999,Bldg_Grade_Funding!H$5)</f>
        <v>0</v>
      </c>
      <c r="I9" s="8">
        <f>SUMIFS('FTE Detail'!$O$2:$O$99999,'FTE Detail'!$B$2:$B$99999,Bldg_Grade_Funding!$B9,'FTE Detail'!$P$2:$P$99999,Bldg_Grade_Funding!$C9,'FTE Detail'!$L$2:$L$99999,Bldg_Grade_Funding!I$5)</f>
        <v>0</v>
      </c>
      <c r="J9" s="8">
        <f>SUMIFS('FTE Detail'!$O$2:$O$99999,'FTE Detail'!$B$2:$B$99999,Bldg_Grade_Funding!$B9,'FTE Detail'!$P$2:$P$99999,Bldg_Grade_Funding!$C9,'FTE Detail'!$L$2:$L$99999,Bldg_Grade_Funding!J$5)</f>
        <v>0</v>
      </c>
      <c r="K9" s="8">
        <f>SUMIFS('FTE Detail'!$O$2:$O$99999,'FTE Detail'!$B$2:$B$99999,Bldg_Grade_Funding!$B9,'FTE Detail'!$P$2:$P$99999,Bldg_Grade_Funding!$C9,'FTE Detail'!$L$2:$L$99999,Bldg_Grade_Funding!K$5,'FTE Detail'!$V$2:$V$99999,"FULL")</f>
        <v>0</v>
      </c>
      <c r="L9" s="8">
        <f>SUMIFS('FTE Detail'!$O$2:$O$99999,'FTE Detail'!$B$2:$B$99999,Bldg_Grade_Funding!$B9,'FTE Detail'!$P$2:$P$99999,Bldg_Grade_Funding!$C9,'FTE Detail'!$L$2:$L$99999,Bldg_Grade_Funding!L$5,'FTE Detail'!$V$2:$V$99999,"FULL")</f>
        <v>5</v>
      </c>
      <c r="M9" s="8">
        <f>SUMIFS('FTE Detail'!$O$2:$O$99999,'FTE Detail'!$B$2:$B$99999,Bldg_Grade_Funding!$B9,'FTE Detail'!$P$2:$P$99999,Bldg_Grade_Funding!$C9,'FTE Detail'!$L$2:$L$99999,Bldg_Grade_Funding!M$5,'FTE Detail'!$V$2:$V$99999,"PART")</f>
        <v>0</v>
      </c>
      <c r="N9" s="8">
        <f>SUMIFS('FTE Detail'!$O$2:$O$99999,'FTE Detail'!$B$2:$B$99999,Bldg_Grade_Funding!$B9,'FTE Detail'!$P$2:$P$99999,Bldg_Grade_Funding!$C9,'FTE Detail'!$L$2:$L$99999,Bldg_Grade_Funding!N$5,'FTE Detail'!$V$2:$V$99999,"PART")</f>
        <v>0</v>
      </c>
      <c r="O9" s="8">
        <f>SUMIFS('FTE Detail'!$O$2:$O$99999,'FTE Detail'!$B$2:$B$99999,Bldg_Grade_Funding!$B9,'FTE Detail'!$P$2:$P$99999,Bldg_Grade_Funding!$C9,'FTE Detail'!$L$2:$L$99999,Bldg_Grade_Funding!O$5,'FTE Detail'!$V$2:$V$99999,"FULL")</f>
        <v>0</v>
      </c>
      <c r="P9" s="8">
        <f t="shared" si="0"/>
        <v>85.224811000000003</v>
      </c>
      <c r="R9" s="8"/>
    </row>
    <row r="10" spans="1:18" x14ac:dyDescent="0.3">
      <c r="A10" s="5"/>
      <c r="B10" s="5">
        <v>38430</v>
      </c>
      <c r="C10" s="5">
        <v>4</v>
      </c>
      <c r="D10" s="8">
        <f>SUMIFS('FTE Detail'!$O$2:$O$99999,'FTE Detail'!$B$2:$B$99999,Bldg_Grade_Funding!$B10,'FTE Detail'!$P$2:$P$99999,Bldg_Grade_Funding!$C10,'FTE Detail'!$L$2:$L$99999,Bldg_Grade_Funding!D$5)</f>
        <v>109</v>
      </c>
      <c r="E10" s="8">
        <f>SUMIFS('FTE Detail'!$O$2:$O$99999,'FTE Detail'!$B$2:$B$99999,Bldg_Grade_Funding!$B10,'FTE Detail'!$P$2:$P$99999,Bldg_Grade_Funding!$C10,'FTE Detail'!$L$2:$L$99999,Bldg_Grade_Funding!E$5)</f>
        <v>0</v>
      </c>
      <c r="F10" s="8">
        <f>SUMIFS('FTE Detail'!$O$2:$O$99999,'FTE Detail'!$B$2:$B$99999,Bldg_Grade_Funding!$B10,'FTE Detail'!$P$2:$P$99999,Bldg_Grade_Funding!$C10,'FTE Detail'!$L$2:$L$99999,Bldg_Grade_Funding!F$5)</f>
        <v>0</v>
      </c>
      <c r="G10" s="8">
        <f>SUMIFS('FTE Detail'!$O$2:$O$99999,'FTE Detail'!$B$2:$B$99999,Bldg_Grade_Funding!$B10,'FTE Detail'!$P$2:$P$99999,Bldg_Grade_Funding!$C10,'FTE Detail'!$L$2:$L$99999,Bldg_Grade_Funding!G$5)</f>
        <v>0</v>
      </c>
      <c r="H10" s="8">
        <f>SUMIFS('FTE Detail'!$O$2:$O$99999,'FTE Detail'!$B$2:$B$99999,Bldg_Grade_Funding!$B10,'FTE Detail'!$P$2:$P$99999,Bldg_Grade_Funding!$C10,'FTE Detail'!$L$2:$L$99999,Bldg_Grade_Funding!H$5)</f>
        <v>0</v>
      </c>
      <c r="I10" s="8">
        <f>SUMIFS('FTE Detail'!$O$2:$O$99999,'FTE Detail'!$B$2:$B$99999,Bldg_Grade_Funding!$B10,'FTE Detail'!$P$2:$P$99999,Bldg_Grade_Funding!$C10,'FTE Detail'!$L$2:$L$99999,Bldg_Grade_Funding!I$5)</f>
        <v>0</v>
      </c>
      <c r="J10" s="8">
        <f>SUMIFS('FTE Detail'!$O$2:$O$99999,'FTE Detail'!$B$2:$B$99999,Bldg_Grade_Funding!$B10,'FTE Detail'!$P$2:$P$99999,Bldg_Grade_Funding!$C10,'FTE Detail'!$L$2:$L$99999,Bldg_Grade_Funding!J$5)</f>
        <v>0</v>
      </c>
      <c r="K10" s="8">
        <f>SUMIFS('FTE Detail'!$O$2:$O$99999,'FTE Detail'!$B$2:$B$99999,Bldg_Grade_Funding!$B10,'FTE Detail'!$P$2:$P$99999,Bldg_Grade_Funding!$C10,'FTE Detail'!$L$2:$L$99999,Bldg_Grade_Funding!K$5,'FTE Detail'!$V$2:$V$99999,"FULL")</f>
        <v>0</v>
      </c>
      <c r="L10" s="8">
        <f>SUMIFS('FTE Detail'!$O$2:$O$99999,'FTE Detail'!$B$2:$B$99999,Bldg_Grade_Funding!$B10,'FTE Detail'!$P$2:$P$99999,Bldg_Grade_Funding!$C10,'FTE Detail'!$L$2:$L$99999,Bldg_Grade_Funding!L$5,'FTE Detail'!$V$2:$V$99999,"FULL")</f>
        <v>4</v>
      </c>
      <c r="M10" s="8">
        <f>SUMIFS('FTE Detail'!$O$2:$O$99999,'FTE Detail'!$B$2:$B$99999,Bldg_Grade_Funding!$B10,'FTE Detail'!$P$2:$P$99999,Bldg_Grade_Funding!$C10,'FTE Detail'!$L$2:$L$99999,Bldg_Grade_Funding!M$5,'FTE Detail'!$V$2:$V$99999,"PART")</f>
        <v>0</v>
      </c>
      <c r="N10" s="8">
        <f>SUMIFS('FTE Detail'!$O$2:$O$99999,'FTE Detail'!$B$2:$B$99999,Bldg_Grade_Funding!$B10,'FTE Detail'!$P$2:$P$99999,Bldg_Grade_Funding!$C10,'FTE Detail'!$L$2:$L$99999,Bldg_Grade_Funding!N$5,'FTE Detail'!$V$2:$V$99999,"PART")</f>
        <v>0</v>
      </c>
      <c r="O10" s="8">
        <f>SUMIFS('FTE Detail'!$O$2:$O$99999,'FTE Detail'!$B$2:$B$99999,Bldg_Grade_Funding!$B10,'FTE Detail'!$P$2:$P$99999,Bldg_Grade_Funding!$C10,'FTE Detail'!$L$2:$L$99999,Bldg_Grade_Funding!O$5,'FTE Detail'!$V$2:$V$99999,"FULL")</f>
        <v>0</v>
      </c>
      <c r="P10" s="8">
        <f t="shared" si="0"/>
        <v>113</v>
      </c>
      <c r="R10" s="11"/>
    </row>
    <row r="11" spans="1:18" x14ac:dyDescent="0.3">
      <c r="A11" s="5"/>
      <c r="B11" s="5">
        <v>38430</v>
      </c>
      <c r="C11" s="61">
        <v>5</v>
      </c>
      <c r="D11" s="8">
        <f>SUMIFS('FTE Detail'!$O$2:$O$99999,'FTE Detail'!$B$2:$B$99999,Bldg_Grade_Funding!$B11,'FTE Detail'!$P$2:$P$99999,Bldg_Grade_Funding!$C11,'FTE Detail'!$L$2:$L$99999,Bldg_Grade_Funding!D$5)</f>
        <v>101.27095999999999</v>
      </c>
      <c r="E11" s="8">
        <f>SUMIFS('FTE Detail'!$O$2:$O$99999,'FTE Detail'!$B$2:$B$99999,Bldg_Grade_Funding!$B11,'FTE Detail'!$P$2:$P$99999,Bldg_Grade_Funding!$C11,'FTE Detail'!$L$2:$L$99999,Bldg_Grade_Funding!E$5)</f>
        <v>0</v>
      </c>
      <c r="F11" s="8">
        <f>SUMIFS('FTE Detail'!$O$2:$O$99999,'FTE Detail'!$B$2:$B$99999,Bldg_Grade_Funding!$B11,'FTE Detail'!$P$2:$P$99999,Bldg_Grade_Funding!$C11,'FTE Detail'!$L$2:$L$99999,Bldg_Grade_Funding!F$5)</f>
        <v>0</v>
      </c>
      <c r="G11" s="8">
        <f>SUMIFS('FTE Detail'!$O$2:$O$99999,'FTE Detail'!$B$2:$B$99999,Bldg_Grade_Funding!$B11,'FTE Detail'!$P$2:$P$99999,Bldg_Grade_Funding!$C11,'FTE Detail'!$L$2:$L$99999,Bldg_Grade_Funding!G$5)</f>
        <v>0</v>
      </c>
      <c r="H11" s="8">
        <f>SUMIFS('FTE Detail'!$O$2:$O$99999,'FTE Detail'!$B$2:$B$99999,Bldg_Grade_Funding!$B11,'FTE Detail'!$P$2:$P$99999,Bldg_Grade_Funding!$C11,'FTE Detail'!$L$2:$L$99999,Bldg_Grade_Funding!H$5)</f>
        <v>0</v>
      </c>
      <c r="I11" s="8">
        <f>SUMIFS('FTE Detail'!$O$2:$O$99999,'FTE Detail'!$B$2:$B$99999,Bldg_Grade_Funding!$B11,'FTE Detail'!$P$2:$P$99999,Bldg_Grade_Funding!$C11,'FTE Detail'!$L$2:$L$99999,Bldg_Grade_Funding!I$5)</f>
        <v>0</v>
      </c>
      <c r="J11" s="8">
        <f>SUMIFS('FTE Detail'!$O$2:$O$99999,'FTE Detail'!$B$2:$B$99999,Bldg_Grade_Funding!$B11,'FTE Detail'!$P$2:$P$99999,Bldg_Grade_Funding!$C11,'FTE Detail'!$L$2:$L$99999,Bldg_Grade_Funding!J$5)</f>
        <v>0</v>
      </c>
      <c r="K11" s="8">
        <f>SUMIFS('FTE Detail'!$O$2:$O$99999,'FTE Detail'!$B$2:$B$99999,Bldg_Grade_Funding!$B11,'FTE Detail'!$P$2:$P$99999,Bldg_Grade_Funding!$C11,'FTE Detail'!$L$2:$L$99999,Bldg_Grade_Funding!K$5,'FTE Detail'!$V$2:$V$99999,"FULL")</f>
        <v>0</v>
      </c>
      <c r="L11" s="8">
        <f>SUMIFS('FTE Detail'!$O$2:$O$99999,'FTE Detail'!$B$2:$B$99999,Bldg_Grade_Funding!$B11,'FTE Detail'!$P$2:$P$99999,Bldg_Grade_Funding!$C11,'FTE Detail'!$L$2:$L$99999,Bldg_Grade_Funding!L$5,'FTE Detail'!$V$2:$V$99999,"FULL")</f>
        <v>2</v>
      </c>
      <c r="M11" s="8">
        <f>SUMIFS('FTE Detail'!$O$2:$O$99999,'FTE Detail'!$B$2:$B$99999,Bldg_Grade_Funding!$B11,'FTE Detail'!$P$2:$P$99999,Bldg_Grade_Funding!$C11,'FTE Detail'!$L$2:$L$99999,Bldg_Grade_Funding!M$5,'FTE Detail'!$V$2:$V$99999,"PART")</f>
        <v>0</v>
      </c>
      <c r="N11" s="8">
        <f>SUMIFS('FTE Detail'!$O$2:$O$99999,'FTE Detail'!$B$2:$B$99999,Bldg_Grade_Funding!$B11,'FTE Detail'!$P$2:$P$99999,Bldg_Grade_Funding!$C11,'FTE Detail'!$L$2:$L$99999,Bldg_Grade_Funding!N$5,'FTE Detail'!$V$2:$V$99999,"PART")</f>
        <v>0</v>
      </c>
      <c r="O11" s="8">
        <f>SUMIFS('FTE Detail'!$O$2:$O$99999,'FTE Detail'!$B$2:$B$99999,Bldg_Grade_Funding!$B11,'FTE Detail'!$P$2:$P$99999,Bldg_Grade_Funding!$C11,'FTE Detail'!$L$2:$L$99999,Bldg_Grade_Funding!O$5,'FTE Detail'!$V$2:$V$99999,"FULL")</f>
        <v>0</v>
      </c>
      <c r="P11" s="8">
        <f t="shared" si="0"/>
        <v>103.27095999999999</v>
      </c>
      <c r="R11" s="8"/>
    </row>
    <row r="12" spans="1:18" x14ac:dyDescent="0.3">
      <c r="A12" s="5"/>
      <c r="B12" s="5"/>
      <c r="C12" s="61"/>
      <c r="D12" s="8"/>
      <c r="E12" s="8"/>
      <c r="F12" s="8"/>
      <c r="G12" s="8"/>
      <c r="H12" s="8"/>
      <c r="I12" s="8"/>
      <c r="J12" s="8"/>
      <c r="K12" s="8"/>
      <c r="L12" s="8"/>
      <c r="M12" s="8"/>
      <c r="N12" s="8"/>
      <c r="O12" s="8"/>
      <c r="P12" s="8"/>
      <c r="Q12" s="3">
        <f>SUM(P6:P11)</f>
        <v>580.67266199999995</v>
      </c>
      <c r="R12" s="14"/>
    </row>
    <row r="13" spans="1:18" x14ac:dyDescent="0.3">
      <c r="A13" s="5"/>
      <c r="B13" s="12"/>
      <c r="C13" s="61"/>
      <c r="D13" s="8"/>
      <c r="E13" s="8"/>
      <c r="F13" s="8"/>
      <c r="G13" s="8"/>
      <c r="H13" s="13"/>
      <c r="I13" s="13"/>
      <c r="J13" s="13"/>
      <c r="K13" s="14"/>
      <c r="L13" s="13"/>
      <c r="M13" s="14"/>
      <c r="N13" s="14"/>
      <c r="O13" s="14"/>
      <c r="R13" s="8"/>
    </row>
    <row r="14" spans="1:18" x14ac:dyDescent="0.3">
      <c r="A14" s="18"/>
      <c r="B14" s="5">
        <v>4697</v>
      </c>
      <c r="C14" s="61" t="s">
        <v>764</v>
      </c>
      <c r="D14" s="8">
        <f>SUMIFS('FTE Detail'!$O$2:$O$99999,'FTE Detail'!$B$2:$B$99999,Bldg_Grade_Funding!$B14,'FTE Detail'!$P$2:$P$99999,Bldg_Grade_Funding!$C14,'FTE Detail'!$L$2:$L$99999,Bldg_Grade_Funding!D$5)</f>
        <v>78.937823000000009</v>
      </c>
      <c r="E14" s="8">
        <f>SUMIFS('FTE Detail'!$O$2:$O$99999,'FTE Detail'!$B$2:$B$99999,Bldg_Grade_Funding!$B14,'FTE Detail'!$P$2:$P$99999,Bldg_Grade_Funding!$C14,'FTE Detail'!$L$2:$L$99999,Bldg_Grade_Funding!E$5)</f>
        <v>0</v>
      </c>
      <c r="F14" s="8">
        <f>SUMIFS('FTE Detail'!$O$2:$O$99999,'FTE Detail'!$B$2:$B$99999,Bldg_Grade_Funding!$B14,'FTE Detail'!$P$2:$P$99999,Bldg_Grade_Funding!$C14,'FTE Detail'!$L$2:$L$99999,Bldg_Grade_Funding!F$5)</f>
        <v>0</v>
      </c>
      <c r="G14" s="8">
        <f>SUMIFS('FTE Detail'!$O$2:$O$99999,'FTE Detail'!$B$2:$B$99999,Bldg_Grade_Funding!$B14,'FTE Detail'!$P$2:$P$99999,Bldg_Grade_Funding!$C14,'FTE Detail'!$L$2:$L$99999,Bldg_Grade_Funding!G$5)</f>
        <v>0</v>
      </c>
      <c r="H14" s="8">
        <f>SUMIFS('FTE Detail'!$O$2:$O$99999,'FTE Detail'!$B$2:$B$99999,Bldg_Grade_Funding!$B14,'FTE Detail'!$P$2:$P$99999,Bldg_Grade_Funding!$C14,'FTE Detail'!$L$2:$L$99999,Bldg_Grade_Funding!H$5)</f>
        <v>0</v>
      </c>
      <c r="I14" s="8">
        <f>SUMIFS('FTE Detail'!$O$2:$O$99999,'FTE Detail'!$B$2:$B$99999,Bldg_Grade_Funding!$B14,'FTE Detail'!$P$2:$P$99999,Bldg_Grade_Funding!$C14,'FTE Detail'!$L$2:$L$99999,Bldg_Grade_Funding!I$5)</f>
        <v>0</v>
      </c>
      <c r="J14" s="8">
        <f>SUMIFS('FTE Detail'!$O$2:$O$99999,'FTE Detail'!$B$2:$B$99999,Bldg_Grade_Funding!$B14,'FTE Detail'!$P$2:$P$99999,Bldg_Grade_Funding!$C14,'FTE Detail'!$L$2:$L$99999,Bldg_Grade_Funding!J$5)</f>
        <v>0</v>
      </c>
      <c r="K14" s="8">
        <f>SUMIFS('FTE Detail'!$O$2:$O$99999,'FTE Detail'!$B$2:$B$99999,Bldg_Grade_Funding!$B14,'FTE Detail'!$P$2:$P$99999,Bldg_Grade_Funding!$C14,'FTE Detail'!$L$2:$L$99999,Bldg_Grade_Funding!K$5,'FTE Detail'!$V$2:$V$99999,"FULL")</f>
        <v>0</v>
      </c>
      <c r="L14" s="8">
        <f>SUMIFS('FTE Detail'!$O$2:$O$99999,'FTE Detail'!$B$2:$B$99999,Bldg_Grade_Funding!$B14,'FTE Detail'!$P$2:$P$99999,Bldg_Grade_Funding!$C14,'FTE Detail'!$L$2:$L$99999,Bldg_Grade_Funding!L$5,'FTE Detail'!$V$2:$V$99999,"FULL")</f>
        <v>1.2883660000000001</v>
      </c>
      <c r="M14" s="8">
        <f>SUMIFS('FTE Detail'!$O$2:$O$99999,'FTE Detail'!$B$2:$B$99999,Bldg_Grade_Funding!$B14,'FTE Detail'!$P$2:$P$99999,Bldg_Grade_Funding!$C14,'FTE Detail'!$L$2:$L$99999,Bldg_Grade_Funding!M$5,'FTE Detail'!$V$2:$V$99999,"PART")</f>
        <v>0</v>
      </c>
      <c r="N14" s="8">
        <f>SUMIFS('FTE Detail'!$O$2:$O$99999,'FTE Detail'!$B$2:$B$99999,Bldg_Grade_Funding!$B14,'FTE Detail'!$P$2:$P$99999,Bldg_Grade_Funding!$C14,'FTE Detail'!$L$2:$L$99999,Bldg_Grade_Funding!N$5,'FTE Detail'!$V$2:$V$99999,"PART")</f>
        <v>0</v>
      </c>
      <c r="O14" s="8">
        <f>SUMIFS('FTE Detail'!$O$2:$O$99999,'FTE Detail'!$B$2:$B$99999,Bldg_Grade_Funding!$B14,'FTE Detail'!$P$2:$P$99999,Bldg_Grade_Funding!$C14,'FTE Detail'!$L$2:$L$99999,Bldg_Grade_Funding!O$5,'FTE Detail'!$V$2:$V$99999,"FULL")</f>
        <v>0</v>
      </c>
      <c r="P14" s="8">
        <f>SUM(D14:O14)</f>
        <v>80.226189000000005</v>
      </c>
      <c r="R14" s="8"/>
    </row>
    <row r="15" spans="1:18" x14ac:dyDescent="0.3">
      <c r="A15" s="18"/>
      <c r="B15" s="5">
        <v>4697</v>
      </c>
      <c r="C15" s="5">
        <v>1</v>
      </c>
      <c r="D15" s="8">
        <f>SUMIFS('FTE Detail'!$O$2:$O$99999,'FTE Detail'!$B$2:$B$99999,Bldg_Grade_Funding!$B15,'FTE Detail'!$P$2:$P$99999,Bldg_Grade_Funding!$C15,'FTE Detail'!$L$2:$L$99999,Bldg_Grade_Funding!D$5)</f>
        <v>87.475190999999995</v>
      </c>
      <c r="E15" s="8">
        <f>SUMIFS('FTE Detail'!$O$2:$O$99999,'FTE Detail'!$B$2:$B$99999,Bldg_Grade_Funding!$B15,'FTE Detail'!$P$2:$P$99999,Bldg_Grade_Funding!$C15,'FTE Detail'!$L$2:$L$99999,Bldg_Grade_Funding!E$5)</f>
        <v>0</v>
      </c>
      <c r="F15" s="8">
        <f>SUMIFS('FTE Detail'!$O$2:$O$99999,'FTE Detail'!$B$2:$B$99999,Bldg_Grade_Funding!$B15,'FTE Detail'!$P$2:$P$99999,Bldg_Grade_Funding!$C15,'FTE Detail'!$L$2:$L$99999,Bldg_Grade_Funding!F$5)</f>
        <v>0</v>
      </c>
      <c r="G15" s="8">
        <f>SUMIFS('FTE Detail'!$O$2:$O$99999,'FTE Detail'!$B$2:$B$99999,Bldg_Grade_Funding!$B15,'FTE Detail'!$P$2:$P$99999,Bldg_Grade_Funding!$C15,'FTE Detail'!$L$2:$L$99999,Bldg_Grade_Funding!G$5)</f>
        <v>0</v>
      </c>
      <c r="H15" s="8">
        <f>SUMIFS('FTE Detail'!$O$2:$O$99999,'FTE Detail'!$B$2:$B$99999,Bldg_Grade_Funding!$B15,'FTE Detail'!$P$2:$P$99999,Bldg_Grade_Funding!$C15,'FTE Detail'!$L$2:$L$99999,Bldg_Grade_Funding!H$5)</f>
        <v>0</v>
      </c>
      <c r="I15" s="8">
        <f>SUMIFS('FTE Detail'!$O$2:$O$99999,'FTE Detail'!$B$2:$B$99999,Bldg_Grade_Funding!$B15,'FTE Detail'!$P$2:$P$99999,Bldg_Grade_Funding!$C15,'FTE Detail'!$L$2:$L$99999,Bldg_Grade_Funding!I$5)</f>
        <v>0</v>
      </c>
      <c r="J15" s="8">
        <f>SUMIFS('FTE Detail'!$O$2:$O$99999,'FTE Detail'!$B$2:$B$99999,Bldg_Grade_Funding!$B15,'FTE Detail'!$P$2:$P$99999,Bldg_Grade_Funding!$C15,'FTE Detail'!$L$2:$L$99999,Bldg_Grade_Funding!J$5)</f>
        <v>0</v>
      </c>
      <c r="K15" s="8">
        <f>SUMIFS('FTE Detail'!$O$2:$O$99999,'FTE Detail'!$B$2:$B$99999,Bldg_Grade_Funding!$B15,'FTE Detail'!$P$2:$P$99999,Bldg_Grade_Funding!$C15,'FTE Detail'!$L$2:$L$99999,Bldg_Grade_Funding!K$5,'FTE Detail'!$V$2:$V$99999,"FULL")</f>
        <v>0</v>
      </c>
      <c r="L15" s="8">
        <f>SUMIFS('FTE Detail'!$O$2:$O$99999,'FTE Detail'!$B$2:$B$99999,Bldg_Grade_Funding!$B15,'FTE Detail'!$P$2:$P$99999,Bldg_Grade_Funding!$C15,'FTE Detail'!$L$2:$L$99999,Bldg_Grade_Funding!L$5,'FTE Detail'!$V$2:$V$99999,"FULL")</f>
        <v>7</v>
      </c>
      <c r="M15" s="8">
        <f>SUMIFS('FTE Detail'!$O$2:$O$99999,'FTE Detail'!$B$2:$B$99999,Bldg_Grade_Funding!$B15,'FTE Detail'!$P$2:$P$99999,Bldg_Grade_Funding!$C15,'FTE Detail'!$L$2:$L$99999,Bldg_Grade_Funding!M$5,'FTE Detail'!$V$2:$V$99999,"PART")</f>
        <v>0</v>
      </c>
      <c r="N15" s="8">
        <f>SUMIFS('FTE Detail'!$O$2:$O$99999,'FTE Detail'!$B$2:$B$99999,Bldg_Grade_Funding!$B15,'FTE Detail'!$P$2:$P$99999,Bldg_Grade_Funding!$C15,'FTE Detail'!$L$2:$L$99999,Bldg_Grade_Funding!N$5,'FTE Detail'!$V$2:$V$99999,"PART")</f>
        <v>0</v>
      </c>
      <c r="O15" s="8">
        <f>SUMIFS('FTE Detail'!$O$2:$O$99999,'FTE Detail'!$B$2:$B$99999,Bldg_Grade_Funding!$B15,'FTE Detail'!$P$2:$P$99999,Bldg_Grade_Funding!$C15,'FTE Detail'!$L$2:$L$99999,Bldg_Grade_Funding!O$5,'FTE Detail'!$V$2:$V$99999,"FULL")</f>
        <v>0</v>
      </c>
      <c r="P15" s="8">
        <f t="shared" ref="P15:P19" si="1">SUM(D15:O15)</f>
        <v>94.475190999999995</v>
      </c>
      <c r="R15" s="8"/>
    </row>
    <row r="16" spans="1:18" x14ac:dyDescent="0.3">
      <c r="A16" s="18"/>
      <c r="B16" s="5">
        <v>4697</v>
      </c>
      <c r="C16" s="61">
        <v>2</v>
      </c>
      <c r="D16" s="8">
        <f>SUMIFS('FTE Detail'!$O$2:$O$99999,'FTE Detail'!$B$2:$B$99999,Bldg_Grade_Funding!$B16,'FTE Detail'!$P$2:$P$99999,Bldg_Grade_Funding!$C16,'FTE Detail'!$L$2:$L$99999,Bldg_Grade_Funding!D$5)</f>
        <v>82.974093000000011</v>
      </c>
      <c r="E16" s="8">
        <f>SUMIFS('FTE Detail'!$O$2:$O$99999,'FTE Detail'!$B$2:$B$99999,Bldg_Grade_Funding!$B16,'FTE Detail'!$P$2:$P$99999,Bldg_Grade_Funding!$C16,'FTE Detail'!$L$2:$L$99999,Bldg_Grade_Funding!E$5)</f>
        <v>0</v>
      </c>
      <c r="F16" s="8">
        <f>SUMIFS('FTE Detail'!$O$2:$O$99999,'FTE Detail'!$B$2:$B$99999,Bldg_Grade_Funding!$B16,'FTE Detail'!$P$2:$P$99999,Bldg_Grade_Funding!$C16,'FTE Detail'!$L$2:$L$99999,Bldg_Grade_Funding!F$5)</f>
        <v>0</v>
      </c>
      <c r="G16" s="8">
        <f>SUMIFS('FTE Detail'!$O$2:$O$99999,'FTE Detail'!$B$2:$B$99999,Bldg_Grade_Funding!$B16,'FTE Detail'!$P$2:$P$99999,Bldg_Grade_Funding!$C16,'FTE Detail'!$L$2:$L$99999,Bldg_Grade_Funding!G$5)</f>
        <v>0</v>
      </c>
      <c r="H16" s="8">
        <f>SUMIFS('FTE Detail'!$O$2:$O$99999,'FTE Detail'!$B$2:$B$99999,Bldg_Grade_Funding!$B16,'FTE Detail'!$P$2:$P$99999,Bldg_Grade_Funding!$C16,'FTE Detail'!$L$2:$L$99999,Bldg_Grade_Funding!H$5)</f>
        <v>0</v>
      </c>
      <c r="I16" s="8">
        <f>SUMIFS('FTE Detail'!$O$2:$O$99999,'FTE Detail'!$B$2:$B$99999,Bldg_Grade_Funding!$B16,'FTE Detail'!$P$2:$P$99999,Bldg_Grade_Funding!$C16,'FTE Detail'!$L$2:$L$99999,Bldg_Grade_Funding!I$5)</f>
        <v>0</v>
      </c>
      <c r="J16" s="8">
        <f>SUMIFS('FTE Detail'!$O$2:$O$99999,'FTE Detail'!$B$2:$B$99999,Bldg_Grade_Funding!$B16,'FTE Detail'!$P$2:$P$99999,Bldg_Grade_Funding!$C16,'FTE Detail'!$L$2:$L$99999,Bldg_Grade_Funding!J$5)</f>
        <v>0</v>
      </c>
      <c r="K16" s="8">
        <f>SUMIFS('FTE Detail'!$O$2:$O$99999,'FTE Detail'!$B$2:$B$99999,Bldg_Grade_Funding!$B16,'FTE Detail'!$P$2:$P$99999,Bldg_Grade_Funding!$C16,'FTE Detail'!$L$2:$L$99999,Bldg_Grade_Funding!K$5,'FTE Detail'!$V$2:$V$99999,"FULL")</f>
        <v>0</v>
      </c>
      <c r="L16" s="8">
        <f>SUMIFS('FTE Detail'!$O$2:$O$99999,'FTE Detail'!$B$2:$B$99999,Bldg_Grade_Funding!$B16,'FTE Detail'!$P$2:$P$99999,Bldg_Grade_Funding!$C16,'FTE Detail'!$L$2:$L$99999,Bldg_Grade_Funding!L$5,'FTE Detail'!$V$2:$V$99999,"FULL")</f>
        <v>1</v>
      </c>
      <c r="M16" s="8">
        <f>SUMIFS('FTE Detail'!$O$2:$O$99999,'FTE Detail'!$B$2:$B$99999,Bldg_Grade_Funding!$B16,'FTE Detail'!$P$2:$P$99999,Bldg_Grade_Funding!$C16,'FTE Detail'!$L$2:$L$99999,Bldg_Grade_Funding!M$5,'FTE Detail'!$V$2:$V$99999,"PART")</f>
        <v>0</v>
      </c>
      <c r="N16" s="8">
        <f>SUMIFS('FTE Detail'!$O$2:$O$99999,'FTE Detail'!$B$2:$B$99999,Bldg_Grade_Funding!$B16,'FTE Detail'!$P$2:$P$99999,Bldg_Grade_Funding!$C16,'FTE Detail'!$L$2:$L$99999,Bldg_Grade_Funding!N$5,'FTE Detail'!$V$2:$V$99999,"PART")</f>
        <v>0</v>
      </c>
      <c r="O16" s="8">
        <f>SUMIFS('FTE Detail'!$O$2:$O$99999,'FTE Detail'!$B$2:$B$99999,Bldg_Grade_Funding!$B16,'FTE Detail'!$P$2:$P$99999,Bldg_Grade_Funding!$C16,'FTE Detail'!$L$2:$L$99999,Bldg_Grade_Funding!O$5,'FTE Detail'!$V$2:$V$99999,"FULL")</f>
        <v>0</v>
      </c>
      <c r="P16" s="8">
        <f t="shared" si="1"/>
        <v>83.974093000000011</v>
      </c>
      <c r="R16" s="8"/>
    </row>
    <row r="17" spans="1:18" x14ac:dyDescent="0.3">
      <c r="A17" s="18"/>
      <c r="B17" s="5">
        <v>4697</v>
      </c>
      <c r="C17" s="61">
        <v>3</v>
      </c>
      <c r="D17" s="8">
        <f>SUMIFS('FTE Detail'!$O$2:$O$99999,'FTE Detail'!$B$2:$B$99999,Bldg_Grade_Funding!$B17,'FTE Detail'!$P$2:$P$99999,Bldg_Grade_Funding!$C17,'FTE Detail'!$L$2:$L$99999,Bldg_Grade_Funding!D$5)</f>
        <v>85.621904999999998</v>
      </c>
      <c r="E17" s="8">
        <f>SUMIFS('FTE Detail'!$O$2:$O$99999,'FTE Detail'!$B$2:$B$99999,Bldg_Grade_Funding!$B17,'FTE Detail'!$P$2:$P$99999,Bldg_Grade_Funding!$C17,'FTE Detail'!$L$2:$L$99999,Bldg_Grade_Funding!E$5)</f>
        <v>0</v>
      </c>
      <c r="F17" s="8">
        <f>SUMIFS('FTE Detail'!$O$2:$O$99999,'FTE Detail'!$B$2:$B$99999,Bldg_Grade_Funding!$B17,'FTE Detail'!$P$2:$P$99999,Bldg_Grade_Funding!$C17,'FTE Detail'!$L$2:$L$99999,Bldg_Grade_Funding!F$5)</f>
        <v>0</v>
      </c>
      <c r="G17" s="8">
        <f>SUMIFS('FTE Detail'!$O$2:$O$99999,'FTE Detail'!$B$2:$B$99999,Bldg_Grade_Funding!$B17,'FTE Detail'!$P$2:$P$99999,Bldg_Grade_Funding!$C17,'FTE Detail'!$L$2:$L$99999,Bldg_Grade_Funding!G$5)</f>
        <v>0</v>
      </c>
      <c r="H17" s="8">
        <f>SUMIFS('FTE Detail'!$O$2:$O$99999,'FTE Detail'!$B$2:$B$99999,Bldg_Grade_Funding!$B17,'FTE Detail'!$P$2:$P$99999,Bldg_Grade_Funding!$C17,'FTE Detail'!$L$2:$L$99999,Bldg_Grade_Funding!H$5)</f>
        <v>0</v>
      </c>
      <c r="I17" s="8">
        <f>SUMIFS('FTE Detail'!$O$2:$O$99999,'FTE Detail'!$B$2:$B$99999,Bldg_Grade_Funding!$B17,'FTE Detail'!$P$2:$P$99999,Bldg_Grade_Funding!$C17,'FTE Detail'!$L$2:$L$99999,Bldg_Grade_Funding!I$5)</f>
        <v>0</v>
      </c>
      <c r="J17" s="8">
        <f>SUMIFS('FTE Detail'!$O$2:$O$99999,'FTE Detail'!$B$2:$B$99999,Bldg_Grade_Funding!$B17,'FTE Detail'!$P$2:$P$99999,Bldg_Grade_Funding!$C17,'FTE Detail'!$L$2:$L$99999,Bldg_Grade_Funding!J$5)</f>
        <v>0</v>
      </c>
      <c r="K17" s="8">
        <f>SUMIFS('FTE Detail'!$O$2:$O$99999,'FTE Detail'!$B$2:$B$99999,Bldg_Grade_Funding!$B17,'FTE Detail'!$P$2:$P$99999,Bldg_Grade_Funding!$C17,'FTE Detail'!$L$2:$L$99999,Bldg_Grade_Funding!K$5,'FTE Detail'!$V$2:$V$99999,"FULL")</f>
        <v>0</v>
      </c>
      <c r="L17" s="8">
        <f>SUMIFS('FTE Detail'!$O$2:$O$99999,'FTE Detail'!$B$2:$B$99999,Bldg_Grade_Funding!$B17,'FTE Detail'!$P$2:$P$99999,Bldg_Grade_Funding!$C17,'FTE Detail'!$L$2:$L$99999,Bldg_Grade_Funding!L$5,'FTE Detail'!$V$2:$V$99999,"FULL")</f>
        <v>2</v>
      </c>
      <c r="M17" s="8">
        <f>SUMIFS('FTE Detail'!$O$2:$O$99999,'FTE Detail'!$B$2:$B$99999,Bldg_Grade_Funding!$B17,'FTE Detail'!$P$2:$P$99999,Bldg_Grade_Funding!$C17,'FTE Detail'!$L$2:$L$99999,Bldg_Grade_Funding!M$5,'FTE Detail'!$V$2:$V$99999,"PART")</f>
        <v>0</v>
      </c>
      <c r="N17" s="8">
        <f>SUMIFS('FTE Detail'!$O$2:$O$99999,'FTE Detail'!$B$2:$B$99999,Bldg_Grade_Funding!$B17,'FTE Detail'!$P$2:$P$99999,Bldg_Grade_Funding!$C17,'FTE Detail'!$L$2:$L$99999,Bldg_Grade_Funding!N$5,'FTE Detail'!$V$2:$V$99999,"PART")</f>
        <v>0</v>
      </c>
      <c r="O17" s="8">
        <f>SUMIFS('FTE Detail'!$O$2:$O$99999,'FTE Detail'!$B$2:$B$99999,Bldg_Grade_Funding!$B17,'FTE Detail'!$P$2:$P$99999,Bldg_Grade_Funding!$C17,'FTE Detail'!$L$2:$L$99999,Bldg_Grade_Funding!O$5,'FTE Detail'!$V$2:$V$99999,"FULL")</f>
        <v>0</v>
      </c>
      <c r="P17" s="8">
        <f t="shared" si="1"/>
        <v>87.621904999999998</v>
      </c>
      <c r="R17" s="8"/>
    </row>
    <row r="18" spans="1:18" x14ac:dyDescent="0.3">
      <c r="A18" s="18"/>
      <c r="B18" s="5">
        <v>4697</v>
      </c>
      <c r="C18" s="5">
        <v>4</v>
      </c>
      <c r="D18" s="8">
        <f>SUMIFS('FTE Detail'!$O$2:$O$99999,'FTE Detail'!$B$2:$B$99999,Bldg_Grade_Funding!$B18,'FTE Detail'!$P$2:$P$99999,Bldg_Grade_Funding!$C18,'FTE Detail'!$L$2:$L$99999,Bldg_Grade_Funding!D$5)</f>
        <v>97.207254000000006</v>
      </c>
      <c r="E18" s="8">
        <f>SUMIFS('FTE Detail'!$O$2:$O$99999,'FTE Detail'!$B$2:$B$99999,Bldg_Grade_Funding!$B18,'FTE Detail'!$P$2:$P$99999,Bldg_Grade_Funding!$C18,'FTE Detail'!$L$2:$L$99999,Bldg_Grade_Funding!E$5)</f>
        <v>0</v>
      </c>
      <c r="F18" s="8">
        <f>SUMIFS('FTE Detail'!$O$2:$O$99999,'FTE Detail'!$B$2:$B$99999,Bldg_Grade_Funding!$B18,'FTE Detail'!$P$2:$P$99999,Bldg_Grade_Funding!$C18,'FTE Detail'!$L$2:$L$99999,Bldg_Grade_Funding!F$5)</f>
        <v>0</v>
      </c>
      <c r="G18" s="8">
        <f>SUMIFS('FTE Detail'!$O$2:$O$99999,'FTE Detail'!$B$2:$B$99999,Bldg_Grade_Funding!$B18,'FTE Detail'!$P$2:$P$99999,Bldg_Grade_Funding!$C18,'FTE Detail'!$L$2:$L$99999,Bldg_Grade_Funding!G$5)</f>
        <v>0</v>
      </c>
      <c r="H18" s="8">
        <f>SUMIFS('FTE Detail'!$O$2:$O$99999,'FTE Detail'!$B$2:$B$99999,Bldg_Grade_Funding!$B18,'FTE Detail'!$P$2:$P$99999,Bldg_Grade_Funding!$C18,'FTE Detail'!$L$2:$L$99999,Bldg_Grade_Funding!H$5)</f>
        <v>0</v>
      </c>
      <c r="I18" s="8">
        <f>SUMIFS('FTE Detail'!$O$2:$O$99999,'FTE Detail'!$B$2:$B$99999,Bldg_Grade_Funding!$B18,'FTE Detail'!$P$2:$P$99999,Bldg_Grade_Funding!$C18,'FTE Detail'!$L$2:$L$99999,Bldg_Grade_Funding!I$5)</f>
        <v>0.52688199999999996</v>
      </c>
      <c r="J18" s="8">
        <f>SUMIFS('FTE Detail'!$O$2:$O$99999,'FTE Detail'!$B$2:$B$99999,Bldg_Grade_Funding!$B18,'FTE Detail'!$P$2:$P$99999,Bldg_Grade_Funding!$C18,'FTE Detail'!$L$2:$L$99999,Bldg_Grade_Funding!J$5)</f>
        <v>0</v>
      </c>
      <c r="K18" s="8">
        <f>SUMIFS('FTE Detail'!$O$2:$O$99999,'FTE Detail'!$B$2:$B$99999,Bldg_Grade_Funding!$B18,'FTE Detail'!$P$2:$P$99999,Bldg_Grade_Funding!$C18,'FTE Detail'!$L$2:$L$99999,Bldg_Grade_Funding!K$5,'FTE Detail'!$V$2:$V$99999,"FULL")</f>
        <v>0</v>
      </c>
      <c r="L18" s="8">
        <f>SUMIFS('FTE Detail'!$O$2:$O$99999,'FTE Detail'!$B$2:$B$99999,Bldg_Grade_Funding!$B18,'FTE Detail'!$P$2:$P$99999,Bldg_Grade_Funding!$C18,'FTE Detail'!$L$2:$L$99999,Bldg_Grade_Funding!L$5,'FTE Detail'!$V$2:$V$99999,"FULL")</f>
        <v>0</v>
      </c>
      <c r="M18" s="8">
        <f>SUMIFS('FTE Detail'!$O$2:$O$99999,'FTE Detail'!$B$2:$B$99999,Bldg_Grade_Funding!$B18,'FTE Detail'!$P$2:$P$99999,Bldg_Grade_Funding!$C18,'FTE Detail'!$L$2:$L$99999,Bldg_Grade_Funding!M$5,'FTE Detail'!$V$2:$V$99999,"PART")</f>
        <v>0</v>
      </c>
      <c r="N18" s="8">
        <f>SUMIFS('FTE Detail'!$O$2:$O$99999,'FTE Detail'!$B$2:$B$99999,Bldg_Grade_Funding!$B18,'FTE Detail'!$P$2:$P$99999,Bldg_Grade_Funding!$C18,'FTE Detail'!$L$2:$L$99999,Bldg_Grade_Funding!N$5,'FTE Detail'!$V$2:$V$99999,"PART")</f>
        <v>0</v>
      </c>
      <c r="O18" s="8">
        <f>SUMIFS('FTE Detail'!$O$2:$O$99999,'FTE Detail'!$B$2:$B$99999,Bldg_Grade_Funding!$B18,'FTE Detail'!$P$2:$P$99999,Bldg_Grade_Funding!$C18,'FTE Detail'!$L$2:$L$99999,Bldg_Grade_Funding!O$5,'FTE Detail'!$V$2:$V$99999,"FULL")</f>
        <v>0</v>
      </c>
      <c r="P18" s="8">
        <f t="shared" si="1"/>
        <v>97.734136000000007</v>
      </c>
      <c r="R18" s="8"/>
    </row>
    <row r="19" spans="1:18" x14ac:dyDescent="0.3">
      <c r="A19" s="18"/>
      <c r="B19" s="5">
        <v>4697</v>
      </c>
      <c r="C19" s="61">
        <v>5</v>
      </c>
      <c r="D19" s="8">
        <f>SUMIFS('FTE Detail'!$O$2:$O$99999,'FTE Detail'!$B$2:$B$99999,Bldg_Grade_Funding!$B19,'FTE Detail'!$P$2:$P$99999,Bldg_Grade_Funding!$C19,'FTE Detail'!$L$2:$L$99999,Bldg_Grade_Funding!D$5)</f>
        <v>99</v>
      </c>
      <c r="E19" s="8">
        <f>SUMIFS('FTE Detail'!$O$2:$O$99999,'FTE Detail'!$B$2:$B$99999,Bldg_Grade_Funding!$B19,'FTE Detail'!$P$2:$P$99999,Bldg_Grade_Funding!$C19,'FTE Detail'!$L$2:$L$99999,Bldg_Grade_Funding!E$5)</f>
        <v>0</v>
      </c>
      <c r="F19" s="8">
        <f>SUMIFS('FTE Detail'!$O$2:$O$99999,'FTE Detail'!$B$2:$B$99999,Bldg_Grade_Funding!$B19,'FTE Detail'!$P$2:$P$99999,Bldg_Grade_Funding!$C19,'FTE Detail'!$L$2:$L$99999,Bldg_Grade_Funding!F$5)</f>
        <v>0</v>
      </c>
      <c r="G19" s="8">
        <f>SUMIFS('FTE Detail'!$O$2:$O$99999,'FTE Detail'!$B$2:$B$99999,Bldg_Grade_Funding!$B19,'FTE Detail'!$P$2:$P$99999,Bldg_Grade_Funding!$C19,'FTE Detail'!$L$2:$L$99999,Bldg_Grade_Funding!G$5)</f>
        <v>0</v>
      </c>
      <c r="H19" s="8">
        <f>SUMIFS('FTE Detail'!$O$2:$O$99999,'FTE Detail'!$B$2:$B$99999,Bldg_Grade_Funding!$B19,'FTE Detail'!$P$2:$P$99999,Bldg_Grade_Funding!$C19,'FTE Detail'!$L$2:$L$99999,Bldg_Grade_Funding!H$5)</f>
        <v>0</v>
      </c>
      <c r="I19" s="8">
        <f>SUMIFS('FTE Detail'!$O$2:$O$99999,'FTE Detail'!$B$2:$B$99999,Bldg_Grade_Funding!$B19,'FTE Detail'!$P$2:$P$99999,Bldg_Grade_Funding!$C19,'FTE Detail'!$L$2:$L$99999,Bldg_Grade_Funding!I$5)</f>
        <v>0</v>
      </c>
      <c r="J19" s="8">
        <f>SUMIFS('FTE Detail'!$O$2:$O$99999,'FTE Detail'!$B$2:$B$99999,Bldg_Grade_Funding!$B19,'FTE Detail'!$P$2:$P$99999,Bldg_Grade_Funding!$C19,'FTE Detail'!$L$2:$L$99999,Bldg_Grade_Funding!J$5)</f>
        <v>0</v>
      </c>
      <c r="K19" s="8">
        <f>SUMIFS('FTE Detail'!$O$2:$O$99999,'FTE Detail'!$B$2:$B$99999,Bldg_Grade_Funding!$B19,'FTE Detail'!$P$2:$P$99999,Bldg_Grade_Funding!$C19,'FTE Detail'!$L$2:$L$99999,Bldg_Grade_Funding!K$5,'FTE Detail'!$V$2:$V$99999,"FULL")</f>
        <v>0</v>
      </c>
      <c r="L19" s="8">
        <f>SUMIFS('FTE Detail'!$O$2:$O$99999,'FTE Detail'!$B$2:$B$99999,Bldg_Grade_Funding!$B19,'FTE Detail'!$P$2:$P$99999,Bldg_Grade_Funding!$C19,'FTE Detail'!$L$2:$L$99999,Bldg_Grade_Funding!L$5,'FTE Detail'!$V$2:$V$99999,"FULL")</f>
        <v>2</v>
      </c>
      <c r="M19" s="8">
        <f>SUMIFS('FTE Detail'!$O$2:$O$99999,'FTE Detail'!$B$2:$B$99999,Bldg_Grade_Funding!$B19,'FTE Detail'!$P$2:$P$99999,Bldg_Grade_Funding!$C19,'FTE Detail'!$L$2:$L$99999,Bldg_Grade_Funding!M$5,'FTE Detail'!$V$2:$V$99999,"PART")</f>
        <v>0</v>
      </c>
      <c r="N19" s="8">
        <f>SUMIFS('FTE Detail'!$O$2:$O$99999,'FTE Detail'!$B$2:$B$99999,Bldg_Grade_Funding!$B19,'FTE Detail'!$P$2:$P$99999,Bldg_Grade_Funding!$C19,'FTE Detail'!$L$2:$L$99999,Bldg_Grade_Funding!N$5,'FTE Detail'!$V$2:$V$99999,"PART")</f>
        <v>0</v>
      </c>
      <c r="O19" s="8">
        <f>SUMIFS('FTE Detail'!$O$2:$O$99999,'FTE Detail'!$B$2:$B$99999,Bldg_Grade_Funding!$B19,'FTE Detail'!$P$2:$P$99999,Bldg_Grade_Funding!$C19,'FTE Detail'!$L$2:$L$99999,Bldg_Grade_Funding!O$5,'FTE Detail'!$V$2:$V$99999,"FULL")</f>
        <v>0</v>
      </c>
      <c r="P19" s="8">
        <f t="shared" si="1"/>
        <v>101</v>
      </c>
      <c r="R19" s="14"/>
    </row>
    <row r="20" spans="1:18" x14ac:dyDescent="0.3">
      <c r="A20" s="18"/>
      <c r="B20" s="5"/>
      <c r="C20" s="61"/>
      <c r="D20" s="8"/>
      <c r="E20" s="8"/>
      <c r="F20" s="8"/>
      <c r="G20" s="8"/>
      <c r="H20" s="8"/>
      <c r="I20" s="8"/>
      <c r="J20" s="8"/>
      <c r="K20" s="8"/>
      <c r="L20" s="8"/>
      <c r="M20" s="8"/>
      <c r="N20" s="8"/>
      <c r="O20" s="8"/>
      <c r="P20" s="8"/>
      <c r="Q20" s="3">
        <f>SUM(P14:P19)</f>
        <v>545.03151400000002</v>
      </c>
      <c r="R20" s="9"/>
    </row>
    <row r="21" spans="1:18" x14ac:dyDescent="0.3">
      <c r="A21" s="18"/>
      <c r="B21" s="5"/>
      <c r="C21" s="61"/>
      <c r="D21" s="8"/>
      <c r="E21" s="8"/>
      <c r="F21" s="8"/>
      <c r="G21" s="8"/>
      <c r="H21" s="8"/>
      <c r="I21" s="8"/>
      <c r="J21" s="8"/>
      <c r="K21" s="8"/>
      <c r="L21" s="8"/>
      <c r="M21" s="8"/>
      <c r="N21" s="8"/>
      <c r="O21" s="8"/>
      <c r="P21" s="8"/>
      <c r="Q21" s="3"/>
      <c r="R21" s="9"/>
    </row>
    <row r="22" spans="1:18" x14ac:dyDescent="0.3">
      <c r="A22" s="5"/>
      <c r="B22" s="5">
        <v>70417</v>
      </c>
      <c r="C22" s="62">
        <v>5</v>
      </c>
      <c r="D22" s="8">
        <f>SUMIFS('FTE Detail'!$O$2:$O$99999,'FTE Detail'!$B$2:$B$99999,Bldg_Grade_Funding!$B22,'FTE Detail'!$P$2:$P$99999,Bldg_Grade_Funding!$C22,'FTE Detail'!$L$2:$L$99999,Bldg_Grade_Funding!D$5)</f>
        <v>10.475121</v>
      </c>
      <c r="E22" s="8">
        <f>SUMIFS('FTE Detail'!$O$2:$O$99999,'FTE Detail'!$B$2:$B$99999,Bldg_Grade_Funding!$B22,'FTE Detail'!$P$2:$P$99999,Bldg_Grade_Funding!$C22,'FTE Detail'!$L$2:$L$99999,Bldg_Grade_Funding!E$5)</f>
        <v>0</v>
      </c>
      <c r="F22" s="8">
        <f>SUMIFS('FTE Detail'!$O$2:$O$99999,'FTE Detail'!$B$2:$B$99999,Bldg_Grade_Funding!$B22,'FTE Detail'!$P$2:$P$99999,Bldg_Grade_Funding!$C22,'FTE Detail'!$L$2:$L$99999,Bldg_Grade_Funding!F$5)</f>
        <v>0</v>
      </c>
      <c r="G22" s="8">
        <f>SUMIFS('FTE Detail'!$O$2:$O$99999,'FTE Detail'!$B$2:$B$99999,Bldg_Grade_Funding!$B22,'FTE Detail'!$P$2:$P$99999,Bldg_Grade_Funding!$C22,'FTE Detail'!$L$2:$L$99999,Bldg_Grade_Funding!G$5)</f>
        <v>0</v>
      </c>
      <c r="H22" s="8">
        <f>SUMIFS('FTE Detail'!$O$2:$O$99999,'FTE Detail'!$B$2:$B$99999,Bldg_Grade_Funding!$B22,'FTE Detail'!$P$2:$P$99999,Bldg_Grade_Funding!$C22,'FTE Detail'!$L$2:$L$99999,Bldg_Grade_Funding!H$5)</f>
        <v>0</v>
      </c>
      <c r="I22" s="8">
        <f>SUMIFS('FTE Detail'!$O$2:$O$99999,'FTE Detail'!$B$2:$B$99999,Bldg_Grade_Funding!$B22,'FTE Detail'!$P$2:$P$99999,Bldg_Grade_Funding!$C22,'FTE Detail'!$L$2:$L$99999,Bldg_Grade_Funding!I$5)</f>
        <v>0</v>
      </c>
      <c r="J22" s="8">
        <f>SUMIFS('FTE Detail'!$O$2:$O$99999,'FTE Detail'!$B$2:$B$99999,Bldg_Grade_Funding!$B22,'FTE Detail'!$P$2:$P$99999,Bldg_Grade_Funding!$C22,'FTE Detail'!$L$2:$L$99999,Bldg_Grade_Funding!J$5)</f>
        <v>0</v>
      </c>
      <c r="K22" s="8">
        <f>SUMIFS('FTE Detail'!$O$2:$O$99999,'FTE Detail'!$B$2:$B$99999,Bldg_Grade_Funding!$B22,'FTE Detail'!$P$2:$P$99999,Bldg_Grade_Funding!$C22,'FTE Detail'!$L$2:$L$99999,Bldg_Grade_Funding!K$5,'FTE Detail'!$V$2:$V$99999,"FULL")</f>
        <v>0</v>
      </c>
      <c r="L22" s="8">
        <f>SUMIFS('FTE Detail'!$O$2:$O$99999,'FTE Detail'!$B$2:$B$99999,Bldg_Grade_Funding!$B22,'FTE Detail'!$P$2:$P$99999,Bldg_Grade_Funding!$C22,'FTE Detail'!$L$2:$L$99999,Bldg_Grade_Funding!L$5,'FTE Detail'!$V$2:$V$99999,"FULL")</f>
        <v>0.276841</v>
      </c>
      <c r="M22" s="8">
        <f>SUMIFS('FTE Detail'!$O$2:$O$99999,'FTE Detail'!$B$2:$B$99999,Bldg_Grade_Funding!$B22,'FTE Detail'!$P$2:$P$99999,Bldg_Grade_Funding!$C22,'FTE Detail'!$L$2:$L$99999,Bldg_Grade_Funding!M$5,'FTE Detail'!$V$2:$V$99999,"PART")</f>
        <v>0</v>
      </c>
      <c r="N22" s="8">
        <f>SUMIFS('FTE Detail'!$O$2:$O$99999,'FTE Detail'!$B$2:$B$99999,Bldg_Grade_Funding!$B22,'FTE Detail'!$P$2:$P$99999,Bldg_Grade_Funding!$C22,'FTE Detail'!$L$2:$L$99999,Bldg_Grade_Funding!N$5,'FTE Detail'!$V$2:$V$99999,"PART")</f>
        <v>0</v>
      </c>
      <c r="O22" s="8">
        <f>SUMIFS('FTE Detail'!$O$2:$O$99999,'FTE Detail'!$B$2:$B$99999,Bldg_Grade_Funding!$B22,'FTE Detail'!$P$2:$P$99999,Bldg_Grade_Funding!$C22,'FTE Detail'!$L$2:$L$99999,Bldg_Grade_Funding!O$5,'FTE Detail'!$V$2:$V$99999,"FULL")</f>
        <v>0</v>
      </c>
      <c r="P22" s="8">
        <f t="shared" ref="P22" si="2">SUM(D22:O22)</f>
        <v>10.751961999999999</v>
      </c>
      <c r="R22" s="9"/>
    </row>
    <row r="23" spans="1:18" x14ac:dyDescent="0.3">
      <c r="A23" s="5"/>
      <c r="B23" s="5">
        <v>70417</v>
      </c>
      <c r="C23" s="5">
        <v>6</v>
      </c>
      <c r="D23" s="8">
        <f>SUMIFS('FTE Detail'!$O$2:$O$99999,'FTE Detail'!$B$2:$B$99999,Bldg_Grade_Funding!$B23,'FTE Detail'!$P$2:$P$99999,Bldg_Grade_Funding!$C23,'FTE Detail'!$L$2:$L$99999,Bldg_Grade_Funding!D$5)</f>
        <v>208.759062</v>
      </c>
      <c r="E23" s="8">
        <f>SUMIFS('FTE Detail'!$O$2:$O$99999,'FTE Detail'!$B$2:$B$99999,Bldg_Grade_Funding!$B23,'FTE Detail'!$P$2:$P$99999,Bldg_Grade_Funding!$C23,'FTE Detail'!$L$2:$L$99999,Bldg_Grade_Funding!E$5)</f>
        <v>0</v>
      </c>
      <c r="F23" s="8">
        <f>SUMIFS('FTE Detail'!$O$2:$O$99999,'FTE Detail'!$B$2:$B$99999,Bldg_Grade_Funding!$B23,'FTE Detail'!$P$2:$P$99999,Bldg_Grade_Funding!$C23,'FTE Detail'!$L$2:$L$99999,Bldg_Grade_Funding!F$5)</f>
        <v>0</v>
      </c>
      <c r="G23" s="8">
        <f>SUMIFS('FTE Detail'!$O$2:$O$99999,'FTE Detail'!$B$2:$B$99999,Bldg_Grade_Funding!$B23,'FTE Detail'!$P$2:$P$99999,Bldg_Grade_Funding!$C23,'FTE Detail'!$L$2:$L$99999,Bldg_Grade_Funding!G$5)</f>
        <v>0</v>
      </c>
      <c r="H23" s="8">
        <f>SUMIFS('FTE Detail'!$O$2:$O$99999,'FTE Detail'!$B$2:$B$99999,Bldg_Grade_Funding!$B23,'FTE Detail'!$P$2:$P$99999,Bldg_Grade_Funding!$C23,'FTE Detail'!$L$2:$L$99999,Bldg_Grade_Funding!H$5)</f>
        <v>0</v>
      </c>
      <c r="I23" s="8">
        <f>SUMIFS('FTE Detail'!$O$2:$O$99999,'FTE Detail'!$B$2:$B$99999,Bldg_Grade_Funding!$B23,'FTE Detail'!$P$2:$P$99999,Bldg_Grade_Funding!$C23,'FTE Detail'!$L$2:$L$99999,Bldg_Grade_Funding!I$5)</f>
        <v>0.43010799999999999</v>
      </c>
      <c r="J23" s="8">
        <f>SUMIFS('FTE Detail'!$O$2:$O$99999,'FTE Detail'!$B$2:$B$99999,Bldg_Grade_Funding!$B23,'FTE Detail'!$P$2:$P$99999,Bldg_Grade_Funding!$C23,'FTE Detail'!$L$2:$L$99999,Bldg_Grade_Funding!J$5)</f>
        <v>0</v>
      </c>
      <c r="K23" s="8">
        <f>SUMIFS('FTE Detail'!$O$2:$O$99999,'FTE Detail'!$B$2:$B$99999,Bldg_Grade_Funding!$B23,'FTE Detail'!$P$2:$P$99999,Bldg_Grade_Funding!$C23,'FTE Detail'!$L$2:$L$99999,Bldg_Grade_Funding!K$5,'FTE Detail'!$V$2:$V$99999,"FULL")</f>
        <v>0</v>
      </c>
      <c r="L23" s="8">
        <f>SUMIFS('FTE Detail'!$O$2:$O$99999,'FTE Detail'!$B$2:$B$99999,Bldg_Grade_Funding!$B23,'FTE Detail'!$P$2:$P$99999,Bldg_Grade_Funding!$C23,'FTE Detail'!$L$2:$L$99999,Bldg_Grade_Funding!L$5,'FTE Detail'!$V$2:$V$99999,"FULL")</f>
        <v>7</v>
      </c>
      <c r="M23" s="8">
        <f>SUMIFS('FTE Detail'!$O$2:$O$99999,'FTE Detail'!$B$2:$B$99999,Bldg_Grade_Funding!$B23,'FTE Detail'!$P$2:$P$99999,Bldg_Grade_Funding!$C23,'FTE Detail'!$L$2:$L$99999,Bldg_Grade_Funding!M$5,'FTE Detail'!$V$2:$V$99999,"PART")</f>
        <v>0</v>
      </c>
      <c r="N23" s="8">
        <f>SUMIFS('FTE Detail'!$O$2:$O$99999,'FTE Detail'!$B$2:$B$99999,Bldg_Grade_Funding!$B23,'FTE Detail'!$P$2:$P$99999,Bldg_Grade_Funding!$C23,'FTE Detail'!$L$2:$L$99999,Bldg_Grade_Funding!N$5,'FTE Detail'!$V$2:$V$99999,"PART")</f>
        <v>0</v>
      </c>
      <c r="O23" s="8">
        <f>SUMIFS('FTE Detail'!$O$2:$O$99999,'FTE Detail'!$B$2:$B$99999,Bldg_Grade_Funding!$B23,'FTE Detail'!$P$2:$P$99999,Bldg_Grade_Funding!$C23,'FTE Detail'!$L$2:$L$99999,Bldg_Grade_Funding!O$5,'FTE Detail'!$V$2:$V$99999,"FULL")</f>
        <v>0</v>
      </c>
      <c r="P23" s="8">
        <f>SUM(D23:O23)</f>
        <v>216.18916999999999</v>
      </c>
      <c r="R23" s="9"/>
    </row>
    <row r="24" spans="1:18" x14ac:dyDescent="0.3">
      <c r="A24" s="5"/>
      <c r="B24" s="5">
        <v>70417</v>
      </c>
      <c r="C24" s="5">
        <v>7</v>
      </c>
      <c r="D24" s="8">
        <f>SUMIFS('FTE Detail'!$O$2:$O$99999,'FTE Detail'!$B$2:$B$99999,Bldg_Grade_Funding!$B24,'FTE Detail'!$P$2:$P$99999,Bldg_Grade_Funding!$C24,'FTE Detail'!$L$2:$L$99999,Bldg_Grade_Funding!D$5)</f>
        <v>211.36111099999999</v>
      </c>
      <c r="E24" s="8">
        <f>SUMIFS('FTE Detail'!$O$2:$O$99999,'FTE Detail'!$B$2:$B$99999,Bldg_Grade_Funding!$B24,'FTE Detail'!$P$2:$P$99999,Bldg_Grade_Funding!$C24,'FTE Detail'!$L$2:$L$99999,Bldg_Grade_Funding!E$5)</f>
        <v>0</v>
      </c>
      <c r="F24" s="8">
        <f>SUMIFS('FTE Detail'!$O$2:$O$99999,'FTE Detail'!$B$2:$B$99999,Bldg_Grade_Funding!$B24,'FTE Detail'!$P$2:$P$99999,Bldg_Grade_Funding!$C24,'FTE Detail'!$L$2:$L$99999,Bldg_Grade_Funding!F$5)</f>
        <v>0</v>
      </c>
      <c r="G24" s="8">
        <f>SUMIFS('FTE Detail'!$O$2:$O$99999,'FTE Detail'!$B$2:$B$99999,Bldg_Grade_Funding!$B24,'FTE Detail'!$P$2:$P$99999,Bldg_Grade_Funding!$C24,'FTE Detail'!$L$2:$L$99999,Bldg_Grade_Funding!G$5)</f>
        <v>0</v>
      </c>
      <c r="H24" s="8">
        <f>SUMIFS('FTE Detail'!$O$2:$O$99999,'FTE Detail'!$B$2:$B$99999,Bldg_Grade_Funding!$B24,'FTE Detail'!$P$2:$P$99999,Bldg_Grade_Funding!$C24,'FTE Detail'!$L$2:$L$99999,Bldg_Grade_Funding!H$5)</f>
        <v>0</v>
      </c>
      <c r="I24" s="8">
        <f>SUMIFS('FTE Detail'!$O$2:$O$99999,'FTE Detail'!$B$2:$B$99999,Bldg_Grade_Funding!$B24,'FTE Detail'!$P$2:$P$99999,Bldg_Grade_Funding!$C24,'FTE Detail'!$L$2:$L$99999,Bldg_Grade_Funding!I$5)</f>
        <v>2</v>
      </c>
      <c r="J24" s="8">
        <f>SUMIFS('FTE Detail'!$O$2:$O$99999,'FTE Detail'!$B$2:$B$99999,Bldg_Grade_Funding!$B24,'FTE Detail'!$P$2:$P$99999,Bldg_Grade_Funding!$C24,'FTE Detail'!$L$2:$L$99999,Bldg_Grade_Funding!J$5)</f>
        <v>0</v>
      </c>
      <c r="K24" s="8">
        <f>SUMIFS('FTE Detail'!$O$2:$O$99999,'FTE Detail'!$B$2:$B$99999,Bldg_Grade_Funding!$B24,'FTE Detail'!$P$2:$P$99999,Bldg_Grade_Funding!$C24,'FTE Detail'!$L$2:$L$99999,Bldg_Grade_Funding!K$5,'FTE Detail'!$V$2:$V$99999,"FULL")</f>
        <v>0</v>
      </c>
      <c r="L24" s="8">
        <f>SUMIFS('FTE Detail'!$O$2:$O$99999,'FTE Detail'!$B$2:$B$99999,Bldg_Grade_Funding!$B24,'FTE Detail'!$P$2:$P$99999,Bldg_Grade_Funding!$C24,'FTE Detail'!$L$2:$L$99999,Bldg_Grade_Funding!L$5,'FTE Detail'!$V$2:$V$99999,"FULL")</f>
        <v>7</v>
      </c>
      <c r="M24" s="8">
        <f>SUMIFS('FTE Detail'!$O$2:$O$99999,'FTE Detail'!$B$2:$B$99999,Bldg_Grade_Funding!$B24,'FTE Detail'!$P$2:$P$99999,Bldg_Grade_Funding!$C24,'FTE Detail'!$L$2:$L$99999,Bldg_Grade_Funding!M$5,'FTE Detail'!$V$2:$V$99999,"PART")</f>
        <v>0</v>
      </c>
      <c r="N24" s="8">
        <f>SUMIFS('FTE Detail'!$O$2:$O$99999,'FTE Detail'!$B$2:$B$99999,Bldg_Grade_Funding!$B24,'FTE Detail'!$P$2:$P$99999,Bldg_Grade_Funding!$C24,'FTE Detail'!$L$2:$L$99999,Bldg_Grade_Funding!N$5,'FTE Detail'!$V$2:$V$99999,"PART")</f>
        <v>0</v>
      </c>
      <c r="O24" s="8">
        <f>SUMIFS('FTE Detail'!$O$2:$O$99999,'FTE Detail'!$B$2:$B$99999,Bldg_Grade_Funding!$B24,'FTE Detail'!$P$2:$P$99999,Bldg_Grade_Funding!$C24,'FTE Detail'!$L$2:$L$99999,Bldg_Grade_Funding!O$5,'FTE Detail'!$V$2:$V$99999,"FULL")</f>
        <v>0</v>
      </c>
      <c r="P24" s="8">
        <f t="shared" ref="P24:P26" si="3">SUM(D24:O24)</f>
        <v>220.36111099999999</v>
      </c>
      <c r="R24" s="9"/>
    </row>
    <row r="25" spans="1:18" x14ac:dyDescent="0.3">
      <c r="A25" s="5"/>
      <c r="B25" s="5">
        <v>70417</v>
      </c>
      <c r="C25" s="5">
        <v>8</v>
      </c>
      <c r="D25" s="8">
        <f>SUMIFS('FTE Detail'!$O$2:$O$99999,'FTE Detail'!$B$2:$B$99999,Bldg_Grade_Funding!$B25,'FTE Detail'!$P$2:$P$99999,Bldg_Grade_Funding!$C25,'FTE Detail'!$L$2:$L$99999,Bldg_Grade_Funding!D$5)</f>
        <v>223.51736600000001</v>
      </c>
      <c r="E25" s="8">
        <f>SUMIFS('FTE Detail'!$O$2:$O$99999,'FTE Detail'!$B$2:$B$99999,Bldg_Grade_Funding!$B25,'FTE Detail'!$P$2:$P$99999,Bldg_Grade_Funding!$C25,'FTE Detail'!$L$2:$L$99999,Bldg_Grade_Funding!E$5)</f>
        <v>0</v>
      </c>
      <c r="F25" s="8">
        <f>SUMIFS('FTE Detail'!$O$2:$O$99999,'FTE Detail'!$B$2:$B$99999,Bldg_Grade_Funding!$B25,'FTE Detail'!$P$2:$P$99999,Bldg_Grade_Funding!$C25,'FTE Detail'!$L$2:$L$99999,Bldg_Grade_Funding!F$5)</f>
        <v>0</v>
      </c>
      <c r="G25" s="8">
        <f>SUMIFS('FTE Detail'!$O$2:$O$99999,'FTE Detail'!$B$2:$B$99999,Bldg_Grade_Funding!$B25,'FTE Detail'!$P$2:$P$99999,Bldg_Grade_Funding!$C25,'FTE Detail'!$L$2:$L$99999,Bldg_Grade_Funding!G$5)</f>
        <v>0</v>
      </c>
      <c r="H25" s="8">
        <f>SUMIFS('FTE Detail'!$O$2:$O$99999,'FTE Detail'!$B$2:$B$99999,Bldg_Grade_Funding!$B25,'FTE Detail'!$P$2:$P$99999,Bldg_Grade_Funding!$C25,'FTE Detail'!$L$2:$L$99999,Bldg_Grade_Funding!H$5)</f>
        <v>0</v>
      </c>
      <c r="I25" s="8">
        <f>SUMIFS('FTE Detail'!$O$2:$O$99999,'FTE Detail'!$B$2:$B$99999,Bldg_Grade_Funding!$B25,'FTE Detail'!$P$2:$P$99999,Bldg_Grade_Funding!$C25,'FTE Detail'!$L$2:$L$99999,Bldg_Grade_Funding!I$5)</f>
        <v>0</v>
      </c>
      <c r="J25" s="8">
        <f>SUMIFS('FTE Detail'!$O$2:$O$99999,'FTE Detail'!$B$2:$B$99999,Bldg_Grade_Funding!$B25,'FTE Detail'!$P$2:$P$99999,Bldg_Grade_Funding!$C25,'FTE Detail'!$L$2:$L$99999,Bldg_Grade_Funding!J$5)</f>
        <v>0</v>
      </c>
      <c r="K25" s="8">
        <f>SUMIFS('FTE Detail'!$O$2:$O$99999,'FTE Detail'!$B$2:$B$99999,Bldg_Grade_Funding!$B25,'FTE Detail'!$P$2:$P$99999,Bldg_Grade_Funding!$C25,'FTE Detail'!$L$2:$L$99999,Bldg_Grade_Funding!K$5,'FTE Detail'!$V$2:$V$99999,"FULL")</f>
        <v>1</v>
      </c>
      <c r="L25" s="8">
        <f>SUMIFS('FTE Detail'!$O$2:$O$99999,'FTE Detail'!$B$2:$B$99999,Bldg_Grade_Funding!$B25,'FTE Detail'!$P$2:$P$99999,Bldg_Grade_Funding!$C25,'FTE Detail'!$L$2:$L$99999,Bldg_Grade_Funding!L$5,'FTE Detail'!$V$2:$V$99999,"FULL")</f>
        <v>10</v>
      </c>
      <c r="M25" s="8">
        <f>SUMIFS('FTE Detail'!$O$2:$O$99999,'FTE Detail'!$B$2:$B$99999,Bldg_Grade_Funding!$B25,'FTE Detail'!$P$2:$P$99999,Bldg_Grade_Funding!$C25,'FTE Detail'!$L$2:$L$99999,Bldg_Grade_Funding!M$5,'FTE Detail'!$V$2:$V$99999,"PART")</f>
        <v>0</v>
      </c>
      <c r="N25" s="8">
        <f>SUMIFS('FTE Detail'!$O$2:$O$99999,'FTE Detail'!$B$2:$B$99999,Bldg_Grade_Funding!$B25,'FTE Detail'!$P$2:$P$99999,Bldg_Grade_Funding!$C25,'FTE Detail'!$L$2:$L$99999,Bldg_Grade_Funding!N$5,'FTE Detail'!$V$2:$V$99999,"PART")</f>
        <v>0</v>
      </c>
      <c r="O25" s="8">
        <f>SUMIFS('FTE Detail'!$O$2:$O$99999,'FTE Detail'!$B$2:$B$99999,Bldg_Grade_Funding!$B25,'FTE Detail'!$P$2:$P$99999,Bldg_Grade_Funding!$C25,'FTE Detail'!$L$2:$L$99999,Bldg_Grade_Funding!O$5,'FTE Detail'!$V$2:$V$99999,"FULL")</f>
        <v>0</v>
      </c>
      <c r="P25" s="8">
        <f t="shared" si="3"/>
        <v>234.51736600000001</v>
      </c>
      <c r="R25" s="9"/>
    </row>
    <row r="26" spans="1:18" x14ac:dyDescent="0.3">
      <c r="A26" s="5"/>
      <c r="B26" s="5">
        <v>70417</v>
      </c>
      <c r="C26" s="5">
        <v>9</v>
      </c>
      <c r="D26" s="8">
        <f>SUMIFS('FTE Detail'!$O$2:$O$99999,'FTE Detail'!$B$2:$B$99999,Bldg_Grade_Funding!$B26,'FTE Detail'!$P$2:$P$99999,Bldg_Grade_Funding!$C26,'FTE Detail'!$L$2:$L$99999,Bldg_Grade_Funding!D$5)</f>
        <v>235.04565999999997</v>
      </c>
      <c r="E26" s="8">
        <f>SUMIFS('FTE Detail'!$O$2:$O$99999,'FTE Detail'!$B$2:$B$99999,Bldg_Grade_Funding!$B26,'FTE Detail'!$P$2:$P$99999,Bldg_Grade_Funding!$C26,'FTE Detail'!$L$2:$L$99999,Bldg_Grade_Funding!E$5)</f>
        <v>0</v>
      </c>
      <c r="F26" s="8">
        <f>SUMIFS('FTE Detail'!$O$2:$O$99999,'FTE Detail'!$B$2:$B$99999,Bldg_Grade_Funding!$B26,'FTE Detail'!$P$2:$P$99999,Bldg_Grade_Funding!$C26,'FTE Detail'!$L$2:$L$99999,Bldg_Grade_Funding!F$5)</f>
        <v>0</v>
      </c>
      <c r="G26" s="8">
        <f>SUMIFS('FTE Detail'!$O$2:$O$99999,'FTE Detail'!$B$2:$B$99999,Bldg_Grade_Funding!$B26,'FTE Detail'!$P$2:$P$99999,Bldg_Grade_Funding!$C26,'FTE Detail'!$L$2:$L$99999,Bldg_Grade_Funding!G$5)</f>
        <v>0</v>
      </c>
      <c r="H26" s="8">
        <f>SUMIFS('FTE Detail'!$O$2:$O$99999,'FTE Detail'!$B$2:$B$99999,Bldg_Grade_Funding!$B26,'FTE Detail'!$P$2:$P$99999,Bldg_Grade_Funding!$C26,'FTE Detail'!$L$2:$L$99999,Bldg_Grade_Funding!H$5)</f>
        <v>0</v>
      </c>
      <c r="I26" s="8">
        <f>SUMIFS('FTE Detail'!$O$2:$O$99999,'FTE Detail'!$B$2:$B$99999,Bldg_Grade_Funding!$B26,'FTE Detail'!$P$2:$P$99999,Bldg_Grade_Funding!$C26,'FTE Detail'!$L$2:$L$99999,Bldg_Grade_Funding!I$5)</f>
        <v>2.6212500000000003</v>
      </c>
      <c r="J26" s="8">
        <f>SUMIFS('FTE Detail'!$O$2:$O$99999,'FTE Detail'!$B$2:$B$99999,Bldg_Grade_Funding!$B26,'FTE Detail'!$P$2:$P$99999,Bldg_Grade_Funding!$C26,'FTE Detail'!$L$2:$L$99999,Bldg_Grade_Funding!J$5)</f>
        <v>0</v>
      </c>
      <c r="K26" s="8">
        <f>SUMIFS('FTE Detail'!$O$2:$O$99999,'FTE Detail'!$B$2:$B$99999,Bldg_Grade_Funding!$B26,'FTE Detail'!$P$2:$P$99999,Bldg_Grade_Funding!$C26,'FTE Detail'!$L$2:$L$99999,Bldg_Grade_Funding!K$5,'FTE Detail'!$V$2:$V$99999,"FULL")</f>
        <v>0</v>
      </c>
      <c r="L26" s="8">
        <f>SUMIFS('FTE Detail'!$O$2:$O$99999,'FTE Detail'!$B$2:$B$99999,Bldg_Grade_Funding!$B26,'FTE Detail'!$P$2:$P$99999,Bldg_Grade_Funding!$C26,'FTE Detail'!$L$2:$L$99999,Bldg_Grade_Funding!L$5,'FTE Detail'!$V$2:$V$99999,"FULL")</f>
        <v>7.6311070000000001</v>
      </c>
      <c r="M26" s="8">
        <f>SUMIFS('FTE Detail'!$O$2:$O$99999,'FTE Detail'!$B$2:$B$99999,Bldg_Grade_Funding!$B26,'FTE Detail'!$P$2:$P$99999,Bldg_Grade_Funding!$C26,'FTE Detail'!$L$2:$L$99999,Bldg_Grade_Funding!M$5,'FTE Detail'!$V$2:$V$99999,"PART")</f>
        <v>0</v>
      </c>
      <c r="N26" s="8">
        <f>SUMIFS('FTE Detail'!$O$2:$O$99999,'FTE Detail'!$B$2:$B$99999,Bldg_Grade_Funding!$B26,'FTE Detail'!$P$2:$P$99999,Bldg_Grade_Funding!$C26,'FTE Detail'!$L$2:$L$99999,Bldg_Grade_Funding!N$5,'FTE Detail'!$V$2:$V$99999,"PART")</f>
        <v>0</v>
      </c>
      <c r="O26" s="8">
        <f>SUMIFS('FTE Detail'!$O$2:$O$99999,'FTE Detail'!$B$2:$B$99999,Bldg_Grade_Funding!$B26,'FTE Detail'!$P$2:$P$99999,Bldg_Grade_Funding!$C26,'FTE Detail'!$L$2:$L$99999,Bldg_Grade_Funding!O$5,'FTE Detail'!$V$2:$V$99999,"FULL")</f>
        <v>0</v>
      </c>
      <c r="P26" s="8">
        <f t="shared" si="3"/>
        <v>245.29801699999996</v>
      </c>
      <c r="R26" s="14"/>
    </row>
    <row r="27" spans="1:18" x14ac:dyDescent="0.3">
      <c r="A27" s="5"/>
      <c r="B27" s="5"/>
      <c r="C27" s="5"/>
      <c r="D27" s="8"/>
      <c r="E27" s="8"/>
      <c r="F27" s="8"/>
      <c r="G27" s="8"/>
      <c r="H27" s="8"/>
      <c r="I27" s="8"/>
      <c r="J27" s="8"/>
      <c r="K27" s="8"/>
      <c r="L27" s="8"/>
      <c r="M27" s="8"/>
      <c r="N27" s="8"/>
      <c r="O27" s="8"/>
      <c r="P27" s="8"/>
      <c r="Q27" s="3">
        <f>SUM(P23:P26)</f>
        <v>916.36566399999992</v>
      </c>
      <c r="R27" s="8"/>
    </row>
    <row r="28" spans="1:18" x14ac:dyDescent="0.3">
      <c r="A28" s="5"/>
      <c r="B28" s="5"/>
      <c r="C28" s="5"/>
      <c r="D28" s="8"/>
      <c r="E28" s="8"/>
      <c r="F28" s="8"/>
      <c r="G28" s="8"/>
      <c r="H28" s="8"/>
      <c r="I28" s="8"/>
      <c r="J28" s="8"/>
      <c r="K28" s="8"/>
      <c r="L28" s="8"/>
      <c r="M28" s="8"/>
      <c r="N28" s="8"/>
      <c r="O28" s="8"/>
      <c r="P28" s="8"/>
      <c r="Q28" s="3"/>
      <c r="R28" s="8"/>
    </row>
    <row r="29" spans="1:18" x14ac:dyDescent="0.3">
      <c r="A29" s="5"/>
      <c r="B29" s="5">
        <v>4796</v>
      </c>
      <c r="C29" s="5">
        <v>9</v>
      </c>
      <c r="D29" s="8">
        <f>SUMIFS('FTE Detail'!$O$2:$O$99999,'FTE Detail'!$B$2:$B$99999,Bldg_Grade_Funding!$B29,'FTE Detail'!$P$2:$P$99999,Bldg_Grade_Funding!$C29,'FTE Detail'!$L$2:$L$99999,Bldg_Grade_Funding!D$5)</f>
        <v>9.4750610000000002</v>
      </c>
      <c r="E29" s="8">
        <f>SUMIFS('FTE Detail'!$O$2:$O$99999,'FTE Detail'!$B$2:$B$99999,Bldg_Grade_Funding!$B29,'FTE Detail'!$P$2:$P$99999,Bldg_Grade_Funding!$C29,'FTE Detail'!$L$2:$L$99999,Bldg_Grade_Funding!E$5)</f>
        <v>0</v>
      </c>
      <c r="F29" s="8">
        <f>SUMIFS('FTE Detail'!$O$2:$O$99999,'FTE Detail'!$B$2:$B$99999,Bldg_Grade_Funding!$B29,'FTE Detail'!$P$2:$P$99999,Bldg_Grade_Funding!$C29,'FTE Detail'!$L$2:$L$99999,Bldg_Grade_Funding!F$5)</f>
        <v>0</v>
      </c>
      <c r="G29" s="8">
        <f>SUMIFS('FTE Detail'!$O$2:$O$99999,'FTE Detail'!$B$2:$B$99999,Bldg_Grade_Funding!$B29,'FTE Detail'!$P$2:$P$99999,Bldg_Grade_Funding!$C29,'FTE Detail'!$L$2:$L$99999,Bldg_Grade_Funding!G$5)</f>
        <v>0</v>
      </c>
      <c r="H29" s="8">
        <f>SUMIFS('FTE Detail'!$O$2:$O$99999,'FTE Detail'!$B$2:$B$99999,Bldg_Grade_Funding!$B29,'FTE Detail'!$P$2:$P$99999,Bldg_Grade_Funding!$C29,'FTE Detail'!$L$2:$L$99999,Bldg_Grade_Funding!H$5)</f>
        <v>0</v>
      </c>
      <c r="I29" s="8">
        <f>SUMIFS('FTE Detail'!$O$2:$O$99999,'FTE Detail'!$B$2:$B$99999,Bldg_Grade_Funding!$B29,'FTE Detail'!$P$2:$P$99999,Bldg_Grade_Funding!$C29,'FTE Detail'!$L$2:$L$99999,Bldg_Grade_Funding!I$5)</f>
        <v>0.243094</v>
      </c>
      <c r="J29" s="8">
        <f>SUMIFS('FTE Detail'!$O$2:$O$99999,'FTE Detail'!$B$2:$B$99999,Bldg_Grade_Funding!$B29,'FTE Detail'!$P$2:$P$99999,Bldg_Grade_Funding!$C29,'FTE Detail'!$L$2:$L$99999,Bldg_Grade_Funding!J$5)</f>
        <v>0</v>
      </c>
      <c r="K29" s="8">
        <f>SUMIFS('FTE Detail'!$O$2:$O$99999,'FTE Detail'!$B$2:$B$99999,Bldg_Grade_Funding!$B29,'FTE Detail'!$P$2:$P$99999,Bldg_Grade_Funding!$C29,'FTE Detail'!$L$2:$L$99999,Bldg_Grade_Funding!K$5,'FTE Detail'!$V$2:$V$99999,"FULL")</f>
        <v>0</v>
      </c>
      <c r="L29" s="8">
        <f>SUMIFS('FTE Detail'!$O$2:$O$99999,'FTE Detail'!$B$2:$B$99999,Bldg_Grade_Funding!$B29,'FTE Detail'!$P$2:$P$99999,Bldg_Grade_Funding!$C29,'FTE Detail'!$L$2:$L$99999,Bldg_Grade_Funding!L$5,'FTE Detail'!$V$2:$V$99999,"FULL")</f>
        <v>3</v>
      </c>
      <c r="M29" s="8">
        <f>SUMIFS('FTE Detail'!$O$2:$O$99999,'FTE Detail'!$B$2:$B$99999,Bldg_Grade_Funding!$B29,'FTE Detail'!$P$2:$P$99999,Bldg_Grade_Funding!$C29,'FTE Detail'!$L$2:$L$99999,Bldg_Grade_Funding!M$5,'FTE Detail'!$V$2:$V$99999,"PART")</f>
        <v>0</v>
      </c>
      <c r="N29" s="8">
        <f>SUMIFS('FTE Detail'!$O$2:$O$99999,'FTE Detail'!$B$2:$B$99999,Bldg_Grade_Funding!$B29,'FTE Detail'!$P$2:$P$99999,Bldg_Grade_Funding!$C29,'FTE Detail'!$L$2:$L$99999,Bldg_Grade_Funding!N$5,'FTE Detail'!$V$2:$V$99999,"PART")</f>
        <v>0</v>
      </c>
      <c r="O29" s="8">
        <f>SUMIFS('FTE Detail'!$O$2:$O$99999,'FTE Detail'!$B$2:$B$99999,Bldg_Grade_Funding!$B29,'FTE Detail'!$P$2:$P$99999,Bldg_Grade_Funding!$C29,'FTE Detail'!$L$2:$L$99999,Bldg_Grade_Funding!O$5,'FTE Detail'!$V$2:$V$99999,"FULL")</f>
        <v>0</v>
      </c>
      <c r="P29" s="8">
        <f t="shared" ref="P29" si="4">SUM(D29:O29)</f>
        <v>12.718154999999999</v>
      </c>
      <c r="R29" s="8"/>
    </row>
    <row r="30" spans="1:18" x14ac:dyDescent="0.3">
      <c r="A30" s="16"/>
      <c r="B30" s="5">
        <v>4796</v>
      </c>
      <c r="C30" s="5">
        <v>10</v>
      </c>
      <c r="D30" s="8">
        <f>SUMIFS('FTE Detail'!$O$2:$O$99999,'FTE Detail'!$B$2:$B$99999,Bldg_Grade_Funding!$B30,'FTE Detail'!$P$2:$P$99999,Bldg_Grade_Funding!$C30,'FTE Detail'!$L$2:$L$99999,Bldg_Grade_Funding!D$5)</f>
        <v>256.062791</v>
      </c>
      <c r="E30" s="8">
        <f>SUMIFS('FTE Detail'!$O$2:$O$99999,'FTE Detail'!$B$2:$B$99999,Bldg_Grade_Funding!$B30,'FTE Detail'!$P$2:$P$99999,Bldg_Grade_Funding!$C30,'FTE Detail'!$L$2:$L$99999,Bldg_Grade_Funding!E$5)</f>
        <v>0</v>
      </c>
      <c r="F30" s="8">
        <f>SUMIFS('FTE Detail'!$O$2:$O$99999,'FTE Detail'!$B$2:$B$99999,Bldg_Grade_Funding!$B30,'FTE Detail'!$P$2:$P$99999,Bldg_Grade_Funding!$C30,'FTE Detail'!$L$2:$L$99999,Bldg_Grade_Funding!F$5)</f>
        <v>0</v>
      </c>
      <c r="G30" s="8">
        <f>SUMIFS('FTE Detail'!$O$2:$O$99999,'FTE Detail'!$B$2:$B$99999,Bldg_Grade_Funding!$B30,'FTE Detail'!$P$2:$P$99999,Bldg_Grade_Funding!$C30,'FTE Detail'!$L$2:$L$99999,Bldg_Grade_Funding!G$5)</f>
        <v>0</v>
      </c>
      <c r="H30" s="8">
        <f>SUMIFS('FTE Detail'!$O$2:$O$99999,'FTE Detail'!$B$2:$B$99999,Bldg_Grade_Funding!$B30,'FTE Detail'!$P$2:$P$99999,Bldg_Grade_Funding!$C30,'FTE Detail'!$L$2:$L$99999,Bldg_Grade_Funding!H$5)</f>
        <v>0</v>
      </c>
      <c r="I30" s="8">
        <f>SUMIFS('FTE Detail'!$O$2:$O$99999,'FTE Detail'!$B$2:$B$99999,Bldg_Grade_Funding!$B30,'FTE Detail'!$P$2:$P$99999,Bldg_Grade_Funding!$C30,'FTE Detail'!$L$2:$L$99999,Bldg_Grade_Funding!I$5)</f>
        <v>0.64640900000000001</v>
      </c>
      <c r="J30" s="8">
        <f>SUMIFS('FTE Detail'!$O$2:$O$99999,'FTE Detail'!$B$2:$B$99999,Bldg_Grade_Funding!$B30,'FTE Detail'!$P$2:$P$99999,Bldg_Grade_Funding!$C30,'FTE Detail'!$L$2:$L$99999,Bldg_Grade_Funding!J$5)</f>
        <v>1</v>
      </c>
      <c r="K30" s="8">
        <f>SUMIFS('FTE Detail'!$O$2:$O$99999,'FTE Detail'!$B$2:$B$99999,Bldg_Grade_Funding!$B30,'FTE Detail'!$P$2:$P$99999,Bldg_Grade_Funding!$C30,'FTE Detail'!$L$2:$L$99999,Bldg_Grade_Funding!K$5,'FTE Detail'!$V$2:$V$99999,"FULL")</f>
        <v>0</v>
      </c>
      <c r="L30" s="8">
        <f>SUMIFS('FTE Detail'!$O$2:$O$99999,'FTE Detail'!$B$2:$B$99999,Bldg_Grade_Funding!$B30,'FTE Detail'!$P$2:$P$99999,Bldg_Grade_Funding!$C30,'FTE Detail'!$L$2:$L$99999,Bldg_Grade_Funding!L$5,'FTE Detail'!$V$2:$V$99999,"FULL")</f>
        <v>16.821718000000001</v>
      </c>
      <c r="M30" s="8">
        <f>SUMIFS('FTE Detail'!$O$2:$O$99999,'FTE Detail'!$B$2:$B$99999,Bldg_Grade_Funding!$B30,'FTE Detail'!$P$2:$P$99999,Bldg_Grade_Funding!$C30,'FTE Detail'!$L$2:$L$99999,Bldg_Grade_Funding!M$5,'FTE Detail'!$V$2:$V$99999,"PART")</f>
        <v>0</v>
      </c>
      <c r="N30" s="8">
        <f>SUMIFS('FTE Detail'!$O$2:$O$99999,'FTE Detail'!$B$2:$B$99999,Bldg_Grade_Funding!$B30,'FTE Detail'!$P$2:$P$99999,Bldg_Grade_Funding!$C30,'FTE Detail'!$L$2:$L$99999,Bldg_Grade_Funding!N$5,'FTE Detail'!$V$2:$V$99999,"PART")</f>
        <v>0</v>
      </c>
      <c r="O30" s="8">
        <f>SUMIFS('FTE Detail'!$O$2:$O$99999,'FTE Detail'!$B$2:$B$99999,Bldg_Grade_Funding!$B30,'FTE Detail'!$P$2:$P$99999,Bldg_Grade_Funding!$C30,'FTE Detail'!$L$2:$L$99999,Bldg_Grade_Funding!O$5,'FTE Detail'!$V$2:$V$99999,"FULL")</f>
        <v>0</v>
      </c>
      <c r="P30" s="8">
        <f>SUM(D30:O30)</f>
        <v>274.53091799999999</v>
      </c>
      <c r="R30" s="8"/>
    </row>
    <row r="31" spans="1:18" x14ac:dyDescent="0.3">
      <c r="A31" s="5"/>
      <c r="B31" s="5">
        <v>4796</v>
      </c>
      <c r="C31" s="5">
        <v>11</v>
      </c>
      <c r="D31" s="8">
        <f>SUMIFS('FTE Detail'!$O$2:$O$99999,'FTE Detail'!$B$2:$B$99999,Bldg_Grade_Funding!$B31,'FTE Detail'!$P$2:$P$99999,Bldg_Grade_Funding!$C31,'FTE Detail'!$L$2:$L$99999,Bldg_Grade_Funding!D$5)</f>
        <v>226.6114</v>
      </c>
      <c r="E31" s="8">
        <f>SUMIFS('FTE Detail'!$O$2:$O$99999,'FTE Detail'!$B$2:$B$99999,Bldg_Grade_Funding!$B31,'FTE Detail'!$P$2:$P$99999,Bldg_Grade_Funding!$C31,'FTE Detail'!$L$2:$L$99999,Bldg_Grade_Funding!E$5)</f>
        <v>0</v>
      </c>
      <c r="F31" s="8">
        <f>SUMIFS('FTE Detail'!$O$2:$O$99999,'FTE Detail'!$B$2:$B$99999,Bldg_Grade_Funding!$B31,'FTE Detail'!$P$2:$P$99999,Bldg_Grade_Funding!$C31,'FTE Detail'!$L$2:$L$99999,Bldg_Grade_Funding!F$5)</f>
        <v>0</v>
      </c>
      <c r="G31" s="8">
        <f>SUMIFS('FTE Detail'!$O$2:$O$99999,'FTE Detail'!$B$2:$B$99999,Bldg_Grade_Funding!$B31,'FTE Detail'!$P$2:$P$99999,Bldg_Grade_Funding!$C31,'FTE Detail'!$L$2:$L$99999,Bldg_Grade_Funding!G$5)</f>
        <v>0</v>
      </c>
      <c r="H31" s="8">
        <f>SUMIFS('FTE Detail'!$O$2:$O$99999,'FTE Detail'!$B$2:$B$99999,Bldg_Grade_Funding!$B31,'FTE Detail'!$P$2:$P$99999,Bldg_Grade_Funding!$C31,'FTE Detail'!$L$2:$L$99999,Bldg_Grade_Funding!H$5)</f>
        <v>0</v>
      </c>
      <c r="I31" s="8">
        <f>SUMIFS('FTE Detail'!$O$2:$O$99999,'FTE Detail'!$B$2:$B$99999,Bldg_Grade_Funding!$B31,'FTE Detail'!$P$2:$P$99999,Bldg_Grade_Funding!$C31,'FTE Detail'!$L$2:$L$99999,Bldg_Grade_Funding!I$5)</f>
        <v>1.5856349999999999</v>
      </c>
      <c r="J31" s="8">
        <f>SUMIFS('FTE Detail'!$O$2:$O$99999,'FTE Detail'!$B$2:$B$99999,Bldg_Grade_Funding!$B31,'FTE Detail'!$P$2:$P$99999,Bldg_Grade_Funding!$C31,'FTE Detail'!$L$2:$L$99999,Bldg_Grade_Funding!J$5)</f>
        <v>0</v>
      </c>
      <c r="K31" s="8">
        <f>SUMIFS('FTE Detail'!$O$2:$O$99999,'FTE Detail'!$B$2:$B$99999,Bldg_Grade_Funding!$B31,'FTE Detail'!$P$2:$P$99999,Bldg_Grade_Funding!$C31,'FTE Detail'!$L$2:$L$99999,Bldg_Grade_Funding!K$5,'FTE Detail'!$V$2:$V$99999,"FULL")</f>
        <v>0</v>
      </c>
      <c r="L31" s="8">
        <f>SUMIFS('FTE Detail'!$O$2:$O$99999,'FTE Detail'!$B$2:$B$99999,Bldg_Grade_Funding!$B31,'FTE Detail'!$P$2:$P$99999,Bldg_Grade_Funding!$C31,'FTE Detail'!$L$2:$L$99999,Bldg_Grade_Funding!L$5,'FTE Detail'!$V$2:$V$99999,"FULL")</f>
        <v>8.4063680000000005</v>
      </c>
      <c r="M31" s="8">
        <f>SUMIFS('FTE Detail'!$O$2:$O$99999,'FTE Detail'!$B$2:$B$99999,Bldg_Grade_Funding!$B31,'FTE Detail'!$P$2:$P$99999,Bldg_Grade_Funding!$C31,'FTE Detail'!$L$2:$L$99999,Bldg_Grade_Funding!M$5,'FTE Detail'!$V$2:$V$99999,"PART")</f>
        <v>1</v>
      </c>
      <c r="N31" s="8">
        <f>SUMIFS('FTE Detail'!$O$2:$O$99999,'FTE Detail'!$B$2:$B$99999,Bldg_Grade_Funding!$B31,'FTE Detail'!$P$2:$P$99999,Bldg_Grade_Funding!$C31,'FTE Detail'!$L$2:$L$99999,Bldg_Grade_Funding!N$5,'FTE Detail'!$V$2:$V$99999,"PART")</f>
        <v>0</v>
      </c>
      <c r="O31" s="8">
        <f>SUMIFS('FTE Detail'!$O$2:$O$99999,'FTE Detail'!$B$2:$B$99999,Bldg_Grade_Funding!$B31,'FTE Detail'!$P$2:$P$99999,Bldg_Grade_Funding!$C31,'FTE Detail'!$L$2:$L$99999,Bldg_Grade_Funding!O$5,'FTE Detail'!$V$2:$V$99999,"FULL")</f>
        <v>0.59363200000000005</v>
      </c>
      <c r="P31" s="8">
        <f t="shared" ref="P31:P49" si="5">SUM(D31:O31)</f>
        <v>238.19703500000003</v>
      </c>
      <c r="R31" s="14"/>
    </row>
    <row r="32" spans="1:18" x14ac:dyDescent="0.3">
      <c r="A32" s="5"/>
      <c r="B32" s="5">
        <v>4796</v>
      </c>
      <c r="C32" s="5">
        <v>12</v>
      </c>
      <c r="D32" s="8">
        <f>SUMIFS('FTE Detail'!$O$2:$O$99999,'FTE Detail'!$B$2:$B$99999,Bldg_Grade_Funding!$B32,'FTE Detail'!$P$2:$P$99999,Bldg_Grade_Funding!$C32,'FTE Detail'!$L$2:$L$99999,Bldg_Grade_Funding!D$5)</f>
        <v>209.055959</v>
      </c>
      <c r="E32" s="8">
        <f>SUMIFS('FTE Detail'!$O$2:$O$99999,'FTE Detail'!$B$2:$B$99999,Bldg_Grade_Funding!$B32,'FTE Detail'!$P$2:$P$99999,Bldg_Grade_Funding!$C32,'FTE Detail'!$L$2:$L$99999,Bldg_Grade_Funding!E$5)</f>
        <v>0</v>
      </c>
      <c r="F32" s="8">
        <f>SUMIFS('FTE Detail'!$O$2:$O$99999,'FTE Detail'!$B$2:$B$99999,Bldg_Grade_Funding!$B32,'FTE Detail'!$P$2:$P$99999,Bldg_Grade_Funding!$C32,'FTE Detail'!$L$2:$L$99999,Bldg_Grade_Funding!F$5)</f>
        <v>0</v>
      </c>
      <c r="G32" s="8">
        <f>SUMIFS('FTE Detail'!$O$2:$O$99999,'FTE Detail'!$B$2:$B$99999,Bldg_Grade_Funding!$B32,'FTE Detail'!$P$2:$P$99999,Bldg_Grade_Funding!$C32,'FTE Detail'!$L$2:$L$99999,Bldg_Grade_Funding!G$5)</f>
        <v>0</v>
      </c>
      <c r="H32" s="8">
        <f>SUMIFS('FTE Detail'!$O$2:$O$99999,'FTE Detail'!$B$2:$B$99999,Bldg_Grade_Funding!$B32,'FTE Detail'!$P$2:$P$99999,Bldg_Grade_Funding!$C32,'FTE Detail'!$L$2:$L$99999,Bldg_Grade_Funding!H$5)</f>
        <v>0</v>
      </c>
      <c r="I32" s="8">
        <f>SUMIFS('FTE Detail'!$O$2:$O$99999,'FTE Detail'!$B$2:$B$99999,Bldg_Grade_Funding!$B32,'FTE Detail'!$P$2:$P$99999,Bldg_Grade_Funding!$C32,'FTE Detail'!$L$2:$L$99999,Bldg_Grade_Funding!I$5)</f>
        <v>1</v>
      </c>
      <c r="J32" s="8">
        <f>SUMIFS('FTE Detail'!$O$2:$O$99999,'FTE Detail'!$B$2:$B$99999,Bldg_Grade_Funding!$B32,'FTE Detail'!$P$2:$P$99999,Bldg_Grade_Funding!$C32,'FTE Detail'!$L$2:$L$99999,Bldg_Grade_Funding!J$5)</f>
        <v>0</v>
      </c>
      <c r="K32" s="8">
        <f>SUMIFS('FTE Detail'!$O$2:$O$99999,'FTE Detail'!$B$2:$B$99999,Bldg_Grade_Funding!$B32,'FTE Detail'!$P$2:$P$99999,Bldg_Grade_Funding!$C32,'FTE Detail'!$L$2:$L$99999,Bldg_Grade_Funding!K$5,'FTE Detail'!$V$2:$V$99999,"FULL")</f>
        <v>0</v>
      </c>
      <c r="L32" s="8">
        <f>SUMIFS('FTE Detail'!$O$2:$O$99999,'FTE Detail'!$B$2:$B$99999,Bldg_Grade_Funding!$B32,'FTE Detail'!$P$2:$P$99999,Bldg_Grade_Funding!$C32,'FTE Detail'!$L$2:$L$99999,Bldg_Grade_Funding!L$5,'FTE Detail'!$V$2:$V$99999,"FULL")</f>
        <v>15.729804</v>
      </c>
      <c r="M32" s="8">
        <f>SUMIFS('FTE Detail'!$O$2:$O$99999,'FTE Detail'!$B$2:$B$99999,Bldg_Grade_Funding!$B32,'FTE Detail'!$P$2:$P$99999,Bldg_Grade_Funding!$C32,'FTE Detail'!$L$2:$L$99999,Bldg_Grade_Funding!M$5,'FTE Detail'!$V$2:$V$99999,"PART")</f>
        <v>4</v>
      </c>
      <c r="N32" s="8">
        <f>SUMIFS('FTE Detail'!$O$2:$O$99999,'FTE Detail'!$B$2:$B$99999,Bldg_Grade_Funding!$B32,'FTE Detail'!$P$2:$P$99999,Bldg_Grade_Funding!$C32,'FTE Detail'!$L$2:$L$99999,Bldg_Grade_Funding!N$5,'FTE Detail'!$V$2:$V$99999,"PART")</f>
        <v>0</v>
      </c>
      <c r="O32" s="8">
        <f>SUMIFS('FTE Detail'!$O$2:$O$99999,'FTE Detail'!$B$2:$B$99999,Bldg_Grade_Funding!$B32,'FTE Detail'!$P$2:$P$99999,Bldg_Grade_Funding!$C32,'FTE Detail'!$L$2:$L$99999,Bldg_Grade_Funding!O$5,'FTE Detail'!$V$2:$V$99999,"FULL")</f>
        <v>0</v>
      </c>
      <c r="P32" s="8">
        <f t="shared" si="5"/>
        <v>229.785763</v>
      </c>
      <c r="R32" s="28"/>
    </row>
    <row r="33" spans="1:18" x14ac:dyDescent="0.3">
      <c r="A33" s="5"/>
      <c r="B33" s="5">
        <v>4796</v>
      </c>
      <c r="C33" s="5">
        <v>23</v>
      </c>
      <c r="D33" s="8">
        <f>SUMIFS('FTE Detail'!$O$2:$O$99999,'FTE Detail'!$B$2:$B$99999,Bldg_Grade_Funding!$B33,'FTE Detail'!$P$2:$P$99999,Bldg_Grade_Funding!$C33,'FTE Detail'!$L$2:$L$99999,Bldg_Grade_Funding!D$5)</f>
        <v>8.7092290000000006</v>
      </c>
      <c r="E33" s="8">
        <f>SUMIFS('FTE Detail'!$O$2:$O$99999,'FTE Detail'!$B$2:$B$99999,Bldg_Grade_Funding!$B33,'FTE Detail'!$P$2:$P$99999,Bldg_Grade_Funding!$C33,'FTE Detail'!$L$2:$L$99999,Bldg_Grade_Funding!E$5)</f>
        <v>0</v>
      </c>
      <c r="F33" s="8">
        <f>SUMIFS('FTE Detail'!$O$2:$O$99999,'FTE Detail'!$B$2:$B$99999,Bldg_Grade_Funding!$B33,'FTE Detail'!$P$2:$P$99999,Bldg_Grade_Funding!$C33,'FTE Detail'!$L$2:$L$99999,Bldg_Grade_Funding!F$5)</f>
        <v>0</v>
      </c>
      <c r="G33" s="8">
        <f>SUMIFS('FTE Detail'!$O$2:$O$99999,'FTE Detail'!$B$2:$B$99999,Bldg_Grade_Funding!$B33,'FTE Detail'!$P$2:$P$99999,Bldg_Grade_Funding!$C33,'FTE Detail'!$L$2:$L$99999,Bldg_Grade_Funding!G$5)</f>
        <v>0</v>
      </c>
      <c r="H33" s="8">
        <f>SUMIFS('FTE Detail'!$O$2:$O$99999,'FTE Detail'!$B$2:$B$99999,Bldg_Grade_Funding!$B33,'FTE Detail'!$P$2:$P$99999,Bldg_Grade_Funding!$C33,'FTE Detail'!$L$2:$L$99999,Bldg_Grade_Funding!H$5)</f>
        <v>0</v>
      </c>
      <c r="I33" s="8">
        <f>SUMIFS('FTE Detail'!$O$2:$O$99999,'FTE Detail'!$B$2:$B$99999,Bldg_Grade_Funding!$B33,'FTE Detail'!$P$2:$P$99999,Bldg_Grade_Funding!$C33,'FTE Detail'!$L$2:$L$99999,Bldg_Grade_Funding!I$5)</f>
        <v>0</v>
      </c>
      <c r="J33" s="8">
        <f>SUMIFS('FTE Detail'!$O$2:$O$99999,'FTE Detail'!$B$2:$B$99999,Bldg_Grade_Funding!$B33,'FTE Detail'!$P$2:$P$99999,Bldg_Grade_Funding!$C33,'FTE Detail'!$L$2:$L$99999,Bldg_Grade_Funding!J$5)</f>
        <v>0</v>
      </c>
      <c r="K33" s="8">
        <f>SUMIFS('FTE Detail'!$O$2:$O$99999,'FTE Detail'!$B$2:$B$99999,Bldg_Grade_Funding!$B33,'FTE Detail'!$P$2:$P$99999,Bldg_Grade_Funding!$C33,'FTE Detail'!$L$2:$L$99999,Bldg_Grade_Funding!K$5,'FTE Detail'!$V$2:$V$99999,"FULL")</f>
        <v>0</v>
      </c>
      <c r="L33" s="8">
        <f>SUMIFS('FTE Detail'!$O$2:$O$99999,'FTE Detail'!$B$2:$B$99999,Bldg_Grade_Funding!$B33,'FTE Detail'!$P$2:$P$99999,Bldg_Grade_Funding!$C33,'FTE Detail'!$L$2:$L$99999,Bldg_Grade_Funding!L$5,'FTE Detail'!$V$2:$V$99999,"FULL")</f>
        <v>0</v>
      </c>
      <c r="M33" s="8">
        <f>SUMIFS('FTE Detail'!$O$2:$O$99999,'FTE Detail'!$B$2:$B$99999,Bldg_Grade_Funding!$B33,'FTE Detail'!$P$2:$P$99999,Bldg_Grade_Funding!$C33,'FTE Detail'!$L$2:$L$99999,Bldg_Grade_Funding!M$5,'FTE Detail'!$V$2:$V$99999,"PART")</f>
        <v>0.19545499999999999</v>
      </c>
      <c r="N33" s="8">
        <f>SUMIFS('FTE Detail'!$O$2:$O$99999,'FTE Detail'!$B$2:$B$99999,Bldg_Grade_Funding!$B33,'FTE Detail'!$P$2:$P$99999,Bldg_Grade_Funding!$C33,'FTE Detail'!$L$2:$L$99999,Bldg_Grade_Funding!N$5,'FTE Detail'!$V$2:$V$99999,"PART")</f>
        <v>0</v>
      </c>
      <c r="O33" s="8">
        <f>SUMIFS('FTE Detail'!$O$2:$O$99999,'FTE Detail'!$B$2:$B$99999,Bldg_Grade_Funding!$B33,'FTE Detail'!$P$2:$P$99999,Bldg_Grade_Funding!$C33,'FTE Detail'!$L$2:$L$99999,Bldg_Grade_Funding!O$5,'FTE Detail'!$V$2:$V$99999,"FULL")</f>
        <v>0</v>
      </c>
      <c r="P33" s="8">
        <f t="shared" si="5"/>
        <v>8.9046840000000014</v>
      </c>
      <c r="R33" s="28"/>
    </row>
    <row r="34" spans="1:18" x14ac:dyDescent="0.3">
      <c r="A34" s="5"/>
      <c r="B34" s="12"/>
      <c r="C34" s="14"/>
      <c r="D34" s="14"/>
      <c r="E34" s="14"/>
      <c r="F34" s="14"/>
      <c r="G34" s="14"/>
      <c r="H34" s="14"/>
      <c r="I34" s="14"/>
      <c r="J34" s="14"/>
      <c r="K34" s="14"/>
      <c r="L34" s="14"/>
      <c r="M34" s="14"/>
      <c r="N34" s="14"/>
      <c r="O34" s="14"/>
      <c r="Q34" s="3">
        <f>SUM(P30:P33)</f>
        <v>751.41840000000002</v>
      </c>
      <c r="R34" s="8"/>
    </row>
    <row r="35" spans="1:18" x14ac:dyDescent="0.3">
      <c r="A35" s="5"/>
      <c r="C35" s="62"/>
      <c r="D35" s="8"/>
      <c r="E35" s="8"/>
      <c r="F35" s="8"/>
      <c r="G35" s="8"/>
      <c r="H35" s="8"/>
      <c r="I35" s="8"/>
      <c r="J35" s="8"/>
      <c r="K35" s="8"/>
      <c r="L35" s="8"/>
      <c r="M35" s="8"/>
      <c r="N35" s="8"/>
      <c r="O35" s="8"/>
      <c r="P35" s="8"/>
      <c r="Q35" s="3"/>
      <c r="R35" s="8"/>
    </row>
    <row r="36" spans="1:18" x14ac:dyDescent="0.3">
      <c r="A36" s="5"/>
      <c r="B36" t="s">
        <v>831</v>
      </c>
      <c r="C36" s="62" t="s">
        <v>764</v>
      </c>
      <c r="D36" s="8">
        <f>SUMIFS('FTE Detail'!$O$2:$O$99999,'FTE Detail'!$B$2:$B$99999,Bldg_Grade_Funding!$B36,'FTE Detail'!$P$2:$P$99999,Bldg_Grade_Funding!$C36,'FTE Detail'!$L$2:$L$99999,Bldg_Grade_Funding!D$5)</f>
        <v>2</v>
      </c>
      <c r="E36" s="8">
        <f>SUMIFS('FTE Detail'!$O$2:$O$99999,'FTE Detail'!$B$2:$B$99999,Bldg_Grade_Funding!$B36,'FTE Detail'!$P$2:$P$99999,Bldg_Grade_Funding!$C36,'FTE Detail'!$L$2:$L$99999,Bldg_Grade_Funding!E$5)</f>
        <v>0</v>
      </c>
      <c r="F36" s="8">
        <f>SUMIFS('FTE Detail'!$O$2:$O$99999,'FTE Detail'!$B$2:$B$99999,Bldg_Grade_Funding!$B36,'FTE Detail'!$P$2:$P$99999,Bldg_Grade_Funding!$C36,'FTE Detail'!$L$2:$L$99999,Bldg_Grade_Funding!F$5)</f>
        <v>0</v>
      </c>
      <c r="G36" s="8">
        <f>SUMIFS('FTE Detail'!$O$2:$O$99999,'FTE Detail'!$B$2:$B$99999,Bldg_Grade_Funding!$B36,'FTE Detail'!$P$2:$P$99999,Bldg_Grade_Funding!$C36,'FTE Detail'!$L$2:$L$99999,Bldg_Grade_Funding!G$5)</f>
        <v>0</v>
      </c>
      <c r="H36" s="8">
        <f>SUMIFS('FTE Detail'!$O$2:$O$99999,'FTE Detail'!$B$2:$B$99999,Bldg_Grade_Funding!$B36,'FTE Detail'!$P$2:$P$99999,Bldg_Grade_Funding!$C36,'FTE Detail'!$L$2:$L$99999,Bldg_Grade_Funding!H$5)</f>
        <v>0</v>
      </c>
      <c r="I36" s="8">
        <f>SUMIFS('FTE Detail'!$O$2:$O$99999,'FTE Detail'!$B$2:$B$99999,Bldg_Grade_Funding!$B36,'FTE Detail'!$P$2:$P$99999,Bldg_Grade_Funding!$C36,'FTE Detail'!$L$2:$L$99999,Bldg_Grade_Funding!I$5)</f>
        <v>0</v>
      </c>
      <c r="J36" s="8">
        <f>SUMIFS('FTE Detail'!$O$2:$O$99999,'FTE Detail'!$B$2:$B$99999,Bldg_Grade_Funding!$B36,'FTE Detail'!$P$2:$P$99999,Bldg_Grade_Funding!$C36,'FTE Detail'!$L$2:$L$99999,Bldg_Grade_Funding!J$5)</f>
        <v>0</v>
      </c>
      <c r="K36" s="8">
        <f>SUMIFS('FTE Detail'!$O$2:$O$99999,'FTE Detail'!$B$2:$B$99999,Bldg_Grade_Funding!$B36,'FTE Detail'!$P$2:$P$99999,Bldg_Grade_Funding!$C36,'FTE Detail'!$L$2:$L$99999,Bldg_Grade_Funding!K$5)</f>
        <v>0</v>
      </c>
      <c r="L36" s="8">
        <f>SUMIFS('FTE Detail'!$O$2:$O$99999,'FTE Detail'!$B$2:$B$99999,Bldg_Grade_Funding!$B36,'FTE Detail'!$P$2:$P$99999,Bldg_Grade_Funding!$C36,'FTE Detail'!$L$2:$L$99999,Bldg_Grade_Funding!L$5)</f>
        <v>1</v>
      </c>
      <c r="M36" s="8">
        <f>SUMIFS('FTE Detail'!$O$2:$O$99999,'FTE Detail'!$B$2:$B$99999,Bldg_Grade_Funding!$B36,'FTE Detail'!$P$2:$P$99999,Bldg_Grade_Funding!$C36,'FTE Detail'!$L$2:$L$99999,Bldg_Grade_Funding!M$5)</f>
        <v>0</v>
      </c>
      <c r="N36" s="8">
        <f>SUMIFS('FTE Detail'!$O$2:$O$99999,'FTE Detail'!$B$2:$B$99999,Bldg_Grade_Funding!$B36,'FTE Detail'!$P$2:$P$99999,Bldg_Grade_Funding!$C36,'FTE Detail'!$L$2:$L$99999,Bldg_Grade_Funding!N$5)</f>
        <v>0</v>
      </c>
      <c r="O36" s="8">
        <f>SUMIFS('FTE Detail'!$O$2:$O$99999,'FTE Detail'!$B$2:$B$99999,Bldg_Grade_Funding!$B36,'FTE Detail'!$P$2:$P$99999,Bldg_Grade_Funding!$C36,'FTE Detail'!$L$2:$L$99999,Bldg_Grade_Funding!O$5)</f>
        <v>0</v>
      </c>
      <c r="P36" s="8">
        <f t="shared" si="5"/>
        <v>3</v>
      </c>
      <c r="Q36" s="3"/>
      <c r="R36" s="8"/>
    </row>
    <row r="37" spans="1:18" x14ac:dyDescent="0.3">
      <c r="A37" s="5"/>
      <c r="B37" t="s">
        <v>831</v>
      </c>
      <c r="C37" s="62">
        <v>1</v>
      </c>
      <c r="D37" s="8">
        <f>SUMIFS('FTE Detail'!$O$2:$O$99999,'FTE Detail'!$B$2:$B$99999,Bldg_Grade_Funding!$B37,'FTE Detail'!$P$2:$P$99999,Bldg_Grade_Funding!$C37,'FTE Detail'!$L$2:$L$99999,Bldg_Grade_Funding!D$5)</f>
        <v>1</v>
      </c>
      <c r="E37" s="8">
        <f>SUMIFS('FTE Detail'!$O$2:$O$99999,'FTE Detail'!$B$2:$B$99999,Bldg_Grade_Funding!$B37,'FTE Detail'!$P$2:$P$99999,Bldg_Grade_Funding!$C37,'FTE Detail'!$L$2:$L$99999,Bldg_Grade_Funding!E$5)</f>
        <v>0</v>
      </c>
      <c r="F37" s="8">
        <f>SUMIFS('FTE Detail'!$O$2:$O$99999,'FTE Detail'!$B$2:$B$99999,Bldg_Grade_Funding!$B37,'FTE Detail'!$P$2:$P$99999,Bldg_Grade_Funding!$C37,'FTE Detail'!$L$2:$L$99999,Bldg_Grade_Funding!F$5)</f>
        <v>0</v>
      </c>
      <c r="G37" s="8">
        <f>SUMIFS('FTE Detail'!$O$2:$O$99999,'FTE Detail'!$B$2:$B$99999,Bldg_Grade_Funding!$B37,'FTE Detail'!$P$2:$P$99999,Bldg_Grade_Funding!$C37,'FTE Detail'!$L$2:$L$99999,Bldg_Grade_Funding!G$5)</f>
        <v>0</v>
      </c>
      <c r="H37" s="8">
        <f>SUMIFS('FTE Detail'!$O$2:$O$99999,'FTE Detail'!$B$2:$B$99999,Bldg_Grade_Funding!$B37,'FTE Detail'!$P$2:$P$99999,Bldg_Grade_Funding!$C37,'FTE Detail'!$L$2:$L$99999,Bldg_Grade_Funding!H$5)</f>
        <v>0</v>
      </c>
      <c r="I37" s="8">
        <f>SUMIFS('FTE Detail'!$O$2:$O$99999,'FTE Detail'!$B$2:$B$99999,Bldg_Grade_Funding!$B37,'FTE Detail'!$P$2:$P$99999,Bldg_Grade_Funding!$C37,'FTE Detail'!$L$2:$L$99999,Bldg_Grade_Funding!I$5)</f>
        <v>0</v>
      </c>
      <c r="J37" s="8">
        <f>SUMIFS('FTE Detail'!$O$2:$O$99999,'FTE Detail'!$B$2:$B$99999,Bldg_Grade_Funding!$B37,'FTE Detail'!$P$2:$P$99999,Bldg_Grade_Funding!$C37,'FTE Detail'!$L$2:$L$99999,Bldg_Grade_Funding!J$5)</f>
        <v>0</v>
      </c>
      <c r="K37" s="8">
        <f>SUMIFS('FTE Detail'!$O$2:$O$99999,'FTE Detail'!$B$2:$B$99999,Bldg_Grade_Funding!$B37,'FTE Detail'!$P$2:$P$99999,Bldg_Grade_Funding!$C37,'FTE Detail'!$L$2:$L$99999,Bldg_Grade_Funding!K$5)</f>
        <v>0</v>
      </c>
      <c r="L37" s="8">
        <f>SUMIFS('FTE Detail'!$O$2:$O$99999,'FTE Detail'!$B$2:$B$99999,Bldg_Grade_Funding!$B37,'FTE Detail'!$P$2:$P$99999,Bldg_Grade_Funding!$C37,'FTE Detail'!$L$2:$L$99999,Bldg_Grade_Funding!L$5)</f>
        <v>0</v>
      </c>
      <c r="M37" s="8">
        <f>SUMIFS('FTE Detail'!$O$2:$O$99999,'FTE Detail'!$B$2:$B$99999,Bldg_Grade_Funding!$B37,'FTE Detail'!$P$2:$P$99999,Bldg_Grade_Funding!$C37,'FTE Detail'!$L$2:$L$99999,Bldg_Grade_Funding!M$5)</f>
        <v>0</v>
      </c>
      <c r="N37" s="8">
        <f>SUMIFS('FTE Detail'!$O$2:$O$99999,'FTE Detail'!$B$2:$B$99999,Bldg_Grade_Funding!$B37,'FTE Detail'!$P$2:$P$99999,Bldg_Grade_Funding!$C37,'FTE Detail'!$L$2:$L$99999,Bldg_Grade_Funding!N$5)</f>
        <v>0</v>
      </c>
      <c r="O37" s="8">
        <f>SUMIFS('FTE Detail'!$O$2:$O$99999,'FTE Detail'!$B$2:$B$99999,Bldg_Grade_Funding!$B37,'FTE Detail'!$P$2:$P$99999,Bldg_Grade_Funding!$C37,'FTE Detail'!$L$2:$L$99999,Bldg_Grade_Funding!O$5)</f>
        <v>0</v>
      </c>
      <c r="P37" s="8">
        <f t="shared" si="5"/>
        <v>1</v>
      </c>
      <c r="Q37" s="3"/>
      <c r="R37" s="8"/>
    </row>
    <row r="38" spans="1:18" x14ac:dyDescent="0.3">
      <c r="A38" s="5"/>
      <c r="B38" t="s">
        <v>831</v>
      </c>
      <c r="C38" s="62">
        <v>2</v>
      </c>
      <c r="D38" s="8">
        <f>SUMIFS('FTE Detail'!$O$2:$O$99999,'FTE Detail'!$B$2:$B$99999,Bldg_Grade_Funding!$B38,'FTE Detail'!$P$2:$P$99999,Bldg_Grade_Funding!$C38,'FTE Detail'!$L$2:$L$99999,Bldg_Grade_Funding!D$5)</f>
        <v>0</v>
      </c>
      <c r="E38" s="8">
        <f>SUMIFS('FTE Detail'!$O$2:$O$99999,'FTE Detail'!$B$2:$B$99999,Bldg_Grade_Funding!$B38,'FTE Detail'!$P$2:$P$99999,Bldg_Grade_Funding!$C38,'FTE Detail'!$L$2:$L$99999,Bldg_Grade_Funding!E$5)</f>
        <v>0</v>
      </c>
      <c r="F38" s="8">
        <f>SUMIFS('FTE Detail'!$O$2:$O$99999,'FTE Detail'!$B$2:$B$99999,Bldg_Grade_Funding!$B38,'FTE Detail'!$P$2:$P$99999,Bldg_Grade_Funding!$C38,'FTE Detail'!$L$2:$L$99999,Bldg_Grade_Funding!F$5)</f>
        <v>0</v>
      </c>
      <c r="G38" s="8">
        <f>SUMIFS('FTE Detail'!$O$2:$O$99999,'FTE Detail'!$B$2:$B$99999,Bldg_Grade_Funding!$B38,'FTE Detail'!$P$2:$P$99999,Bldg_Grade_Funding!$C38,'FTE Detail'!$L$2:$L$99999,Bldg_Grade_Funding!G$5)</f>
        <v>0</v>
      </c>
      <c r="H38" s="8">
        <f>SUMIFS('FTE Detail'!$O$2:$O$99999,'FTE Detail'!$B$2:$B$99999,Bldg_Grade_Funding!$B38,'FTE Detail'!$P$2:$P$99999,Bldg_Grade_Funding!$C38,'FTE Detail'!$L$2:$L$99999,Bldg_Grade_Funding!H$5)</f>
        <v>0</v>
      </c>
      <c r="I38" s="8">
        <f>SUMIFS('FTE Detail'!$O$2:$O$99999,'FTE Detail'!$B$2:$B$99999,Bldg_Grade_Funding!$B38,'FTE Detail'!$P$2:$P$99999,Bldg_Grade_Funding!$C38,'FTE Detail'!$L$2:$L$99999,Bldg_Grade_Funding!I$5)</f>
        <v>0.52688199999999996</v>
      </c>
      <c r="J38" s="8">
        <f>SUMIFS('FTE Detail'!$O$2:$O$99999,'FTE Detail'!$B$2:$B$99999,Bldg_Grade_Funding!$B38,'FTE Detail'!$P$2:$P$99999,Bldg_Grade_Funding!$C38,'FTE Detail'!$L$2:$L$99999,Bldg_Grade_Funding!J$5)</f>
        <v>0</v>
      </c>
      <c r="K38" s="8">
        <f>SUMIFS('FTE Detail'!$O$2:$O$99999,'FTE Detail'!$B$2:$B$99999,Bldg_Grade_Funding!$B38,'FTE Detail'!$P$2:$P$99999,Bldg_Grade_Funding!$C38,'FTE Detail'!$L$2:$L$99999,Bldg_Grade_Funding!K$5)</f>
        <v>0</v>
      </c>
      <c r="L38" s="8">
        <f>SUMIFS('FTE Detail'!$O$2:$O$99999,'FTE Detail'!$B$2:$B$99999,Bldg_Grade_Funding!$B38,'FTE Detail'!$P$2:$P$99999,Bldg_Grade_Funding!$C38,'FTE Detail'!$L$2:$L$99999,Bldg_Grade_Funding!L$5)</f>
        <v>0</v>
      </c>
      <c r="M38" s="8">
        <f>SUMIFS('FTE Detail'!$O$2:$O$99999,'FTE Detail'!$B$2:$B$99999,Bldg_Grade_Funding!$B38,'FTE Detail'!$P$2:$P$99999,Bldg_Grade_Funding!$C38,'FTE Detail'!$L$2:$L$99999,Bldg_Grade_Funding!M$5)</f>
        <v>0</v>
      </c>
      <c r="N38" s="8">
        <f>SUMIFS('FTE Detail'!$O$2:$O$99999,'FTE Detail'!$B$2:$B$99999,Bldg_Grade_Funding!$B38,'FTE Detail'!$P$2:$P$99999,Bldg_Grade_Funding!$C38,'FTE Detail'!$L$2:$L$99999,Bldg_Grade_Funding!N$5)</f>
        <v>0</v>
      </c>
      <c r="O38" s="8">
        <f>SUMIFS('FTE Detail'!$O$2:$O$99999,'FTE Detail'!$B$2:$B$99999,Bldg_Grade_Funding!$B38,'FTE Detail'!$P$2:$P$99999,Bldg_Grade_Funding!$C38,'FTE Detail'!$L$2:$L$99999,Bldg_Grade_Funding!O$5)</f>
        <v>0</v>
      </c>
      <c r="P38" s="8">
        <f t="shared" si="5"/>
        <v>0.52688199999999996</v>
      </c>
      <c r="Q38" s="3"/>
      <c r="R38" s="8"/>
    </row>
    <row r="39" spans="1:18" x14ac:dyDescent="0.3">
      <c r="A39" s="5"/>
      <c r="B39" t="s">
        <v>831</v>
      </c>
      <c r="C39" s="62">
        <v>3</v>
      </c>
      <c r="D39" s="8">
        <f>SUMIFS('FTE Detail'!$O$2:$O$99999,'FTE Detail'!$B$2:$B$99999,Bldg_Grade_Funding!$B39,'FTE Detail'!$P$2:$P$99999,Bldg_Grade_Funding!$C39,'FTE Detail'!$L$2:$L$99999,Bldg_Grade_Funding!D$5)</f>
        <v>0</v>
      </c>
      <c r="E39" s="8">
        <f>SUMIFS('FTE Detail'!$O$2:$O$99999,'FTE Detail'!$B$2:$B$99999,Bldg_Grade_Funding!$B39,'FTE Detail'!$P$2:$P$99999,Bldg_Grade_Funding!$C39,'FTE Detail'!$L$2:$L$99999,Bldg_Grade_Funding!E$5)</f>
        <v>0</v>
      </c>
      <c r="F39" s="8">
        <f>SUMIFS('FTE Detail'!$O$2:$O$99999,'FTE Detail'!$B$2:$B$99999,Bldg_Grade_Funding!$B39,'FTE Detail'!$P$2:$P$99999,Bldg_Grade_Funding!$C39,'FTE Detail'!$L$2:$L$99999,Bldg_Grade_Funding!F$5)</f>
        <v>0</v>
      </c>
      <c r="G39" s="8">
        <f>SUMIFS('FTE Detail'!$O$2:$O$99999,'FTE Detail'!$B$2:$B$99999,Bldg_Grade_Funding!$B39,'FTE Detail'!$P$2:$P$99999,Bldg_Grade_Funding!$C39,'FTE Detail'!$L$2:$L$99999,Bldg_Grade_Funding!G$5)</f>
        <v>0</v>
      </c>
      <c r="H39" s="8">
        <f>SUMIFS('FTE Detail'!$O$2:$O$99999,'FTE Detail'!$B$2:$B$99999,Bldg_Grade_Funding!$B39,'FTE Detail'!$P$2:$P$99999,Bldg_Grade_Funding!$C39,'FTE Detail'!$L$2:$L$99999,Bldg_Grade_Funding!H$5)</f>
        <v>0</v>
      </c>
      <c r="I39" s="8">
        <f>SUMIFS('FTE Detail'!$O$2:$O$99999,'FTE Detail'!$B$2:$B$99999,Bldg_Grade_Funding!$B39,'FTE Detail'!$P$2:$P$99999,Bldg_Grade_Funding!$C39,'FTE Detail'!$L$2:$L$99999,Bldg_Grade_Funding!I$5)</f>
        <v>0</v>
      </c>
      <c r="J39" s="8">
        <f>SUMIFS('FTE Detail'!$O$2:$O$99999,'FTE Detail'!$B$2:$B$99999,Bldg_Grade_Funding!$B39,'FTE Detail'!$P$2:$P$99999,Bldg_Grade_Funding!$C39,'FTE Detail'!$L$2:$L$99999,Bldg_Grade_Funding!J$5)</f>
        <v>0</v>
      </c>
      <c r="K39" s="8">
        <f>SUMIFS('FTE Detail'!$O$2:$O$99999,'FTE Detail'!$B$2:$B$99999,Bldg_Grade_Funding!$B39,'FTE Detail'!$P$2:$P$99999,Bldg_Grade_Funding!$C39,'FTE Detail'!$L$2:$L$99999,Bldg_Grade_Funding!K$5)</f>
        <v>0</v>
      </c>
      <c r="L39" s="8">
        <f>SUMIFS('FTE Detail'!$O$2:$O$99999,'FTE Detail'!$B$2:$B$99999,Bldg_Grade_Funding!$B39,'FTE Detail'!$P$2:$P$99999,Bldg_Grade_Funding!$C39,'FTE Detail'!$L$2:$L$99999,Bldg_Grade_Funding!L$5)</f>
        <v>0</v>
      </c>
      <c r="M39" s="8">
        <f>SUMIFS('FTE Detail'!$O$2:$O$99999,'FTE Detail'!$B$2:$B$99999,Bldg_Grade_Funding!$B39,'FTE Detail'!$P$2:$P$99999,Bldg_Grade_Funding!$C39,'FTE Detail'!$L$2:$L$99999,Bldg_Grade_Funding!M$5)</f>
        <v>0</v>
      </c>
      <c r="N39" s="8">
        <f>SUMIFS('FTE Detail'!$O$2:$O$99999,'FTE Detail'!$B$2:$B$99999,Bldg_Grade_Funding!$B39,'FTE Detail'!$P$2:$P$99999,Bldg_Grade_Funding!$C39,'FTE Detail'!$L$2:$L$99999,Bldg_Grade_Funding!N$5)</f>
        <v>0</v>
      </c>
      <c r="O39" s="8">
        <f>SUMIFS('FTE Detail'!$O$2:$O$99999,'FTE Detail'!$B$2:$B$99999,Bldg_Grade_Funding!$B39,'FTE Detail'!$P$2:$P$99999,Bldg_Grade_Funding!$C39,'FTE Detail'!$L$2:$L$99999,Bldg_Grade_Funding!O$5)</f>
        <v>0</v>
      </c>
      <c r="P39" s="8">
        <f t="shared" si="5"/>
        <v>0</v>
      </c>
      <c r="Q39" s="3"/>
      <c r="R39" s="8"/>
    </row>
    <row r="40" spans="1:18" x14ac:dyDescent="0.3">
      <c r="A40" s="5"/>
      <c r="B40" t="s">
        <v>831</v>
      </c>
      <c r="C40" s="62">
        <v>4</v>
      </c>
      <c r="D40" s="8">
        <f>SUMIFS('FTE Detail'!$O$2:$O$99999,'FTE Detail'!$B$2:$B$99999,Bldg_Grade_Funding!$B40,'FTE Detail'!$P$2:$P$99999,Bldg_Grade_Funding!$C40,'FTE Detail'!$L$2:$L$99999,Bldg_Grade_Funding!D$5)</f>
        <v>0</v>
      </c>
      <c r="E40" s="8">
        <f>SUMIFS('FTE Detail'!$O$2:$O$99999,'FTE Detail'!$B$2:$B$99999,Bldg_Grade_Funding!$B40,'FTE Detail'!$P$2:$P$99999,Bldg_Grade_Funding!$C40,'FTE Detail'!$L$2:$L$99999,Bldg_Grade_Funding!E$5)</f>
        <v>0</v>
      </c>
      <c r="F40" s="8">
        <f>SUMIFS('FTE Detail'!$O$2:$O$99999,'FTE Detail'!$B$2:$B$99999,Bldg_Grade_Funding!$B40,'FTE Detail'!$P$2:$P$99999,Bldg_Grade_Funding!$C40,'FTE Detail'!$L$2:$L$99999,Bldg_Grade_Funding!F$5)</f>
        <v>0</v>
      </c>
      <c r="G40" s="8">
        <f>SUMIFS('FTE Detail'!$O$2:$O$99999,'FTE Detail'!$B$2:$B$99999,Bldg_Grade_Funding!$B40,'FTE Detail'!$P$2:$P$99999,Bldg_Grade_Funding!$C40,'FTE Detail'!$L$2:$L$99999,Bldg_Grade_Funding!G$5)</f>
        <v>0</v>
      </c>
      <c r="H40" s="8">
        <f>SUMIFS('FTE Detail'!$O$2:$O$99999,'FTE Detail'!$B$2:$B$99999,Bldg_Grade_Funding!$B40,'FTE Detail'!$P$2:$P$99999,Bldg_Grade_Funding!$C40,'FTE Detail'!$L$2:$L$99999,Bldg_Grade_Funding!H$5)</f>
        <v>0</v>
      </c>
      <c r="I40" s="8">
        <f>SUMIFS('FTE Detail'!$O$2:$O$99999,'FTE Detail'!$B$2:$B$99999,Bldg_Grade_Funding!$B40,'FTE Detail'!$P$2:$P$99999,Bldg_Grade_Funding!$C40,'FTE Detail'!$L$2:$L$99999,Bldg_Grade_Funding!I$5)</f>
        <v>0</v>
      </c>
      <c r="J40" s="8">
        <f>SUMIFS('FTE Detail'!$O$2:$O$99999,'FTE Detail'!$B$2:$B$99999,Bldg_Grade_Funding!$B40,'FTE Detail'!$P$2:$P$99999,Bldg_Grade_Funding!$C40,'FTE Detail'!$L$2:$L$99999,Bldg_Grade_Funding!J$5)</f>
        <v>0</v>
      </c>
      <c r="K40" s="8">
        <f>SUMIFS('FTE Detail'!$O$2:$O$99999,'FTE Detail'!$B$2:$B$99999,Bldg_Grade_Funding!$B40,'FTE Detail'!$P$2:$P$99999,Bldg_Grade_Funding!$C40,'FTE Detail'!$L$2:$L$99999,Bldg_Grade_Funding!K$5)</f>
        <v>0</v>
      </c>
      <c r="L40" s="8">
        <f>SUMIFS('FTE Detail'!$O$2:$O$99999,'FTE Detail'!$B$2:$B$99999,Bldg_Grade_Funding!$B40,'FTE Detail'!$P$2:$P$99999,Bldg_Grade_Funding!$C40,'FTE Detail'!$L$2:$L$99999,Bldg_Grade_Funding!L$5)</f>
        <v>0</v>
      </c>
      <c r="M40" s="8">
        <f>SUMIFS('FTE Detail'!$O$2:$O$99999,'FTE Detail'!$B$2:$B$99999,Bldg_Grade_Funding!$B40,'FTE Detail'!$P$2:$P$99999,Bldg_Grade_Funding!$C40,'FTE Detail'!$L$2:$L$99999,Bldg_Grade_Funding!M$5)</f>
        <v>0</v>
      </c>
      <c r="N40" s="8">
        <f>SUMIFS('FTE Detail'!$O$2:$O$99999,'FTE Detail'!$B$2:$B$99999,Bldg_Grade_Funding!$B40,'FTE Detail'!$P$2:$P$99999,Bldg_Grade_Funding!$C40,'FTE Detail'!$L$2:$L$99999,Bldg_Grade_Funding!N$5)</f>
        <v>0</v>
      </c>
      <c r="O40" s="8">
        <f>SUMIFS('FTE Detail'!$O$2:$O$99999,'FTE Detail'!$B$2:$B$99999,Bldg_Grade_Funding!$B40,'FTE Detail'!$P$2:$P$99999,Bldg_Grade_Funding!$C40,'FTE Detail'!$L$2:$L$99999,Bldg_Grade_Funding!O$5)</f>
        <v>0</v>
      </c>
      <c r="P40" s="8">
        <f t="shared" si="5"/>
        <v>0</v>
      </c>
      <c r="Q40" s="3"/>
      <c r="R40" s="8"/>
    </row>
    <row r="41" spans="1:18" x14ac:dyDescent="0.3">
      <c r="A41" s="5"/>
      <c r="B41" t="s">
        <v>831</v>
      </c>
      <c r="C41" s="62">
        <v>5</v>
      </c>
      <c r="D41" s="8">
        <f>SUMIFS('FTE Detail'!$O$2:$O$99999,'FTE Detail'!$B$2:$B$99999,Bldg_Grade_Funding!$B41,'FTE Detail'!$P$2:$P$99999,Bldg_Grade_Funding!$C41,'FTE Detail'!$L$2:$L$99999,Bldg_Grade_Funding!D$5)</f>
        <v>0</v>
      </c>
      <c r="E41" s="8">
        <f>SUMIFS('FTE Detail'!$O$2:$O$99999,'FTE Detail'!$B$2:$B$99999,Bldg_Grade_Funding!$B41,'FTE Detail'!$P$2:$P$99999,Bldg_Grade_Funding!$C41,'FTE Detail'!$L$2:$L$99999,Bldg_Grade_Funding!E$5)</f>
        <v>0</v>
      </c>
      <c r="F41" s="8">
        <f>SUMIFS('FTE Detail'!$O$2:$O$99999,'FTE Detail'!$B$2:$B$99999,Bldg_Grade_Funding!$B41,'FTE Detail'!$P$2:$P$99999,Bldg_Grade_Funding!$C41,'FTE Detail'!$L$2:$L$99999,Bldg_Grade_Funding!F$5)</f>
        <v>0</v>
      </c>
      <c r="G41" s="8">
        <f>SUMIFS('FTE Detail'!$O$2:$O$99999,'FTE Detail'!$B$2:$B$99999,Bldg_Grade_Funding!$B41,'FTE Detail'!$P$2:$P$99999,Bldg_Grade_Funding!$C41,'FTE Detail'!$L$2:$L$99999,Bldg_Grade_Funding!G$5)</f>
        <v>0</v>
      </c>
      <c r="H41" s="8">
        <f>SUMIFS('FTE Detail'!$O$2:$O$99999,'FTE Detail'!$B$2:$B$99999,Bldg_Grade_Funding!$B41,'FTE Detail'!$P$2:$P$99999,Bldg_Grade_Funding!$C41,'FTE Detail'!$L$2:$L$99999,Bldg_Grade_Funding!H$5)</f>
        <v>0</v>
      </c>
      <c r="I41" s="8">
        <f>SUMIFS('FTE Detail'!$O$2:$O$99999,'FTE Detail'!$B$2:$B$99999,Bldg_Grade_Funding!$B41,'FTE Detail'!$P$2:$P$99999,Bldg_Grade_Funding!$C41,'FTE Detail'!$L$2:$L$99999,Bldg_Grade_Funding!I$5)</f>
        <v>0</v>
      </c>
      <c r="J41" s="8">
        <f>SUMIFS('FTE Detail'!$O$2:$O$99999,'FTE Detail'!$B$2:$B$99999,Bldg_Grade_Funding!$B41,'FTE Detail'!$P$2:$P$99999,Bldg_Grade_Funding!$C41,'FTE Detail'!$L$2:$L$99999,Bldg_Grade_Funding!J$5)</f>
        <v>0</v>
      </c>
      <c r="K41" s="8">
        <f>SUMIFS('FTE Detail'!$O$2:$O$99999,'FTE Detail'!$B$2:$B$99999,Bldg_Grade_Funding!$B41,'FTE Detail'!$P$2:$P$99999,Bldg_Grade_Funding!$C41,'FTE Detail'!$L$2:$L$99999,Bldg_Grade_Funding!K$5)</f>
        <v>0</v>
      </c>
      <c r="L41" s="8">
        <f>SUMIFS('FTE Detail'!$O$2:$O$99999,'FTE Detail'!$B$2:$B$99999,Bldg_Grade_Funding!$B41,'FTE Detail'!$P$2:$P$99999,Bldg_Grade_Funding!$C41,'FTE Detail'!$L$2:$L$99999,Bldg_Grade_Funding!L$5)</f>
        <v>0</v>
      </c>
      <c r="M41" s="8">
        <f>SUMIFS('FTE Detail'!$O$2:$O$99999,'FTE Detail'!$B$2:$B$99999,Bldg_Grade_Funding!$B41,'FTE Detail'!$P$2:$P$99999,Bldg_Grade_Funding!$C41,'FTE Detail'!$L$2:$L$99999,Bldg_Grade_Funding!M$5)</f>
        <v>0</v>
      </c>
      <c r="N41" s="8">
        <f>SUMIFS('FTE Detail'!$O$2:$O$99999,'FTE Detail'!$B$2:$B$99999,Bldg_Grade_Funding!$B41,'FTE Detail'!$P$2:$P$99999,Bldg_Grade_Funding!$C41,'FTE Detail'!$L$2:$L$99999,Bldg_Grade_Funding!N$5)</f>
        <v>0</v>
      </c>
      <c r="O41" s="8">
        <f>SUMIFS('FTE Detail'!$O$2:$O$99999,'FTE Detail'!$B$2:$B$99999,Bldg_Grade_Funding!$B41,'FTE Detail'!$P$2:$P$99999,Bldg_Grade_Funding!$C41,'FTE Detail'!$L$2:$L$99999,Bldg_Grade_Funding!O$5)</f>
        <v>0</v>
      </c>
      <c r="P41" s="8">
        <f t="shared" si="5"/>
        <v>0</v>
      </c>
      <c r="Q41" s="3"/>
      <c r="R41" s="8"/>
    </row>
    <row r="42" spans="1:18" x14ac:dyDescent="0.3">
      <c r="A42" s="5"/>
      <c r="B42" t="s">
        <v>831</v>
      </c>
      <c r="C42" s="62">
        <v>6</v>
      </c>
      <c r="D42" s="8">
        <f>SUMIFS('FTE Detail'!$O$2:$O$99999,'FTE Detail'!$B$2:$B$99999,Bldg_Grade_Funding!$B42,'FTE Detail'!$P$2:$P$99999,Bldg_Grade_Funding!$C42,'FTE Detail'!$L$2:$L$99999,Bldg_Grade_Funding!D$5)</f>
        <v>0</v>
      </c>
      <c r="E42" s="8">
        <f>SUMIFS('FTE Detail'!$O$2:$O$99999,'FTE Detail'!$B$2:$B$99999,Bldg_Grade_Funding!$B42,'FTE Detail'!$P$2:$P$99999,Bldg_Grade_Funding!$C42,'FTE Detail'!$L$2:$L$99999,Bldg_Grade_Funding!E$5)</f>
        <v>0</v>
      </c>
      <c r="F42" s="8">
        <f>SUMIFS('FTE Detail'!$O$2:$O$99999,'FTE Detail'!$B$2:$B$99999,Bldg_Grade_Funding!$B42,'FTE Detail'!$P$2:$P$99999,Bldg_Grade_Funding!$C42,'FTE Detail'!$L$2:$L$99999,Bldg_Grade_Funding!F$5)</f>
        <v>0</v>
      </c>
      <c r="G42" s="8">
        <f>SUMIFS('FTE Detail'!$O$2:$O$99999,'FTE Detail'!$B$2:$B$99999,Bldg_Grade_Funding!$B42,'FTE Detail'!$P$2:$P$99999,Bldg_Grade_Funding!$C42,'FTE Detail'!$L$2:$L$99999,Bldg_Grade_Funding!G$5)</f>
        <v>0</v>
      </c>
      <c r="H42" s="8">
        <f>SUMIFS('FTE Detail'!$O$2:$O$99999,'FTE Detail'!$B$2:$B$99999,Bldg_Grade_Funding!$B42,'FTE Detail'!$P$2:$P$99999,Bldg_Grade_Funding!$C42,'FTE Detail'!$L$2:$L$99999,Bldg_Grade_Funding!H$5)</f>
        <v>0</v>
      </c>
      <c r="I42" s="8">
        <f>SUMIFS('FTE Detail'!$O$2:$O$99999,'FTE Detail'!$B$2:$B$99999,Bldg_Grade_Funding!$B42,'FTE Detail'!$P$2:$P$99999,Bldg_Grade_Funding!$C42,'FTE Detail'!$L$2:$L$99999,Bldg_Grade_Funding!I$5)</f>
        <v>1</v>
      </c>
      <c r="J42" s="8">
        <f>SUMIFS('FTE Detail'!$O$2:$O$99999,'FTE Detail'!$B$2:$B$99999,Bldg_Grade_Funding!$B42,'FTE Detail'!$P$2:$P$99999,Bldg_Grade_Funding!$C42,'FTE Detail'!$L$2:$L$99999,Bldg_Grade_Funding!J$5)</f>
        <v>0</v>
      </c>
      <c r="K42" s="8">
        <f>SUMIFS('FTE Detail'!$O$2:$O$99999,'FTE Detail'!$B$2:$B$99999,Bldg_Grade_Funding!$B42,'FTE Detail'!$P$2:$P$99999,Bldg_Grade_Funding!$C42,'FTE Detail'!$L$2:$L$99999,Bldg_Grade_Funding!K$5)</f>
        <v>0</v>
      </c>
      <c r="L42" s="8">
        <f>SUMIFS('FTE Detail'!$O$2:$O$99999,'FTE Detail'!$B$2:$B$99999,Bldg_Grade_Funding!$B42,'FTE Detail'!$P$2:$P$99999,Bldg_Grade_Funding!$C42,'FTE Detail'!$L$2:$L$99999,Bldg_Grade_Funding!L$5)</f>
        <v>2</v>
      </c>
      <c r="M42" s="8">
        <f>SUMIFS('FTE Detail'!$O$2:$O$99999,'FTE Detail'!$B$2:$B$99999,Bldg_Grade_Funding!$B42,'FTE Detail'!$P$2:$P$99999,Bldg_Grade_Funding!$C42,'FTE Detail'!$L$2:$L$99999,Bldg_Grade_Funding!M$5)</f>
        <v>0</v>
      </c>
      <c r="N42" s="8">
        <f>SUMIFS('FTE Detail'!$O$2:$O$99999,'FTE Detail'!$B$2:$B$99999,Bldg_Grade_Funding!$B42,'FTE Detail'!$P$2:$P$99999,Bldg_Grade_Funding!$C42,'FTE Detail'!$L$2:$L$99999,Bldg_Grade_Funding!N$5)</f>
        <v>0</v>
      </c>
      <c r="O42" s="8">
        <f>SUMIFS('FTE Detail'!$O$2:$O$99999,'FTE Detail'!$B$2:$B$99999,Bldg_Grade_Funding!$B42,'FTE Detail'!$P$2:$P$99999,Bldg_Grade_Funding!$C42,'FTE Detail'!$L$2:$L$99999,Bldg_Grade_Funding!O$5)</f>
        <v>0</v>
      </c>
      <c r="P42" s="8">
        <f t="shared" si="5"/>
        <v>3</v>
      </c>
      <c r="Q42" s="3"/>
      <c r="R42" s="8"/>
    </row>
    <row r="43" spans="1:18" x14ac:dyDescent="0.3">
      <c r="A43" s="5"/>
      <c r="B43" t="s">
        <v>831</v>
      </c>
      <c r="C43" s="62">
        <v>7</v>
      </c>
      <c r="D43" s="8">
        <f>SUMIFS('FTE Detail'!$O$2:$O$99999,'FTE Detail'!$B$2:$B$99999,Bldg_Grade_Funding!$B43,'FTE Detail'!$P$2:$P$99999,Bldg_Grade_Funding!$C43,'FTE Detail'!$L$2:$L$99999,Bldg_Grade_Funding!D$5)</f>
        <v>0</v>
      </c>
      <c r="E43" s="8">
        <f>SUMIFS('FTE Detail'!$O$2:$O$99999,'FTE Detail'!$B$2:$B$99999,Bldg_Grade_Funding!$B43,'FTE Detail'!$P$2:$P$99999,Bldg_Grade_Funding!$C43,'FTE Detail'!$L$2:$L$99999,Bldg_Grade_Funding!E$5)</f>
        <v>0</v>
      </c>
      <c r="F43" s="8">
        <f>SUMIFS('FTE Detail'!$O$2:$O$99999,'FTE Detail'!$B$2:$B$99999,Bldg_Grade_Funding!$B43,'FTE Detail'!$P$2:$P$99999,Bldg_Grade_Funding!$C43,'FTE Detail'!$L$2:$L$99999,Bldg_Grade_Funding!F$5)</f>
        <v>0</v>
      </c>
      <c r="G43" s="8">
        <f>SUMIFS('FTE Detail'!$O$2:$O$99999,'FTE Detail'!$B$2:$B$99999,Bldg_Grade_Funding!$B43,'FTE Detail'!$P$2:$P$99999,Bldg_Grade_Funding!$C43,'FTE Detail'!$L$2:$L$99999,Bldg_Grade_Funding!G$5)</f>
        <v>0</v>
      </c>
      <c r="H43" s="8">
        <f>SUMIFS('FTE Detail'!$O$2:$O$99999,'FTE Detail'!$B$2:$B$99999,Bldg_Grade_Funding!$B43,'FTE Detail'!$P$2:$P$99999,Bldg_Grade_Funding!$C43,'FTE Detail'!$L$2:$L$99999,Bldg_Grade_Funding!H$5)</f>
        <v>0</v>
      </c>
      <c r="I43" s="8">
        <f>SUMIFS('FTE Detail'!$O$2:$O$99999,'FTE Detail'!$B$2:$B$99999,Bldg_Grade_Funding!$B43,'FTE Detail'!$P$2:$P$99999,Bldg_Grade_Funding!$C43,'FTE Detail'!$L$2:$L$99999,Bldg_Grade_Funding!I$5)</f>
        <v>0</v>
      </c>
      <c r="J43" s="8">
        <f>SUMIFS('FTE Detail'!$O$2:$O$99999,'FTE Detail'!$B$2:$B$99999,Bldg_Grade_Funding!$B43,'FTE Detail'!$P$2:$P$99999,Bldg_Grade_Funding!$C43,'FTE Detail'!$L$2:$L$99999,Bldg_Grade_Funding!J$5)</f>
        <v>0</v>
      </c>
      <c r="K43" s="8">
        <f>SUMIFS('FTE Detail'!$O$2:$O$99999,'FTE Detail'!$B$2:$B$99999,Bldg_Grade_Funding!$B43,'FTE Detail'!$P$2:$P$99999,Bldg_Grade_Funding!$C43,'FTE Detail'!$L$2:$L$99999,Bldg_Grade_Funding!K$5)</f>
        <v>0</v>
      </c>
      <c r="L43" s="8">
        <f>SUMIFS('FTE Detail'!$O$2:$O$99999,'FTE Detail'!$B$2:$B$99999,Bldg_Grade_Funding!$B43,'FTE Detail'!$P$2:$P$99999,Bldg_Grade_Funding!$C43,'FTE Detail'!$L$2:$L$99999,Bldg_Grade_Funding!L$5)</f>
        <v>0</v>
      </c>
      <c r="M43" s="8">
        <f>SUMIFS('FTE Detail'!$O$2:$O$99999,'FTE Detail'!$B$2:$B$99999,Bldg_Grade_Funding!$B43,'FTE Detail'!$P$2:$P$99999,Bldg_Grade_Funding!$C43,'FTE Detail'!$L$2:$L$99999,Bldg_Grade_Funding!M$5)</f>
        <v>0</v>
      </c>
      <c r="N43" s="8">
        <f>SUMIFS('FTE Detail'!$O$2:$O$99999,'FTE Detail'!$B$2:$B$99999,Bldg_Grade_Funding!$B43,'FTE Detail'!$P$2:$P$99999,Bldg_Grade_Funding!$C43,'FTE Detail'!$L$2:$L$99999,Bldg_Grade_Funding!N$5)</f>
        <v>0</v>
      </c>
      <c r="O43" s="8">
        <f>SUMIFS('FTE Detail'!$O$2:$O$99999,'FTE Detail'!$B$2:$B$99999,Bldg_Grade_Funding!$B43,'FTE Detail'!$P$2:$P$99999,Bldg_Grade_Funding!$C43,'FTE Detail'!$L$2:$L$99999,Bldg_Grade_Funding!O$5)</f>
        <v>0</v>
      </c>
      <c r="P43" s="8">
        <f t="shared" si="5"/>
        <v>0</v>
      </c>
      <c r="Q43" s="3"/>
      <c r="R43" s="8"/>
    </row>
    <row r="44" spans="1:18" x14ac:dyDescent="0.3">
      <c r="A44" s="5"/>
      <c r="B44" t="s">
        <v>831</v>
      </c>
      <c r="C44" s="62">
        <v>8</v>
      </c>
      <c r="D44" s="8">
        <f>SUMIFS('FTE Detail'!$O$2:$O$99999,'FTE Detail'!$B$2:$B$99999,Bldg_Grade_Funding!$B44,'FTE Detail'!$P$2:$P$99999,Bldg_Grade_Funding!$C44,'FTE Detail'!$L$2:$L$99999,Bldg_Grade_Funding!D$5)</f>
        <v>0</v>
      </c>
      <c r="E44" s="8">
        <f>SUMIFS('FTE Detail'!$O$2:$O$99999,'FTE Detail'!$B$2:$B$99999,Bldg_Grade_Funding!$B44,'FTE Detail'!$P$2:$P$99999,Bldg_Grade_Funding!$C44,'FTE Detail'!$L$2:$L$99999,Bldg_Grade_Funding!E$5)</f>
        <v>0</v>
      </c>
      <c r="F44" s="8">
        <f>SUMIFS('FTE Detail'!$O$2:$O$99999,'FTE Detail'!$B$2:$B$99999,Bldg_Grade_Funding!$B44,'FTE Detail'!$P$2:$P$99999,Bldg_Grade_Funding!$C44,'FTE Detail'!$L$2:$L$99999,Bldg_Grade_Funding!F$5)</f>
        <v>0</v>
      </c>
      <c r="G44" s="8">
        <f>SUMIFS('FTE Detail'!$O$2:$O$99999,'FTE Detail'!$B$2:$B$99999,Bldg_Grade_Funding!$B44,'FTE Detail'!$P$2:$P$99999,Bldg_Grade_Funding!$C44,'FTE Detail'!$L$2:$L$99999,Bldg_Grade_Funding!G$5)</f>
        <v>0</v>
      </c>
      <c r="H44" s="8">
        <f>SUMIFS('FTE Detail'!$O$2:$O$99999,'FTE Detail'!$B$2:$B$99999,Bldg_Grade_Funding!$B44,'FTE Detail'!$P$2:$P$99999,Bldg_Grade_Funding!$C44,'FTE Detail'!$L$2:$L$99999,Bldg_Grade_Funding!H$5)</f>
        <v>0</v>
      </c>
      <c r="I44" s="8">
        <f>SUMIFS('FTE Detail'!$O$2:$O$99999,'FTE Detail'!$B$2:$B$99999,Bldg_Grade_Funding!$B44,'FTE Detail'!$P$2:$P$99999,Bldg_Grade_Funding!$C44,'FTE Detail'!$L$2:$L$99999,Bldg_Grade_Funding!I$5)</f>
        <v>0</v>
      </c>
      <c r="J44" s="8">
        <f>SUMIFS('FTE Detail'!$O$2:$O$99999,'FTE Detail'!$B$2:$B$99999,Bldg_Grade_Funding!$B44,'FTE Detail'!$P$2:$P$99999,Bldg_Grade_Funding!$C44,'FTE Detail'!$L$2:$L$99999,Bldg_Grade_Funding!J$5)</f>
        <v>0</v>
      </c>
      <c r="K44" s="8">
        <f>SUMIFS('FTE Detail'!$O$2:$O$99999,'FTE Detail'!$B$2:$B$99999,Bldg_Grade_Funding!$B44,'FTE Detail'!$P$2:$P$99999,Bldg_Grade_Funding!$C44,'FTE Detail'!$L$2:$L$99999,Bldg_Grade_Funding!K$5)</f>
        <v>0</v>
      </c>
      <c r="L44" s="8">
        <f>SUMIFS('FTE Detail'!$O$2:$O$99999,'FTE Detail'!$B$2:$B$99999,Bldg_Grade_Funding!$B44,'FTE Detail'!$P$2:$P$99999,Bldg_Grade_Funding!$C44,'FTE Detail'!$L$2:$L$99999,Bldg_Grade_Funding!L$5)</f>
        <v>0</v>
      </c>
      <c r="M44" s="8">
        <f>SUMIFS('FTE Detail'!$O$2:$O$99999,'FTE Detail'!$B$2:$B$99999,Bldg_Grade_Funding!$B44,'FTE Detail'!$P$2:$P$99999,Bldg_Grade_Funding!$C44,'FTE Detail'!$L$2:$L$99999,Bldg_Grade_Funding!M$5)</f>
        <v>0</v>
      </c>
      <c r="N44" s="8">
        <f>SUMIFS('FTE Detail'!$O$2:$O$99999,'FTE Detail'!$B$2:$B$99999,Bldg_Grade_Funding!$B44,'FTE Detail'!$P$2:$P$99999,Bldg_Grade_Funding!$C44,'FTE Detail'!$L$2:$L$99999,Bldg_Grade_Funding!N$5)</f>
        <v>0</v>
      </c>
      <c r="O44" s="8">
        <f>SUMIFS('FTE Detail'!$O$2:$O$99999,'FTE Detail'!$B$2:$B$99999,Bldg_Grade_Funding!$B44,'FTE Detail'!$P$2:$P$99999,Bldg_Grade_Funding!$C44,'FTE Detail'!$L$2:$L$99999,Bldg_Grade_Funding!O$5)</f>
        <v>0</v>
      </c>
      <c r="P44" s="8">
        <f t="shared" si="5"/>
        <v>0</v>
      </c>
      <c r="Q44" s="3"/>
      <c r="R44" s="8"/>
    </row>
    <row r="45" spans="1:18" x14ac:dyDescent="0.3">
      <c r="A45" s="5"/>
      <c r="B45" t="s">
        <v>831</v>
      </c>
      <c r="C45" s="5">
        <v>9</v>
      </c>
      <c r="D45" s="8">
        <f>SUMIFS('FTE Detail'!$O$2:$O$99999,'FTE Detail'!$B$2:$B$99999,Bldg_Grade_Funding!$B45,'FTE Detail'!$P$2:$P$99999,Bldg_Grade_Funding!$C45,'FTE Detail'!$L$2:$L$99999,Bldg_Grade_Funding!D$5)</f>
        <v>0</v>
      </c>
      <c r="E45" s="8">
        <f>SUMIFS('FTE Detail'!$O$2:$O$99999,'FTE Detail'!$B$2:$B$99999,Bldg_Grade_Funding!$B45,'FTE Detail'!$P$2:$P$99999,Bldg_Grade_Funding!$C45,'FTE Detail'!$L$2:$L$99999,Bldg_Grade_Funding!E$5)</f>
        <v>0</v>
      </c>
      <c r="F45" s="8">
        <f>SUMIFS('FTE Detail'!$O$2:$O$99999,'FTE Detail'!$B$2:$B$99999,Bldg_Grade_Funding!$B45,'FTE Detail'!$P$2:$P$99999,Bldg_Grade_Funding!$C45,'FTE Detail'!$L$2:$L$99999,Bldg_Grade_Funding!F$5)</f>
        <v>0</v>
      </c>
      <c r="G45" s="8">
        <f>SUMIFS('FTE Detail'!$O$2:$O$99999,'FTE Detail'!$B$2:$B$99999,Bldg_Grade_Funding!$B45,'FTE Detail'!$P$2:$P$99999,Bldg_Grade_Funding!$C45,'FTE Detail'!$L$2:$L$99999,Bldg_Grade_Funding!G$5)</f>
        <v>0</v>
      </c>
      <c r="H45" s="8">
        <f>SUMIFS('FTE Detail'!$O$2:$O$99999,'FTE Detail'!$B$2:$B$99999,Bldg_Grade_Funding!$B45,'FTE Detail'!$P$2:$P$99999,Bldg_Grade_Funding!$C45,'FTE Detail'!$L$2:$L$99999,Bldg_Grade_Funding!H$5)</f>
        <v>0</v>
      </c>
      <c r="I45" s="8">
        <f>SUMIFS('FTE Detail'!$O$2:$O$99999,'FTE Detail'!$B$2:$B$99999,Bldg_Grade_Funding!$B45,'FTE Detail'!$P$2:$P$99999,Bldg_Grade_Funding!$C45,'FTE Detail'!$L$2:$L$99999,Bldg_Grade_Funding!I$5)</f>
        <v>0.36956499999999998</v>
      </c>
      <c r="J45" s="8">
        <f>SUMIFS('FTE Detail'!$O$2:$O$99999,'FTE Detail'!$B$2:$B$99999,Bldg_Grade_Funding!$B45,'FTE Detail'!$P$2:$P$99999,Bldg_Grade_Funding!$C45,'FTE Detail'!$L$2:$L$99999,Bldg_Grade_Funding!J$5)</f>
        <v>1</v>
      </c>
      <c r="K45" s="8">
        <f>SUMIFS('FTE Detail'!$O$2:$O$99999,'FTE Detail'!$B$2:$B$99999,Bldg_Grade_Funding!$B45,'FTE Detail'!$P$2:$P$99999,Bldg_Grade_Funding!$C45,'FTE Detail'!$L$2:$L$99999,Bldg_Grade_Funding!K$5)</f>
        <v>0</v>
      </c>
      <c r="L45" s="8">
        <f>SUMIFS('FTE Detail'!$O$2:$O$99999,'FTE Detail'!$B$2:$B$99999,Bldg_Grade_Funding!$B45,'FTE Detail'!$P$2:$P$99999,Bldg_Grade_Funding!$C45,'FTE Detail'!$L$2:$L$99999,Bldg_Grade_Funding!L$5)</f>
        <v>0</v>
      </c>
      <c r="M45" s="8">
        <f>SUMIFS('FTE Detail'!$O$2:$O$99999,'FTE Detail'!$B$2:$B$99999,Bldg_Grade_Funding!$B45,'FTE Detail'!$P$2:$P$99999,Bldg_Grade_Funding!$C45,'FTE Detail'!$L$2:$L$99999,Bldg_Grade_Funding!M$5)</f>
        <v>0</v>
      </c>
      <c r="N45" s="8">
        <f>SUMIFS('FTE Detail'!$O$2:$O$99999,'FTE Detail'!$B$2:$B$99999,Bldg_Grade_Funding!$B45,'FTE Detail'!$P$2:$P$99999,Bldg_Grade_Funding!$C45,'FTE Detail'!$L$2:$L$99999,Bldg_Grade_Funding!N$5)</f>
        <v>0</v>
      </c>
      <c r="O45" s="8">
        <f>SUMIFS('FTE Detail'!$O$2:$O$99999,'FTE Detail'!$B$2:$B$99999,Bldg_Grade_Funding!$B45,'FTE Detail'!$P$2:$P$99999,Bldg_Grade_Funding!$C45,'FTE Detail'!$L$2:$L$99999,Bldg_Grade_Funding!O$5)</f>
        <v>0</v>
      </c>
      <c r="P45" s="8">
        <f t="shared" si="5"/>
        <v>1.3695649999999999</v>
      </c>
      <c r="R45" s="9"/>
    </row>
    <row r="46" spans="1:18" x14ac:dyDescent="0.3">
      <c r="A46" s="5"/>
      <c r="B46" t="s">
        <v>831</v>
      </c>
      <c r="C46" s="5">
        <v>10</v>
      </c>
      <c r="D46" s="8">
        <f>SUMIFS('FTE Detail'!$O$2:$O$99999,'FTE Detail'!$B$2:$B$99999,Bldg_Grade_Funding!$B46,'FTE Detail'!$P$2:$P$99999,Bldg_Grade_Funding!$C46,'FTE Detail'!$L$2:$L$99999,Bldg_Grade_Funding!D$5)</f>
        <v>0</v>
      </c>
      <c r="E46" s="8">
        <f>SUMIFS('FTE Detail'!$O$2:$O$99999,'FTE Detail'!$B$2:$B$99999,Bldg_Grade_Funding!$B46,'FTE Detail'!$P$2:$P$99999,Bldg_Grade_Funding!$C46,'FTE Detail'!$L$2:$L$99999,Bldg_Grade_Funding!E$5)</f>
        <v>0</v>
      </c>
      <c r="F46" s="8">
        <f>SUMIFS('FTE Detail'!$O$2:$O$99999,'FTE Detail'!$B$2:$B$99999,Bldg_Grade_Funding!$B46,'FTE Detail'!$P$2:$P$99999,Bldg_Grade_Funding!$C46,'FTE Detail'!$L$2:$L$99999,Bldg_Grade_Funding!F$5)</f>
        <v>0</v>
      </c>
      <c r="G46" s="8">
        <f>SUMIFS('FTE Detail'!$O$2:$O$99999,'FTE Detail'!$B$2:$B$99999,Bldg_Grade_Funding!$B46,'FTE Detail'!$P$2:$P$99999,Bldg_Grade_Funding!$C46,'FTE Detail'!$L$2:$L$99999,Bldg_Grade_Funding!G$5)</f>
        <v>0</v>
      </c>
      <c r="H46" s="8">
        <f>SUMIFS('FTE Detail'!$O$2:$O$99999,'FTE Detail'!$B$2:$B$99999,Bldg_Grade_Funding!$B46,'FTE Detail'!$P$2:$P$99999,Bldg_Grade_Funding!$C46,'FTE Detail'!$L$2:$L$99999,Bldg_Grade_Funding!H$5)</f>
        <v>0</v>
      </c>
      <c r="I46" s="8">
        <f>SUMIFS('FTE Detail'!$O$2:$O$99999,'FTE Detail'!$B$2:$B$99999,Bldg_Grade_Funding!$B46,'FTE Detail'!$P$2:$P$99999,Bldg_Grade_Funding!$C46,'FTE Detail'!$L$2:$L$99999,Bldg_Grade_Funding!I$5)</f>
        <v>1</v>
      </c>
      <c r="J46" s="8">
        <f>SUMIFS('FTE Detail'!$O$2:$O$99999,'FTE Detail'!$B$2:$B$99999,Bldg_Grade_Funding!$B46,'FTE Detail'!$P$2:$P$99999,Bldg_Grade_Funding!$C46,'FTE Detail'!$L$2:$L$99999,Bldg_Grade_Funding!J$5)</f>
        <v>1</v>
      </c>
      <c r="K46" s="8">
        <f>SUMIFS('FTE Detail'!$O$2:$O$99999,'FTE Detail'!$B$2:$B$99999,Bldg_Grade_Funding!$B46,'FTE Detail'!$P$2:$P$99999,Bldg_Grade_Funding!$C46,'FTE Detail'!$L$2:$L$99999,Bldg_Grade_Funding!K$5)</f>
        <v>0</v>
      </c>
      <c r="L46" s="8">
        <f>SUMIFS('FTE Detail'!$O$2:$O$99999,'FTE Detail'!$B$2:$B$99999,Bldg_Grade_Funding!$B46,'FTE Detail'!$P$2:$P$99999,Bldg_Grade_Funding!$C46,'FTE Detail'!$L$2:$L$99999,Bldg_Grade_Funding!L$5)</f>
        <v>0</v>
      </c>
      <c r="M46" s="8">
        <f>SUMIFS('FTE Detail'!$O$2:$O$99999,'FTE Detail'!$B$2:$B$99999,Bldg_Grade_Funding!$B46,'FTE Detail'!$P$2:$P$99999,Bldg_Grade_Funding!$C46,'FTE Detail'!$L$2:$L$99999,Bldg_Grade_Funding!M$5)</f>
        <v>0</v>
      </c>
      <c r="N46" s="8">
        <f>SUMIFS('FTE Detail'!$O$2:$O$99999,'FTE Detail'!$B$2:$B$99999,Bldg_Grade_Funding!$B46,'FTE Detail'!$P$2:$P$99999,Bldg_Grade_Funding!$C46,'FTE Detail'!$L$2:$L$99999,Bldg_Grade_Funding!N$5)</f>
        <v>0</v>
      </c>
      <c r="O46" s="8">
        <f>SUMIFS('FTE Detail'!$O$2:$O$99999,'FTE Detail'!$B$2:$B$99999,Bldg_Grade_Funding!$B46,'FTE Detail'!$P$2:$P$99999,Bldg_Grade_Funding!$C46,'FTE Detail'!$L$2:$L$99999,Bldg_Grade_Funding!O$5)</f>
        <v>0</v>
      </c>
      <c r="P46" s="8">
        <f t="shared" si="5"/>
        <v>2</v>
      </c>
      <c r="R46" s="9"/>
    </row>
    <row r="47" spans="1:18" x14ac:dyDescent="0.3">
      <c r="A47" s="5"/>
      <c r="B47" t="s">
        <v>831</v>
      </c>
      <c r="C47" s="5">
        <v>11</v>
      </c>
      <c r="D47" s="8">
        <f>SUMIFS('FTE Detail'!$O$2:$O$99999,'FTE Detail'!$B$2:$B$99999,Bldg_Grade_Funding!$B47,'FTE Detail'!$P$2:$P$99999,Bldg_Grade_Funding!$C47,'FTE Detail'!$L$2:$L$99999,Bldg_Grade_Funding!D$5)</f>
        <v>0</v>
      </c>
      <c r="E47" s="8">
        <f>SUMIFS('FTE Detail'!$O$2:$O$99999,'FTE Detail'!$B$2:$B$99999,Bldg_Grade_Funding!$B47,'FTE Detail'!$P$2:$P$99999,Bldg_Grade_Funding!$C47,'FTE Detail'!$L$2:$L$99999,Bldg_Grade_Funding!E$5)</f>
        <v>0</v>
      </c>
      <c r="F47" s="8">
        <f>SUMIFS('FTE Detail'!$O$2:$O$99999,'FTE Detail'!$B$2:$B$99999,Bldg_Grade_Funding!$B47,'FTE Detail'!$P$2:$P$99999,Bldg_Grade_Funding!$C47,'FTE Detail'!$L$2:$L$99999,Bldg_Grade_Funding!F$5)</f>
        <v>0</v>
      </c>
      <c r="G47" s="8">
        <f>SUMIFS('FTE Detail'!$O$2:$O$99999,'FTE Detail'!$B$2:$B$99999,Bldg_Grade_Funding!$B47,'FTE Detail'!$P$2:$P$99999,Bldg_Grade_Funding!$C47,'FTE Detail'!$L$2:$L$99999,Bldg_Grade_Funding!G$5)</f>
        <v>0</v>
      </c>
      <c r="H47" s="8">
        <f>SUMIFS('FTE Detail'!$O$2:$O$99999,'FTE Detail'!$B$2:$B$99999,Bldg_Grade_Funding!$B47,'FTE Detail'!$P$2:$P$99999,Bldg_Grade_Funding!$C47,'FTE Detail'!$L$2:$L$99999,Bldg_Grade_Funding!H$5)</f>
        <v>0</v>
      </c>
      <c r="I47" s="8">
        <f>SUMIFS('FTE Detail'!$O$2:$O$99999,'FTE Detail'!$B$2:$B$99999,Bldg_Grade_Funding!$B47,'FTE Detail'!$P$2:$P$99999,Bldg_Grade_Funding!$C47,'FTE Detail'!$L$2:$L$99999,Bldg_Grade_Funding!I$5)</f>
        <v>1</v>
      </c>
      <c r="J47" s="8">
        <f>SUMIFS('FTE Detail'!$O$2:$O$99999,'FTE Detail'!$B$2:$B$99999,Bldg_Grade_Funding!$B47,'FTE Detail'!$P$2:$P$99999,Bldg_Grade_Funding!$C47,'FTE Detail'!$L$2:$L$99999,Bldg_Grade_Funding!J$5)</f>
        <v>0</v>
      </c>
      <c r="K47" s="8">
        <f>SUMIFS('FTE Detail'!$O$2:$O$99999,'FTE Detail'!$B$2:$B$99999,Bldg_Grade_Funding!$B47,'FTE Detail'!$P$2:$P$99999,Bldg_Grade_Funding!$C47,'FTE Detail'!$L$2:$L$99999,Bldg_Grade_Funding!K$5)</f>
        <v>0</v>
      </c>
      <c r="L47" s="8">
        <f>SUMIFS('FTE Detail'!$O$2:$O$99999,'FTE Detail'!$B$2:$B$99999,Bldg_Grade_Funding!$B47,'FTE Detail'!$P$2:$P$99999,Bldg_Grade_Funding!$C47,'FTE Detail'!$L$2:$L$99999,Bldg_Grade_Funding!L$5)</f>
        <v>1</v>
      </c>
      <c r="M47" s="8">
        <f>SUMIFS('FTE Detail'!$O$2:$O$99999,'FTE Detail'!$B$2:$B$99999,Bldg_Grade_Funding!$B47,'FTE Detail'!$P$2:$P$99999,Bldg_Grade_Funding!$C47,'FTE Detail'!$L$2:$L$99999,Bldg_Grade_Funding!M$5)</f>
        <v>0</v>
      </c>
      <c r="N47" s="8">
        <f>SUMIFS('FTE Detail'!$O$2:$O$99999,'FTE Detail'!$B$2:$B$99999,Bldg_Grade_Funding!$B47,'FTE Detail'!$P$2:$P$99999,Bldg_Grade_Funding!$C47,'FTE Detail'!$L$2:$L$99999,Bldg_Grade_Funding!N$5)</f>
        <v>0</v>
      </c>
      <c r="O47" s="8">
        <f>SUMIFS('FTE Detail'!$O$2:$O$99999,'FTE Detail'!$B$2:$B$99999,Bldg_Grade_Funding!$B47,'FTE Detail'!$P$2:$P$99999,Bldg_Grade_Funding!$C47,'FTE Detail'!$L$2:$L$99999,Bldg_Grade_Funding!O$5)</f>
        <v>0</v>
      </c>
      <c r="P47" s="8">
        <f t="shared" si="5"/>
        <v>2</v>
      </c>
      <c r="R47" s="9"/>
    </row>
    <row r="48" spans="1:18" x14ac:dyDescent="0.3">
      <c r="A48" s="5"/>
      <c r="B48" t="s">
        <v>831</v>
      </c>
      <c r="C48" s="5">
        <v>12</v>
      </c>
      <c r="D48" s="8">
        <f>SUMIFS('FTE Detail'!$O$2:$O$99999,'FTE Detail'!$B$2:$B$99999,Bldg_Grade_Funding!$B48,'FTE Detail'!$P$2:$P$99999,Bldg_Grade_Funding!$C48,'FTE Detail'!$L$2:$L$99999,Bldg_Grade_Funding!D$5)</f>
        <v>0</v>
      </c>
      <c r="E48" s="8">
        <f>SUMIFS('FTE Detail'!$O$2:$O$99999,'FTE Detail'!$B$2:$B$99999,Bldg_Grade_Funding!$B48,'FTE Detail'!$P$2:$P$99999,Bldg_Grade_Funding!$C48,'FTE Detail'!$L$2:$L$99999,Bldg_Grade_Funding!E$5)</f>
        <v>0</v>
      </c>
      <c r="F48" s="8">
        <f>SUMIFS('FTE Detail'!$O$2:$O$99999,'FTE Detail'!$B$2:$B$99999,Bldg_Grade_Funding!$B48,'FTE Detail'!$P$2:$P$99999,Bldg_Grade_Funding!$C48,'FTE Detail'!$L$2:$L$99999,Bldg_Grade_Funding!F$5)</f>
        <v>0</v>
      </c>
      <c r="G48" s="8">
        <f>SUMIFS('FTE Detail'!$O$2:$O$99999,'FTE Detail'!$B$2:$B$99999,Bldg_Grade_Funding!$B48,'FTE Detail'!$P$2:$P$99999,Bldg_Grade_Funding!$C48,'FTE Detail'!$L$2:$L$99999,Bldg_Grade_Funding!G$5)</f>
        <v>0</v>
      </c>
      <c r="H48" s="8">
        <f>SUMIFS('FTE Detail'!$O$2:$O$99999,'FTE Detail'!$B$2:$B$99999,Bldg_Grade_Funding!$B48,'FTE Detail'!$P$2:$P$99999,Bldg_Grade_Funding!$C48,'FTE Detail'!$L$2:$L$99999,Bldg_Grade_Funding!H$5)</f>
        <v>0</v>
      </c>
      <c r="I48" s="8">
        <f>SUMIFS('FTE Detail'!$O$2:$O$99999,'FTE Detail'!$B$2:$B$99999,Bldg_Grade_Funding!$B48,'FTE Detail'!$P$2:$P$99999,Bldg_Grade_Funding!$C48,'FTE Detail'!$L$2:$L$99999,Bldg_Grade_Funding!I$5)</f>
        <v>1.6793480000000001</v>
      </c>
      <c r="J48" s="8">
        <f>SUMIFS('FTE Detail'!$O$2:$O$99999,'FTE Detail'!$B$2:$B$99999,Bldg_Grade_Funding!$B48,'FTE Detail'!$P$2:$P$99999,Bldg_Grade_Funding!$C48,'FTE Detail'!$L$2:$L$99999,Bldg_Grade_Funding!J$5)</f>
        <v>1</v>
      </c>
      <c r="K48" s="8">
        <f>SUMIFS('FTE Detail'!$O$2:$O$99999,'FTE Detail'!$B$2:$B$99999,Bldg_Grade_Funding!$B48,'FTE Detail'!$P$2:$P$99999,Bldg_Grade_Funding!$C48,'FTE Detail'!$L$2:$L$99999,Bldg_Grade_Funding!K$5)</f>
        <v>0</v>
      </c>
      <c r="L48" s="8">
        <f>SUMIFS('FTE Detail'!$O$2:$O$99999,'FTE Detail'!$B$2:$B$99999,Bldg_Grade_Funding!$B48,'FTE Detail'!$P$2:$P$99999,Bldg_Grade_Funding!$C48,'FTE Detail'!$L$2:$L$99999,Bldg_Grade_Funding!L$5)</f>
        <v>0</v>
      </c>
      <c r="M48" s="8">
        <f>SUMIFS('FTE Detail'!$O$2:$O$99999,'FTE Detail'!$B$2:$B$99999,Bldg_Grade_Funding!$B48,'FTE Detail'!$P$2:$P$99999,Bldg_Grade_Funding!$C48,'FTE Detail'!$L$2:$L$99999,Bldg_Grade_Funding!M$5)</f>
        <v>0</v>
      </c>
      <c r="N48" s="8">
        <f>SUMIFS('FTE Detail'!$O$2:$O$99999,'FTE Detail'!$B$2:$B$99999,Bldg_Grade_Funding!$B48,'FTE Detail'!$P$2:$P$99999,Bldg_Grade_Funding!$C48,'FTE Detail'!$L$2:$L$99999,Bldg_Grade_Funding!N$5)</f>
        <v>0</v>
      </c>
      <c r="O48" s="8">
        <f>SUMIFS('FTE Detail'!$O$2:$O$99999,'FTE Detail'!$B$2:$B$99999,Bldg_Grade_Funding!$B48,'FTE Detail'!$P$2:$P$99999,Bldg_Grade_Funding!$C48,'FTE Detail'!$L$2:$L$99999,Bldg_Grade_Funding!O$5)</f>
        <v>0</v>
      </c>
      <c r="P48" s="8">
        <f t="shared" si="5"/>
        <v>2.6793480000000001</v>
      </c>
      <c r="R48" s="9"/>
    </row>
    <row r="49" spans="1:18" x14ac:dyDescent="0.3">
      <c r="A49" s="5"/>
      <c r="B49" t="s">
        <v>831</v>
      </c>
      <c r="C49" s="5">
        <v>23</v>
      </c>
      <c r="D49" s="8">
        <f>SUMIFS('FTE Detail'!$O$2:$O$99999,'FTE Detail'!$B$2:$B$99999,Bldg_Grade_Funding!$B49,'FTE Detail'!$P$2:$P$99999,Bldg_Grade_Funding!$C49,'FTE Detail'!$L$2:$L$99999,Bldg_Grade_Funding!D$5)</f>
        <v>0</v>
      </c>
      <c r="E49" s="8">
        <f>SUMIFS('FTE Detail'!$O$2:$O$99999,'FTE Detail'!$B$2:$B$99999,Bldg_Grade_Funding!$B49,'FTE Detail'!$P$2:$P$99999,Bldg_Grade_Funding!$C49,'FTE Detail'!$L$2:$L$99999,Bldg_Grade_Funding!E$5)</f>
        <v>0</v>
      </c>
      <c r="F49" s="8">
        <f>SUMIFS('FTE Detail'!$O$2:$O$99999,'FTE Detail'!$B$2:$B$99999,Bldg_Grade_Funding!$B49,'FTE Detail'!$P$2:$P$99999,Bldg_Grade_Funding!$C49,'FTE Detail'!$L$2:$L$99999,Bldg_Grade_Funding!F$5)</f>
        <v>0</v>
      </c>
      <c r="G49" s="8">
        <f>SUMIFS('FTE Detail'!$O$2:$O$99999,'FTE Detail'!$B$2:$B$99999,Bldg_Grade_Funding!$B49,'FTE Detail'!$P$2:$P$99999,Bldg_Grade_Funding!$C49,'FTE Detail'!$L$2:$L$99999,Bldg_Grade_Funding!G$5)</f>
        <v>0</v>
      </c>
      <c r="H49" s="8">
        <f>SUMIFS('FTE Detail'!$O$2:$O$99999,'FTE Detail'!$B$2:$B$99999,Bldg_Grade_Funding!$B49,'FTE Detail'!$P$2:$P$99999,Bldg_Grade_Funding!$C49,'FTE Detail'!$L$2:$L$99999,Bldg_Grade_Funding!H$5)</f>
        <v>0</v>
      </c>
      <c r="I49" s="8">
        <f>SUMIFS('FTE Detail'!$O$2:$O$99999,'FTE Detail'!$B$2:$B$99999,Bldg_Grade_Funding!$B49,'FTE Detail'!$P$2:$P$99999,Bldg_Grade_Funding!$C49,'FTE Detail'!$L$2:$L$99999,Bldg_Grade_Funding!I$5)</f>
        <v>0</v>
      </c>
      <c r="J49" s="8">
        <f>SUMIFS('FTE Detail'!$O$2:$O$99999,'FTE Detail'!$B$2:$B$99999,Bldg_Grade_Funding!$B49,'FTE Detail'!$P$2:$P$99999,Bldg_Grade_Funding!$C49,'FTE Detail'!$L$2:$L$99999,Bldg_Grade_Funding!J$5)</f>
        <v>0</v>
      </c>
      <c r="K49" s="8">
        <f>SUMIFS('FTE Detail'!$O$2:$O$99999,'FTE Detail'!$B$2:$B$99999,Bldg_Grade_Funding!$B49,'FTE Detail'!$P$2:$P$99999,Bldg_Grade_Funding!$C49,'FTE Detail'!$L$2:$L$99999,Bldg_Grade_Funding!K$5)</f>
        <v>0</v>
      </c>
      <c r="L49" s="8">
        <f>SUMIFS('FTE Detail'!$O$2:$O$99999,'FTE Detail'!$B$2:$B$99999,Bldg_Grade_Funding!$B49,'FTE Detail'!$P$2:$P$99999,Bldg_Grade_Funding!$C49,'FTE Detail'!$L$2:$L$99999,Bldg_Grade_Funding!L$5)</f>
        <v>0</v>
      </c>
      <c r="M49" s="8">
        <f>SUMIFS('FTE Detail'!$O$2:$O$99999,'FTE Detail'!$B$2:$B$99999,Bldg_Grade_Funding!$B49,'FTE Detail'!$P$2:$P$99999,Bldg_Grade_Funding!$C49,'FTE Detail'!$L$2:$L$99999,Bldg_Grade_Funding!M$5)</f>
        <v>0</v>
      </c>
      <c r="N49" s="8">
        <f>SUMIFS('FTE Detail'!$O$2:$O$99999,'FTE Detail'!$B$2:$B$99999,Bldg_Grade_Funding!$B49,'FTE Detail'!$P$2:$P$99999,Bldg_Grade_Funding!$C49,'FTE Detail'!$L$2:$L$99999,Bldg_Grade_Funding!N$5)</f>
        <v>0</v>
      </c>
      <c r="O49" s="8">
        <f>SUMIFS('FTE Detail'!$O$2:$O$99999,'FTE Detail'!$B$2:$B$99999,Bldg_Grade_Funding!$B49,'FTE Detail'!$P$2:$P$99999,Bldg_Grade_Funding!$C49,'FTE Detail'!$L$2:$L$99999,Bldg_Grade_Funding!O$5)</f>
        <v>0</v>
      </c>
      <c r="P49" s="8">
        <f t="shared" si="5"/>
        <v>0</v>
      </c>
      <c r="R49" s="9"/>
    </row>
    <row r="50" spans="1:18" x14ac:dyDescent="0.3">
      <c r="A50" s="5"/>
      <c r="B50" s="5"/>
      <c r="C50" s="9"/>
      <c r="P50" s="8"/>
      <c r="Q50" s="3">
        <f>SUM(P35:P49)</f>
        <v>15.575794999999999</v>
      </c>
      <c r="R50" s="9"/>
    </row>
    <row r="51" spans="1:18" x14ac:dyDescent="0.3">
      <c r="A51" s="5"/>
      <c r="B51" s="5"/>
      <c r="C51" s="9"/>
      <c r="D51" s="24"/>
      <c r="E51" s="24"/>
      <c r="F51" s="24"/>
      <c r="G51" s="24"/>
      <c r="H51" s="24"/>
      <c r="I51" s="24"/>
      <c r="J51" s="24"/>
      <c r="K51" s="24"/>
      <c r="L51" s="24"/>
      <c r="M51" s="24"/>
      <c r="N51" s="24"/>
      <c r="O51" s="24"/>
      <c r="P51" s="63"/>
      <c r="Q51" s="3"/>
      <c r="R51" s="24"/>
    </row>
    <row r="52" spans="1:18" x14ac:dyDescent="0.3">
      <c r="A52" s="5"/>
      <c r="B52" s="5"/>
      <c r="C52" s="9"/>
      <c r="D52" s="27">
        <f t="shared" ref="D52:O52" si="6">SUM(D6:D49)</f>
        <v>2684.9616879999999</v>
      </c>
      <c r="E52" s="27">
        <f t="shared" si="6"/>
        <v>0</v>
      </c>
      <c r="F52" s="27">
        <f t="shared" si="6"/>
        <v>0</v>
      </c>
      <c r="G52" s="27">
        <f t="shared" si="6"/>
        <v>0</v>
      </c>
      <c r="H52" s="27">
        <f t="shared" si="6"/>
        <v>0</v>
      </c>
      <c r="I52" s="27">
        <f t="shared" si="6"/>
        <v>15.629173000000002</v>
      </c>
      <c r="J52" s="27">
        <f t="shared" si="6"/>
        <v>4</v>
      </c>
      <c r="K52" s="27">
        <f t="shared" si="6"/>
        <v>1</v>
      </c>
      <c r="L52" s="27">
        <f t="shared" si="6"/>
        <v>121.15420399999999</v>
      </c>
      <c r="M52" s="27">
        <f t="shared" si="6"/>
        <v>5.1954549999999999</v>
      </c>
      <c r="N52" s="27">
        <f t="shared" si="6"/>
        <v>0</v>
      </c>
      <c r="O52" s="27">
        <f t="shared" si="6"/>
        <v>0.59363200000000005</v>
      </c>
      <c r="P52" s="9"/>
      <c r="Q52" s="27">
        <f>SUM(D52:P52)</f>
        <v>2832.5341519999997</v>
      </c>
      <c r="R52" s="9"/>
    </row>
    <row r="53" spans="1:18" x14ac:dyDescent="0.3">
      <c r="A53" s="5"/>
      <c r="B53" s="5"/>
      <c r="C53" s="11"/>
      <c r="D53" s="11"/>
      <c r="E53" s="11"/>
      <c r="F53" s="11"/>
      <c r="G53" s="11"/>
      <c r="H53" s="11"/>
      <c r="I53" s="11"/>
      <c r="J53" s="11"/>
      <c r="K53" s="24"/>
      <c r="L53" s="11"/>
      <c r="M53" s="11"/>
      <c r="N53" s="11"/>
      <c r="P53" s="64" t="s">
        <v>766</v>
      </c>
      <c r="Q53" s="24">
        <f>SFPR!S7</f>
        <v>2832.5341519999997</v>
      </c>
      <c r="R53" s="11"/>
    </row>
    <row r="54" spans="1:18" x14ac:dyDescent="0.3">
      <c r="A54" s="5"/>
      <c r="B54" s="5"/>
      <c r="C54" s="11"/>
      <c r="D54" s="11"/>
      <c r="E54" s="11"/>
      <c r="F54" s="11"/>
      <c r="G54" s="11"/>
      <c r="H54" s="11"/>
      <c r="I54" s="11"/>
      <c r="J54" s="11"/>
      <c r="K54" s="24"/>
      <c r="L54" s="11"/>
      <c r="M54" s="11"/>
      <c r="N54" s="11"/>
      <c r="P54" s="9" t="s">
        <v>7</v>
      </c>
      <c r="Q54" s="27">
        <f>Q52-Q53</f>
        <v>0</v>
      </c>
      <c r="R54" s="11"/>
    </row>
  </sheetData>
  <mergeCells count="2">
    <mergeCell ref="D3:G3"/>
    <mergeCell ref="D4:G4"/>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4"/>
  <sheetViews>
    <sheetView topLeftCell="A623" workbookViewId="0">
      <selection activeCell="B630" sqref="B630"/>
    </sheetView>
  </sheetViews>
  <sheetFormatPr defaultRowHeight="14.4" x14ac:dyDescent="0.3"/>
  <cols>
    <col min="1" max="1" width="7" style="50" bestFit="1" customWidth="1"/>
    <col min="2" max="2" width="41.88671875" style="50" bestFit="1" customWidth="1"/>
  </cols>
  <sheetData>
    <row r="1" spans="1:2" x14ac:dyDescent="0.3">
      <c r="A1" s="51" t="s">
        <v>92</v>
      </c>
      <c r="B1" s="52" t="s">
        <v>143</v>
      </c>
    </row>
    <row r="2" spans="1:2" x14ac:dyDescent="0.3">
      <c r="A2" s="53">
        <v>43489</v>
      </c>
      <c r="B2" s="53" t="s">
        <v>144</v>
      </c>
    </row>
    <row r="3" spans="1:2" x14ac:dyDescent="0.3">
      <c r="A3" s="53">
        <v>43497</v>
      </c>
      <c r="B3" s="53" t="s">
        <v>145</v>
      </c>
    </row>
    <row r="4" spans="1:2" x14ac:dyDescent="0.3">
      <c r="A4" s="53">
        <v>43505</v>
      </c>
      <c r="B4" s="53" t="s">
        <v>146</v>
      </c>
    </row>
    <row r="5" spans="1:2" x14ac:dyDescent="0.3">
      <c r="A5" s="53">
        <v>43513</v>
      </c>
      <c r="B5" s="53" t="s">
        <v>147</v>
      </c>
    </row>
    <row r="6" spans="1:2" x14ac:dyDescent="0.3">
      <c r="A6" s="53">
        <v>43521</v>
      </c>
      <c r="B6" s="53" t="s">
        <v>148</v>
      </c>
    </row>
    <row r="7" spans="1:2" x14ac:dyDescent="0.3">
      <c r="A7" s="53">
        <v>43539</v>
      </c>
      <c r="B7" s="53" t="s">
        <v>149</v>
      </c>
    </row>
    <row r="8" spans="1:2" x14ac:dyDescent="0.3">
      <c r="A8" s="53">
        <v>43547</v>
      </c>
      <c r="B8" s="53" t="s">
        <v>150</v>
      </c>
    </row>
    <row r="9" spans="1:2" x14ac:dyDescent="0.3">
      <c r="A9" s="53">
        <v>43554</v>
      </c>
      <c r="B9" s="53" t="s">
        <v>151</v>
      </c>
    </row>
    <row r="10" spans="1:2" x14ac:dyDescent="0.3">
      <c r="A10" s="53">
        <v>43562</v>
      </c>
      <c r="B10" s="53" t="s">
        <v>152</v>
      </c>
    </row>
    <row r="11" spans="1:2" x14ac:dyDescent="0.3">
      <c r="A11" s="53">
        <v>43570</v>
      </c>
      <c r="B11" s="53" t="s">
        <v>153</v>
      </c>
    </row>
    <row r="12" spans="1:2" x14ac:dyDescent="0.3">
      <c r="A12" s="53">
        <v>43588</v>
      </c>
      <c r="B12" s="53" t="s">
        <v>154</v>
      </c>
    </row>
    <row r="13" spans="1:2" x14ac:dyDescent="0.3">
      <c r="A13" s="53">
        <v>43596</v>
      </c>
      <c r="B13" s="53" t="s">
        <v>155</v>
      </c>
    </row>
    <row r="14" spans="1:2" x14ac:dyDescent="0.3">
      <c r="A14" s="53">
        <v>43604</v>
      </c>
      <c r="B14" s="53" t="s">
        <v>156</v>
      </c>
    </row>
    <row r="15" spans="1:2" x14ac:dyDescent="0.3">
      <c r="A15" s="53">
        <v>43612</v>
      </c>
      <c r="B15" s="53" t="s">
        <v>157</v>
      </c>
    </row>
    <row r="16" spans="1:2" x14ac:dyDescent="0.3">
      <c r="A16" s="53">
        <v>43620</v>
      </c>
      <c r="B16" s="53" t="s">
        <v>158</v>
      </c>
    </row>
    <row r="17" spans="1:2" x14ac:dyDescent="0.3">
      <c r="A17" s="53">
        <v>43638</v>
      </c>
      <c r="B17" s="53" t="s">
        <v>159</v>
      </c>
    </row>
    <row r="18" spans="1:2" x14ac:dyDescent="0.3">
      <c r="A18" s="53">
        <v>43646</v>
      </c>
      <c r="B18" s="53" t="s">
        <v>160</v>
      </c>
    </row>
    <row r="19" spans="1:2" x14ac:dyDescent="0.3">
      <c r="A19" s="53">
        <v>43653</v>
      </c>
      <c r="B19" s="53" t="s">
        <v>161</v>
      </c>
    </row>
    <row r="20" spans="1:2" x14ac:dyDescent="0.3">
      <c r="A20" s="53">
        <v>43661</v>
      </c>
      <c r="B20" s="53" t="s">
        <v>162</v>
      </c>
    </row>
    <row r="21" spans="1:2" x14ac:dyDescent="0.3">
      <c r="A21" s="53">
        <v>43679</v>
      </c>
      <c r="B21" s="53" t="s">
        <v>163</v>
      </c>
    </row>
    <row r="22" spans="1:2" x14ac:dyDescent="0.3">
      <c r="A22" s="53">
        <v>43687</v>
      </c>
      <c r="B22" s="53" t="s">
        <v>164</v>
      </c>
    </row>
    <row r="23" spans="1:2" x14ac:dyDescent="0.3">
      <c r="A23" s="53">
        <v>43695</v>
      </c>
      <c r="B23" s="53" t="s">
        <v>165</v>
      </c>
    </row>
    <row r="24" spans="1:2" x14ac:dyDescent="0.3">
      <c r="A24" s="53">
        <v>43703</v>
      </c>
      <c r="B24" s="53" t="s">
        <v>166</v>
      </c>
    </row>
    <row r="25" spans="1:2" x14ac:dyDescent="0.3">
      <c r="A25" s="53">
        <v>43711</v>
      </c>
      <c r="B25" s="53" t="s">
        <v>167</v>
      </c>
    </row>
    <row r="26" spans="1:2" x14ac:dyDescent="0.3">
      <c r="A26" s="53">
        <v>43729</v>
      </c>
      <c r="B26" s="53" t="s">
        <v>168</v>
      </c>
    </row>
    <row r="27" spans="1:2" x14ac:dyDescent="0.3">
      <c r="A27" s="53">
        <v>43737</v>
      </c>
      <c r="B27" s="53" t="s">
        <v>169</v>
      </c>
    </row>
    <row r="28" spans="1:2" x14ac:dyDescent="0.3">
      <c r="A28" s="53">
        <v>43745</v>
      </c>
      <c r="B28" s="53" t="s">
        <v>170</v>
      </c>
    </row>
    <row r="29" spans="1:2" x14ac:dyDescent="0.3">
      <c r="A29" s="53">
        <v>43752</v>
      </c>
      <c r="B29" s="53" t="s">
        <v>171</v>
      </c>
    </row>
    <row r="30" spans="1:2" x14ac:dyDescent="0.3">
      <c r="A30" s="53">
        <v>43760</v>
      </c>
      <c r="B30" s="53" t="s">
        <v>172</v>
      </c>
    </row>
    <row r="31" spans="1:2" x14ac:dyDescent="0.3">
      <c r="A31" s="53">
        <v>43778</v>
      </c>
      <c r="B31" s="53" t="s">
        <v>173</v>
      </c>
    </row>
    <row r="32" spans="1:2" x14ac:dyDescent="0.3">
      <c r="A32" s="53">
        <v>43786</v>
      </c>
      <c r="B32" s="53" t="s">
        <v>174</v>
      </c>
    </row>
    <row r="33" spans="1:2" x14ac:dyDescent="0.3">
      <c r="A33" s="53">
        <v>43794</v>
      </c>
      <c r="B33" s="53" t="s">
        <v>175</v>
      </c>
    </row>
    <row r="34" spans="1:2" x14ac:dyDescent="0.3">
      <c r="A34" s="53">
        <v>43802</v>
      </c>
      <c r="B34" s="53" t="s">
        <v>176</v>
      </c>
    </row>
    <row r="35" spans="1:2" x14ac:dyDescent="0.3">
      <c r="A35" s="53">
        <v>43810</v>
      </c>
      <c r="B35" s="53" t="s">
        <v>177</v>
      </c>
    </row>
    <row r="36" spans="1:2" x14ac:dyDescent="0.3">
      <c r="A36" s="53">
        <v>43828</v>
      </c>
      <c r="B36" s="53" t="s">
        <v>178</v>
      </c>
    </row>
    <row r="37" spans="1:2" x14ac:dyDescent="0.3">
      <c r="A37" s="53">
        <v>43836</v>
      </c>
      <c r="B37" s="53" t="s">
        <v>179</v>
      </c>
    </row>
    <row r="38" spans="1:2" x14ac:dyDescent="0.3">
      <c r="A38" s="53">
        <v>43844</v>
      </c>
      <c r="B38" s="53" t="s">
        <v>180</v>
      </c>
    </row>
    <row r="39" spans="1:2" x14ac:dyDescent="0.3">
      <c r="A39" s="53">
        <v>43851</v>
      </c>
      <c r="B39" s="53" t="s">
        <v>181</v>
      </c>
    </row>
    <row r="40" spans="1:2" x14ac:dyDescent="0.3">
      <c r="A40" s="53">
        <v>43869</v>
      </c>
      <c r="B40" s="53" t="s">
        <v>182</v>
      </c>
    </row>
    <row r="41" spans="1:2" x14ac:dyDescent="0.3">
      <c r="A41" s="53">
        <v>43877</v>
      </c>
      <c r="B41" s="53" t="s">
        <v>183</v>
      </c>
    </row>
    <row r="42" spans="1:2" x14ac:dyDescent="0.3">
      <c r="A42" s="53">
        <v>43885</v>
      </c>
      <c r="B42" s="53" t="s">
        <v>184</v>
      </c>
    </row>
    <row r="43" spans="1:2" x14ac:dyDescent="0.3">
      <c r="A43" s="53">
        <v>43893</v>
      </c>
      <c r="B43" s="53" t="s">
        <v>185</v>
      </c>
    </row>
    <row r="44" spans="1:2" x14ac:dyDescent="0.3">
      <c r="A44" s="53">
        <v>43901</v>
      </c>
      <c r="B44" s="53" t="s">
        <v>186</v>
      </c>
    </row>
    <row r="45" spans="1:2" x14ac:dyDescent="0.3">
      <c r="A45" s="53">
        <v>43919</v>
      </c>
      <c r="B45" s="53" t="s">
        <v>187</v>
      </c>
    </row>
    <row r="46" spans="1:2" x14ac:dyDescent="0.3">
      <c r="A46" s="53">
        <v>43927</v>
      </c>
      <c r="B46" s="53" t="s">
        <v>188</v>
      </c>
    </row>
    <row r="47" spans="1:2" x14ac:dyDescent="0.3">
      <c r="A47" s="53">
        <v>43935</v>
      </c>
      <c r="B47" s="53" t="s">
        <v>189</v>
      </c>
    </row>
    <row r="48" spans="1:2" x14ac:dyDescent="0.3">
      <c r="A48" s="53">
        <v>43943</v>
      </c>
      <c r="B48" s="53" t="s">
        <v>190</v>
      </c>
    </row>
    <row r="49" spans="1:2" x14ac:dyDescent="0.3">
      <c r="A49" s="53">
        <v>43950</v>
      </c>
      <c r="B49" s="53" t="s">
        <v>191</v>
      </c>
    </row>
    <row r="50" spans="1:2" x14ac:dyDescent="0.3">
      <c r="A50" s="53">
        <v>43968</v>
      </c>
      <c r="B50" s="53" t="s">
        <v>192</v>
      </c>
    </row>
    <row r="51" spans="1:2" x14ac:dyDescent="0.3">
      <c r="A51" s="53">
        <v>43976</v>
      </c>
      <c r="B51" s="53" t="s">
        <v>193</v>
      </c>
    </row>
    <row r="52" spans="1:2" x14ac:dyDescent="0.3">
      <c r="A52" s="53">
        <v>43984</v>
      </c>
      <c r="B52" s="53" t="s">
        <v>194</v>
      </c>
    </row>
    <row r="53" spans="1:2" x14ac:dyDescent="0.3">
      <c r="A53" s="53">
        <v>43992</v>
      </c>
      <c r="B53" s="53" t="s">
        <v>195</v>
      </c>
    </row>
    <row r="54" spans="1:2" x14ac:dyDescent="0.3">
      <c r="A54" s="53">
        <v>44008</v>
      </c>
      <c r="B54" s="53" t="s">
        <v>196</v>
      </c>
    </row>
    <row r="55" spans="1:2" x14ac:dyDescent="0.3">
      <c r="A55" s="53">
        <v>44016</v>
      </c>
      <c r="B55" s="53" t="s">
        <v>197</v>
      </c>
    </row>
    <row r="56" spans="1:2" x14ac:dyDescent="0.3">
      <c r="A56" s="53">
        <v>44024</v>
      </c>
      <c r="B56" s="53" t="s">
        <v>198</v>
      </c>
    </row>
    <row r="57" spans="1:2" x14ac:dyDescent="0.3">
      <c r="A57" s="53">
        <v>44032</v>
      </c>
      <c r="B57" s="53" t="s">
        <v>199</v>
      </c>
    </row>
    <row r="58" spans="1:2" x14ac:dyDescent="0.3">
      <c r="A58" s="53">
        <v>44040</v>
      </c>
      <c r="B58" s="53" t="s">
        <v>200</v>
      </c>
    </row>
    <row r="59" spans="1:2" x14ac:dyDescent="0.3">
      <c r="A59" s="53">
        <v>44057</v>
      </c>
      <c r="B59" s="53" t="s">
        <v>201</v>
      </c>
    </row>
    <row r="60" spans="1:2" x14ac:dyDescent="0.3">
      <c r="A60" s="53">
        <v>44065</v>
      </c>
      <c r="B60" s="53" t="s">
        <v>202</v>
      </c>
    </row>
    <row r="61" spans="1:2" x14ac:dyDescent="0.3">
      <c r="A61" s="53">
        <v>44073</v>
      </c>
      <c r="B61" s="53" t="s">
        <v>203</v>
      </c>
    </row>
    <row r="62" spans="1:2" x14ac:dyDescent="0.3">
      <c r="A62" s="53">
        <v>44081</v>
      </c>
      <c r="B62" s="53" t="s">
        <v>204</v>
      </c>
    </row>
    <row r="63" spans="1:2" x14ac:dyDescent="0.3">
      <c r="A63" s="53">
        <v>44099</v>
      </c>
      <c r="B63" s="53" t="s">
        <v>205</v>
      </c>
    </row>
    <row r="64" spans="1:2" x14ac:dyDescent="0.3">
      <c r="A64" s="53">
        <v>44107</v>
      </c>
      <c r="B64" s="53" t="s">
        <v>206</v>
      </c>
    </row>
    <row r="65" spans="1:2" x14ac:dyDescent="0.3">
      <c r="A65" s="53">
        <v>44115</v>
      </c>
      <c r="B65" s="53" t="s">
        <v>207</v>
      </c>
    </row>
    <row r="66" spans="1:2" x14ac:dyDescent="0.3">
      <c r="A66" s="53">
        <v>44123</v>
      </c>
      <c r="B66" s="53" t="s">
        <v>208</v>
      </c>
    </row>
    <row r="67" spans="1:2" x14ac:dyDescent="0.3">
      <c r="A67" s="53">
        <v>44131</v>
      </c>
      <c r="B67" s="53" t="s">
        <v>209</v>
      </c>
    </row>
    <row r="68" spans="1:2" x14ac:dyDescent="0.3">
      <c r="A68" s="53">
        <v>44149</v>
      </c>
      <c r="B68" s="53" t="s">
        <v>210</v>
      </c>
    </row>
    <row r="69" spans="1:2" x14ac:dyDescent="0.3">
      <c r="A69" s="53">
        <v>44156</v>
      </c>
      <c r="B69" s="53" t="s">
        <v>211</v>
      </c>
    </row>
    <row r="70" spans="1:2" x14ac:dyDescent="0.3">
      <c r="A70" s="53">
        <v>44164</v>
      </c>
      <c r="B70" s="53" t="s">
        <v>212</v>
      </c>
    </row>
    <row r="71" spans="1:2" x14ac:dyDescent="0.3">
      <c r="A71" s="53">
        <v>44172</v>
      </c>
      <c r="B71" s="53" t="s">
        <v>213</v>
      </c>
    </row>
    <row r="72" spans="1:2" x14ac:dyDescent="0.3">
      <c r="A72" s="53">
        <v>44180</v>
      </c>
      <c r="B72" s="53" t="s">
        <v>214</v>
      </c>
    </row>
    <row r="73" spans="1:2" x14ac:dyDescent="0.3">
      <c r="A73" s="53">
        <v>44198</v>
      </c>
      <c r="B73" s="53" t="s">
        <v>215</v>
      </c>
    </row>
    <row r="74" spans="1:2" x14ac:dyDescent="0.3">
      <c r="A74" s="53">
        <v>44206</v>
      </c>
      <c r="B74" s="53" t="s">
        <v>216</v>
      </c>
    </row>
    <row r="75" spans="1:2" x14ac:dyDescent="0.3">
      <c r="A75" s="53">
        <v>44214</v>
      </c>
      <c r="B75" s="53" t="s">
        <v>217</v>
      </c>
    </row>
    <row r="76" spans="1:2" x14ac:dyDescent="0.3">
      <c r="A76" s="53">
        <v>44222</v>
      </c>
      <c r="B76" s="53" t="s">
        <v>218</v>
      </c>
    </row>
    <row r="77" spans="1:2" x14ac:dyDescent="0.3">
      <c r="A77" s="53">
        <v>44230</v>
      </c>
      <c r="B77" s="53" t="s">
        <v>219</v>
      </c>
    </row>
    <row r="78" spans="1:2" x14ac:dyDescent="0.3">
      <c r="A78" s="53">
        <v>44248</v>
      </c>
      <c r="B78" s="53" t="s">
        <v>220</v>
      </c>
    </row>
    <row r="79" spans="1:2" x14ac:dyDescent="0.3">
      <c r="A79" s="53">
        <v>44255</v>
      </c>
      <c r="B79" s="53" t="s">
        <v>221</v>
      </c>
    </row>
    <row r="80" spans="1:2" x14ac:dyDescent="0.3">
      <c r="A80" s="53">
        <v>44263</v>
      </c>
      <c r="B80" s="53" t="s">
        <v>222</v>
      </c>
    </row>
    <row r="81" spans="1:2" x14ac:dyDescent="0.3">
      <c r="A81" s="53">
        <v>44271</v>
      </c>
      <c r="B81" s="53" t="s">
        <v>223</v>
      </c>
    </row>
    <row r="82" spans="1:2" x14ac:dyDescent="0.3">
      <c r="A82" s="53">
        <v>44289</v>
      </c>
      <c r="B82" s="53" t="s">
        <v>224</v>
      </c>
    </row>
    <row r="83" spans="1:2" x14ac:dyDescent="0.3">
      <c r="A83" s="53">
        <v>44297</v>
      </c>
      <c r="B83" s="53" t="s">
        <v>225</v>
      </c>
    </row>
    <row r="84" spans="1:2" x14ac:dyDescent="0.3">
      <c r="A84" s="53">
        <v>44305</v>
      </c>
      <c r="B84" s="53" t="s">
        <v>226</v>
      </c>
    </row>
    <row r="85" spans="1:2" x14ac:dyDescent="0.3">
      <c r="A85" s="53">
        <v>44313</v>
      </c>
      <c r="B85" s="53" t="s">
        <v>227</v>
      </c>
    </row>
    <row r="86" spans="1:2" x14ac:dyDescent="0.3">
      <c r="A86" s="53">
        <v>44321</v>
      </c>
      <c r="B86" s="53" t="s">
        <v>228</v>
      </c>
    </row>
    <row r="87" spans="1:2" x14ac:dyDescent="0.3">
      <c r="A87" s="53">
        <v>44339</v>
      </c>
      <c r="B87" s="53" t="s">
        <v>229</v>
      </c>
    </row>
    <row r="88" spans="1:2" x14ac:dyDescent="0.3">
      <c r="A88" s="53">
        <v>44347</v>
      </c>
      <c r="B88" s="53" t="s">
        <v>230</v>
      </c>
    </row>
    <row r="89" spans="1:2" x14ac:dyDescent="0.3">
      <c r="A89" s="53">
        <v>44354</v>
      </c>
      <c r="B89" s="53" t="s">
        <v>231</v>
      </c>
    </row>
    <row r="90" spans="1:2" x14ac:dyDescent="0.3">
      <c r="A90" s="53">
        <v>44362</v>
      </c>
      <c r="B90" s="53" t="s">
        <v>232</v>
      </c>
    </row>
    <row r="91" spans="1:2" x14ac:dyDescent="0.3">
      <c r="A91" s="53">
        <v>44370</v>
      </c>
      <c r="B91" s="53" t="s">
        <v>233</v>
      </c>
    </row>
    <row r="92" spans="1:2" x14ac:dyDescent="0.3">
      <c r="A92" s="53">
        <v>44388</v>
      </c>
      <c r="B92" s="53" t="s">
        <v>234</v>
      </c>
    </row>
    <row r="93" spans="1:2" x14ac:dyDescent="0.3">
      <c r="A93" s="53">
        <v>44396</v>
      </c>
      <c r="B93" s="53" t="s">
        <v>235</v>
      </c>
    </row>
    <row r="94" spans="1:2" x14ac:dyDescent="0.3">
      <c r="A94" s="53">
        <v>44404</v>
      </c>
      <c r="B94" s="53" t="s">
        <v>236</v>
      </c>
    </row>
    <row r="95" spans="1:2" x14ac:dyDescent="0.3">
      <c r="A95" s="53">
        <v>44412</v>
      </c>
      <c r="B95" s="53" t="s">
        <v>237</v>
      </c>
    </row>
    <row r="96" spans="1:2" x14ac:dyDescent="0.3">
      <c r="A96" s="53">
        <v>44420</v>
      </c>
      <c r="B96" s="53" t="s">
        <v>238</v>
      </c>
    </row>
    <row r="97" spans="1:2" x14ac:dyDescent="0.3">
      <c r="A97" s="53">
        <v>44438</v>
      </c>
      <c r="B97" s="53" t="s">
        <v>239</v>
      </c>
    </row>
    <row r="98" spans="1:2" x14ac:dyDescent="0.3">
      <c r="A98" s="53">
        <v>44446</v>
      </c>
      <c r="B98" s="53" t="s">
        <v>240</v>
      </c>
    </row>
    <row r="99" spans="1:2" x14ac:dyDescent="0.3">
      <c r="A99" s="53">
        <v>44453</v>
      </c>
      <c r="B99" s="53" t="s">
        <v>241</v>
      </c>
    </row>
    <row r="100" spans="1:2" x14ac:dyDescent="0.3">
      <c r="A100" s="53">
        <v>44461</v>
      </c>
      <c r="B100" s="53" t="s">
        <v>242</v>
      </c>
    </row>
    <row r="101" spans="1:2" x14ac:dyDescent="0.3">
      <c r="A101" s="53">
        <v>44479</v>
      </c>
      <c r="B101" s="53" t="s">
        <v>243</v>
      </c>
    </row>
    <row r="102" spans="1:2" x14ac:dyDescent="0.3">
      <c r="A102" s="53">
        <v>44487</v>
      </c>
      <c r="B102" s="53" t="s">
        <v>244</v>
      </c>
    </row>
    <row r="103" spans="1:2" x14ac:dyDescent="0.3">
      <c r="A103" s="53">
        <v>44495</v>
      </c>
      <c r="B103" s="53" t="s">
        <v>245</v>
      </c>
    </row>
    <row r="104" spans="1:2" x14ac:dyDescent="0.3">
      <c r="A104" s="53">
        <v>44503</v>
      </c>
      <c r="B104" s="53" t="s">
        <v>246</v>
      </c>
    </row>
    <row r="105" spans="1:2" x14ac:dyDescent="0.3">
      <c r="A105" s="53">
        <v>44511</v>
      </c>
      <c r="B105" s="53" t="s">
        <v>247</v>
      </c>
    </row>
    <row r="106" spans="1:2" x14ac:dyDescent="0.3">
      <c r="A106" s="53">
        <v>44529</v>
      </c>
      <c r="B106" s="53" t="s">
        <v>248</v>
      </c>
    </row>
    <row r="107" spans="1:2" x14ac:dyDescent="0.3">
      <c r="A107" s="53">
        <v>44537</v>
      </c>
      <c r="B107" s="53" t="s">
        <v>249</v>
      </c>
    </row>
    <row r="108" spans="1:2" x14ac:dyDescent="0.3">
      <c r="A108" s="53">
        <v>44545</v>
      </c>
      <c r="B108" s="53" t="s">
        <v>250</v>
      </c>
    </row>
    <row r="109" spans="1:2" x14ac:dyDescent="0.3">
      <c r="A109" s="53">
        <v>44552</v>
      </c>
      <c r="B109" s="53" t="s">
        <v>251</v>
      </c>
    </row>
    <row r="110" spans="1:2" x14ac:dyDescent="0.3">
      <c r="A110" s="53">
        <v>44560</v>
      </c>
      <c r="B110" s="53" t="s">
        <v>252</v>
      </c>
    </row>
    <row r="111" spans="1:2" x14ac:dyDescent="0.3">
      <c r="A111" s="53">
        <v>44578</v>
      </c>
      <c r="B111" s="53" t="s">
        <v>253</v>
      </c>
    </row>
    <row r="112" spans="1:2" x14ac:dyDescent="0.3">
      <c r="A112" s="53">
        <v>44586</v>
      </c>
      <c r="B112" s="53" t="s">
        <v>254</v>
      </c>
    </row>
    <row r="113" spans="1:2" x14ac:dyDescent="0.3">
      <c r="A113" s="53">
        <v>44594</v>
      </c>
      <c r="B113" s="53" t="s">
        <v>255</v>
      </c>
    </row>
    <row r="114" spans="1:2" x14ac:dyDescent="0.3">
      <c r="A114" s="53">
        <v>44602</v>
      </c>
      <c r="B114" s="53" t="s">
        <v>256</v>
      </c>
    </row>
    <row r="115" spans="1:2" x14ac:dyDescent="0.3">
      <c r="A115" s="53">
        <v>44610</v>
      </c>
      <c r="B115" s="53" t="s">
        <v>257</v>
      </c>
    </row>
    <row r="116" spans="1:2" x14ac:dyDescent="0.3">
      <c r="A116" s="53">
        <v>44628</v>
      </c>
      <c r="B116" s="53" t="s">
        <v>258</v>
      </c>
    </row>
    <row r="117" spans="1:2" x14ac:dyDescent="0.3">
      <c r="A117" s="53">
        <v>44636</v>
      </c>
      <c r="B117" s="53" t="s">
        <v>259</v>
      </c>
    </row>
    <row r="118" spans="1:2" x14ac:dyDescent="0.3">
      <c r="A118" s="53">
        <v>44644</v>
      </c>
      <c r="B118" s="53" t="s">
        <v>260</v>
      </c>
    </row>
    <row r="119" spans="1:2" x14ac:dyDescent="0.3">
      <c r="A119" s="53">
        <v>44651</v>
      </c>
      <c r="B119" s="53" t="s">
        <v>261</v>
      </c>
    </row>
    <row r="120" spans="1:2" x14ac:dyDescent="0.3">
      <c r="A120" s="53">
        <v>44669</v>
      </c>
      <c r="B120" s="53" t="s">
        <v>262</v>
      </c>
    </row>
    <row r="121" spans="1:2" x14ac:dyDescent="0.3">
      <c r="A121" s="53">
        <v>44677</v>
      </c>
      <c r="B121" s="53" t="s">
        <v>263</v>
      </c>
    </row>
    <row r="122" spans="1:2" x14ac:dyDescent="0.3">
      <c r="A122" s="53">
        <v>44685</v>
      </c>
      <c r="B122" s="53" t="s">
        <v>264</v>
      </c>
    </row>
    <row r="123" spans="1:2" x14ac:dyDescent="0.3">
      <c r="A123" s="53">
        <v>44693</v>
      </c>
      <c r="B123" s="53" t="s">
        <v>265</v>
      </c>
    </row>
    <row r="124" spans="1:2" x14ac:dyDescent="0.3">
      <c r="A124" s="53">
        <v>44701</v>
      </c>
      <c r="B124" s="53" t="s">
        <v>266</v>
      </c>
    </row>
    <row r="125" spans="1:2" x14ac:dyDescent="0.3">
      <c r="A125" s="53">
        <v>44719</v>
      </c>
      <c r="B125" s="53" t="s">
        <v>267</v>
      </c>
    </row>
    <row r="126" spans="1:2" x14ac:dyDescent="0.3">
      <c r="A126" s="53">
        <v>44727</v>
      </c>
      <c r="B126" s="53" t="s">
        <v>268</v>
      </c>
    </row>
    <row r="127" spans="1:2" x14ac:dyDescent="0.3">
      <c r="A127" s="53">
        <v>44735</v>
      </c>
      <c r="B127" s="53" t="s">
        <v>269</v>
      </c>
    </row>
    <row r="128" spans="1:2" x14ac:dyDescent="0.3">
      <c r="A128" s="53">
        <v>44743</v>
      </c>
      <c r="B128" s="53" t="s">
        <v>270</v>
      </c>
    </row>
    <row r="129" spans="1:2" x14ac:dyDescent="0.3">
      <c r="A129" s="53">
        <v>44750</v>
      </c>
      <c r="B129" s="53" t="s">
        <v>271</v>
      </c>
    </row>
    <row r="130" spans="1:2" x14ac:dyDescent="0.3">
      <c r="A130" s="53">
        <v>44768</v>
      </c>
      <c r="B130" s="53" t="s">
        <v>272</v>
      </c>
    </row>
    <row r="131" spans="1:2" x14ac:dyDescent="0.3">
      <c r="A131" s="53">
        <v>44776</v>
      </c>
      <c r="B131" s="53" t="s">
        <v>273</v>
      </c>
    </row>
    <row r="132" spans="1:2" x14ac:dyDescent="0.3">
      <c r="A132" s="53">
        <v>44784</v>
      </c>
      <c r="B132" s="53" t="s">
        <v>274</v>
      </c>
    </row>
    <row r="133" spans="1:2" x14ac:dyDescent="0.3">
      <c r="A133" s="53">
        <v>44792</v>
      </c>
      <c r="B133" s="53" t="s">
        <v>275</v>
      </c>
    </row>
    <row r="134" spans="1:2" x14ac:dyDescent="0.3">
      <c r="A134" s="53">
        <v>44800</v>
      </c>
      <c r="B134" s="53" t="s">
        <v>276</v>
      </c>
    </row>
    <row r="135" spans="1:2" x14ac:dyDescent="0.3">
      <c r="A135" s="53">
        <v>44818</v>
      </c>
      <c r="B135" s="53" t="s">
        <v>277</v>
      </c>
    </row>
    <row r="136" spans="1:2" x14ac:dyDescent="0.3">
      <c r="A136" s="53">
        <v>44826</v>
      </c>
      <c r="B136" s="53" t="s">
        <v>278</v>
      </c>
    </row>
    <row r="137" spans="1:2" x14ac:dyDescent="0.3">
      <c r="A137" s="53">
        <v>44834</v>
      </c>
      <c r="B137" s="53" t="s">
        <v>279</v>
      </c>
    </row>
    <row r="138" spans="1:2" x14ac:dyDescent="0.3">
      <c r="A138" s="53">
        <v>44842</v>
      </c>
      <c r="B138" s="53" t="s">
        <v>280</v>
      </c>
    </row>
    <row r="139" spans="1:2" x14ac:dyDescent="0.3">
      <c r="A139" s="53">
        <v>44859</v>
      </c>
      <c r="B139" s="53" t="s">
        <v>281</v>
      </c>
    </row>
    <row r="140" spans="1:2" x14ac:dyDescent="0.3">
      <c r="A140" s="53">
        <v>44867</v>
      </c>
      <c r="B140" s="53" t="s">
        <v>282</v>
      </c>
    </row>
    <row r="141" spans="1:2" x14ac:dyDescent="0.3">
      <c r="A141" s="53">
        <v>44875</v>
      </c>
      <c r="B141" s="53" t="s">
        <v>283</v>
      </c>
    </row>
    <row r="142" spans="1:2" x14ac:dyDescent="0.3">
      <c r="A142" s="53">
        <v>44883</v>
      </c>
      <c r="B142" s="53" t="s">
        <v>284</v>
      </c>
    </row>
    <row r="143" spans="1:2" x14ac:dyDescent="0.3">
      <c r="A143" s="53">
        <v>44891</v>
      </c>
      <c r="B143" s="53" t="s">
        <v>285</v>
      </c>
    </row>
    <row r="144" spans="1:2" x14ac:dyDescent="0.3">
      <c r="A144" s="53">
        <v>44909</v>
      </c>
      <c r="B144" s="53" t="s">
        <v>286</v>
      </c>
    </row>
    <row r="145" spans="1:2" x14ac:dyDescent="0.3">
      <c r="A145" s="53">
        <v>44917</v>
      </c>
      <c r="B145" s="53" t="s">
        <v>287</v>
      </c>
    </row>
    <row r="146" spans="1:2" x14ac:dyDescent="0.3">
      <c r="A146" s="53">
        <v>44925</v>
      </c>
      <c r="B146" s="53" t="s">
        <v>288</v>
      </c>
    </row>
    <row r="147" spans="1:2" x14ac:dyDescent="0.3">
      <c r="A147" s="53">
        <v>44933</v>
      </c>
      <c r="B147" s="53" t="s">
        <v>289</v>
      </c>
    </row>
    <row r="148" spans="1:2" x14ac:dyDescent="0.3">
      <c r="A148" s="53">
        <v>44941</v>
      </c>
      <c r="B148" s="53" t="s">
        <v>290</v>
      </c>
    </row>
    <row r="149" spans="1:2" x14ac:dyDescent="0.3">
      <c r="A149" s="53">
        <v>44958</v>
      </c>
      <c r="B149" s="53" t="s">
        <v>291</v>
      </c>
    </row>
    <row r="150" spans="1:2" x14ac:dyDescent="0.3">
      <c r="A150" s="53">
        <v>44966</v>
      </c>
      <c r="B150" s="53" t="s">
        <v>292</v>
      </c>
    </row>
    <row r="151" spans="1:2" x14ac:dyDescent="0.3">
      <c r="A151" s="53">
        <v>44974</v>
      </c>
      <c r="B151" s="53" t="s">
        <v>293</v>
      </c>
    </row>
    <row r="152" spans="1:2" x14ac:dyDescent="0.3">
      <c r="A152" s="53">
        <v>44982</v>
      </c>
      <c r="B152" s="53" t="s">
        <v>294</v>
      </c>
    </row>
    <row r="153" spans="1:2" x14ac:dyDescent="0.3">
      <c r="A153" s="53">
        <v>44990</v>
      </c>
      <c r="B153" s="53" t="s">
        <v>295</v>
      </c>
    </row>
    <row r="154" spans="1:2" x14ac:dyDescent="0.3">
      <c r="A154" s="53">
        <v>45005</v>
      </c>
      <c r="B154" s="53" t="s">
        <v>296</v>
      </c>
    </row>
    <row r="155" spans="1:2" x14ac:dyDescent="0.3">
      <c r="A155" s="53">
        <v>45013</v>
      </c>
      <c r="B155" s="53" t="s">
        <v>297</v>
      </c>
    </row>
    <row r="156" spans="1:2" x14ac:dyDescent="0.3">
      <c r="A156" s="53">
        <v>45021</v>
      </c>
      <c r="B156" s="53" t="s">
        <v>298</v>
      </c>
    </row>
    <row r="157" spans="1:2" x14ac:dyDescent="0.3">
      <c r="A157" s="53">
        <v>45039</v>
      </c>
      <c r="B157" s="53" t="s">
        <v>299</v>
      </c>
    </row>
    <row r="158" spans="1:2" x14ac:dyDescent="0.3">
      <c r="A158" s="53">
        <v>45047</v>
      </c>
      <c r="B158" s="53" t="s">
        <v>300</v>
      </c>
    </row>
    <row r="159" spans="1:2" x14ac:dyDescent="0.3">
      <c r="A159" s="53">
        <v>45054</v>
      </c>
      <c r="B159" s="53" t="s">
        <v>301</v>
      </c>
    </row>
    <row r="160" spans="1:2" x14ac:dyDescent="0.3">
      <c r="A160" s="53">
        <v>45062</v>
      </c>
      <c r="B160" s="53" t="s">
        <v>302</v>
      </c>
    </row>
    <row r="161" spans="1:2" x14ac:dyDescent="0.3">
      <c r="A161" s="53">
        <v>45070</v>
      </c>
      <c r="B161" s="53" t="s">
        <v>303</v>
      </c>
    </row>
    <row r="162" spans="1:2" x14ac:dyDescent="0.3">
      <c r="A162" s="53">
        <v>45088</v>
      </c>
      <c r="B162" s="53" t="s">
        <v>304</v>
      </c>
    </row>
    <row r="163" spans="1:2" x14ac:dyDescent="0.3">
      <c r="A163" s="53">
        <v>45096</v>
      </c>
      <c r="B163" s="53" t="s">
        <v>305</v>
      </c>
    </row>
    <row r="164" spans="1:2" x14ac:dyDescent="0.3">
      <c r="A164" s="53">
        <v>45104</v>
      </c>
      <c r="B164" s="53" t="s">
        <v>306</v>
      </c>
    </row>
    <row r="165" spans="1:2" x14ac:dyDescent="0.3">
      <c r="A165" s="53">
        <v>45112</v>
      </c>
      <c r="B165" s="53" t="s">
        <v>307</v>
      </c>
    </row>
    <row r="166" spans="1:2" x14ac:dyDescent="0.3">
      <c r="A166" s="53">
        <v>45120</v>
      </c>
      <c r="B166" s="53" t="s">
        <v>308</v>
      </c>
    </row>
    <row r="167" spans="1:2" x14ac:dyDescent="0.3">
      <c r="A167" s="53">
        <v>45138</v>
      </c>
      <c r="B167" s="53" t="s">
        <v>309</v>
      </c>
    </row>
    <row r="168" spans="1:2" x14ac:dyDescent="0.3">
      <c r="A168" s="53">
        <v>45144</v>
      </c>
      <c r="B168" s="53" t="s">
        <v>310</v>
      </c>
    </row>
    <row r="169" spans="1:2" x14ac:dyDescent="0.3">
      <c r="A169" s="53">
        <v>45146</v>
      </c>
      <c r="B169" s="53" t="s">
        <v>311</v>
      </c>
    </row>
    <row r="170" spans="1:2" x14ac:dyDescent="0.3">
      <c r="A170" s="53">
        <v>45153</v>
      </c>
      <c r="B170" s="53" t="s">
        <v>312</v>
      </c>
    </row>
    <row r="171" spans="1:2" x14ac:dyDescent="0.3">
      <c r="A171" s="53">
        <v>45161</v>
      </c>
      <c r="B171" s="53" t="s">
        <v>313</v>
      </c>
    </row>
    <row r="172" spans="1:2" x14ac:dyDescent="0.3">
      <c r="A172" s="53">
        <v>45179</v>
      </c>
      <c r="B172" s="53" t="s">
        <v>314</v>
      </c>
    </row>
    <row r="173" spans="1:2" x14ac:dyDescent="0.3">
      <c r="A173" s="53">
        <v>45187</v>
      </c>
      <c r="B173" s="53" t="s">
        <v>315</v>
      </c>
    </row>
    <row r="174" spans="1:2" x14ac:dyDescent="0.3">
      <c r="A174" s="53">
        <v>45195</v>
      </c>
      <c r="B174" s="53" t="s">
        <v>316</v>
      </c>
    </row>
    <row r="175" spans="1:2" x14ac:dyDescent="0.3">
      <c r="A175" s="53">
        <v>45203</v>
      </c>
      <c r="B175" s="53" t="s">
        <v>317</v>
      </c>
    </row>
    <row r="176" spans="1:2" x14ac:dyDescent="0.3">
      <c r="A176" s="53">
        <v>45211</v>
      </c>
      <c r="B176" s="53" t="s">
        <v>318</v>
      </c>
    </row>
    <row r="177" spans="1:2" x14ac:dyDescent="0.3">
      <c r="A177" s="53">
        <v>45229</v>
      </c>
      <c r="B177" s="53" t="s">
        <v>319</v>
      </c>
    </row>
    <row r="178" spans="1:2" x14ac:dyDescent="0.3">
      <c r="A178" s="53">
        <v>45237</v>
      </c>
      <c r="B178" s="53" t="s">
        <v>320</v>
      </c>
    </row>
    <row r="179" spans="1:2" x14ac:dyDescent="0.3">
      <c r="A179" s="53">
        <v>45245</v>
      </c>
      <c r="B179" s="53" t="s">
        <v>321</v>
      </c>
    </row>
    <row r="180" spans="1:2" x14ac:dyDescent="0.3">
      <c r="A180" s="53">
        <v>45252</v>
      </c>
      <c r="B180" s="53" t="s">
        <v>322</v>
      </c>
    </row>
    <row r="181" spans="1:2" x14ac:dyDescent="0.3">
      <c r="A181" s="53">
        <v>45260</v>
      </c>
      <c r="B181" s="53" t="s">
        <v>323</v>
      </c>
    </row>
    <row r="182" spans="1:2" x14ac:dyDescent="0.3">
      <c r="A182" s="53">
        <v>45278</v>
      </c>
      <c r="B182" s="53" t="s">
        <v>324</v>
      </c>
    </row>
    <row r="183" spans="1:2" x14ac:dyDescent="0.3">
      <c r="A183" s="53">
        <v>45286</v>
      </c>
      <c r="B183" s="53" t="s">
        <v>325</v>
      </c>
    </row>
    <row r="184" spans="1:2" x14ac:dyDescent="0.3">
      <c r="A184" s="53">
        <v>45294</v>
      </c>
      <c r="B184" s="53" t="s">
        <v>326</v>
      </c>
    </row>
    <row r="185" spans="1:2" x14ac:dyDescent="0.3">
      <c r="A185" s="53">
        <v>45302</v>
      </c>
      <c r="B185" s="53" t="s">
        <v>327</v>
      </c>
    </row>
    <row r="186" spans="1:2" x14ac:dyDescent="0.3">
      <c r="A186" s="53">
        <v>45310</v>
      </c>
      <c r="B186" s="53" t="s">
        <v>328</v>
      </c>
    </row>
    <row r="187" spans="1:2" x14ac:dyDescent="0.3">
      <c r="A187" s="53">
        <v>45328</v>
      </c>
      <c r="B187" s="53" t="s">
        <v>329</v>
      </c>
    </row>
    <row r="188" spans="1:2" x14ac:dyDescent="0.3">
      <c r="A188" s="53">
        <v>45336</v>
      </c>
      <c r="B188" s="53" t="s">
        <v>330</v>
      </c>
    </row>
    <row r="189" spans="1:2" x14ac:dyDescent="0.3">
      <c r="A189" s="53">
        <v>45344</v>
      </c>
      <c r="B189" s="53" t="s">
        <v>331</v>
      </c>
    </row>
    <row r="190" spans="1:2" x14ac:dyDescent="0.3">
      <c r="A190" s="53">
        <v>45351</v>
      </c>
      <c r="B190" s="53" t="s">
        <v>332</v>
      </c>
    </row>
    <row r="191" spans="1:2" x14ac:dyDescent="0.3">
      <c r="A191" s="53">
        <v>45369</v>
      </c>
      <c r="B191" s="53" t="s">
        <v>333</v>
      </c>
    </row>
    <row r="192" spans="1:2" x14ac:dyDescent="0.3">
      <c r="A192" s="53">
        <v>45377</v>
      </c>
      <c r="B192" s="53" t="s">
        <v>334</v>
      </c>
    </row>
    <row r="193" spans="1:2" x14ac:dyDescent="0.3">
      <c r="A193" s="53">
        <v>45385</v>
      </c>
      <c r="B193" s="53" t="s">
        <v>335</v>
      </c>
    </row>
    <row r="194" spans="1:2" x14ac:dyDescent="0.3">
      <c r="A194" s="53">
        <v>45393</v>
      </c>
      <c r="B194" s="53" t="s">
        <v>336</v>
      </c>
    </row>
    <row r="195" spans="1:2" x14ac:dyDescent="0.3">
      <c r="A195" s="53">
        <v>45401</v>
      </c>
      <c r="B195" s="53" t="s">
        <v>337</v>
      </c>
    </row>
    <row r="196" spans="1:2" x14ac:dyDescent="0.3">
      <c r="A196" s="53">
        <v>45419</v>
      </c>
      <c r="B196" s="53" t="s">
        <v>338</v>
      </c>
    </row>
    <row r="197" spans="1:2" x14ac:dyDescent="0.3">
      <c r="A197" s="53">
        <v>45427</v>
      </c>
      <c r="B197" s="53" t="s">
        <v>339</v>
      </c>
    </row>
    <row r="198" spans="1:2" x14ac:dyDescent="0.3">
      <c r="A198" s="53">
        <v>45435</v>
      </c>
      <c r="B198" s="53" t="s">
        <v>340</v>
      </c>
    </row>
    <row r="199" spans="1:2" x14ac:dyDescent="0.3">
      <c r="A199" s="53">
        <v>45443</v>
      </c>
      <c r="B199" s="53" t="s">
        <v>341</v>
      </c>
    </row>
    <row r="200" spans="1:2" x14ac:dyDescent="0.3">
      <c r="A200" s="53">
        <v>45450</v>
      </c>
      <c r="B200" s="53" t="s">
        <v>342</v>
      </c>
    </row>
    <row r="201" spans="1:2" x14ac:dyDescent="0.3">
      <c r="A201" s="53">
        <v>45468</v>
      </c>
      <c r="B201" s="53" t="s">
        <v>343</v>
      </c>
    </row>
    <row r="202" spans="1:2" x14ac:dyDescent="0.3">
      <c r="A202" s="53">
        <v>45476</v>
      </c>
      <c r="B202" s="53" t="s">
        <v>344</v>
      </c>
    </row>
    <row r="203" spans="1:2" x14ac:dyDescent="0.3">
      <c r="A203" s="53">
        <v>45484</v>
      </c>
      <c r="B203" s="53" t="s">
        <v>345</v>
      </c>
    </row>
    <row r="204" spans="1:2" x14ac:dyDescent="0.3">
      <c r="A204" s="53">
        <v>45492</v>
      </c>
      <c r="B204" s="53" t="s">
        <v>346</v>
      </c>
    </row>
    <row r="205" spans="1:2" x14ac:dyDescent="0.3">
      <c r="A205" s="53">
        <v>45500</v>
      </c>
      <c r="B205" s="53" t="s">
        <v>347</v>
      </c>
    </row>
    <row r="206" spans="1:2" x14ac:dyDescent="0.3">
      <c r="A206" s="53">
        <v>45518</v>
      </c>
      <c r="B206" s="53" t="s">
        <v>348</v>
      </c>
    </row>
    <row r="207" spans="1:2" x14ac:dyDescent="0.3">
      <c r="A207" s="53">
        <v>45526</v>
      </c>
      <c r="B207" s="53" t="s">
        <v>349</v>
      </c>
    </row>
    <row r="208" spans="1:2" x14ac:dyDescent="0.3">
      <c r="A208" s="53">
        <v>45534</v>
      </c>
      <c r="B208" s="53" t="s">
        <v>350</v>
      </c>
    </row>
    <row r="209" spans="1:2" x14ac:dyDescent="0.3">
      <c r="A209" s="53">
        <v>45542</v>
      </c>
      <c r="B209" s="53" t="s">
        <v>351</v>
      </c>
    </row>
    <row r="210" spans="1:2" x14ac:dyDescent="0.3">
      <c r="A210" s="53">
        <v>45559</v>
      </c>
      <c r="B210" s="53" t="s">
        <v>352</v>
      </c>
    </row>
    <row r="211" spans="1:2" x14ac:dyDescent="0.3">
      <c r="A211" s="53">
        <v>45567</v>
      </c>
      <c r="B211" s="53" t="s">
        <v>353</v>
      </c>
    </row>
    <row r="212" spans="1:2" x14ac:dyDescent="0.3">
      <c r="A212" s="53">
        <v>45575</v>
      </c>
      <c r="B212" s="53" t="s">
        <v>354</v>
      </c>
    </row>
    <row r="213" spans="1:2" x14ac:dyDescent="0.3">
      <c r="A213" s="53">
        <v>45583</v>
      </c>
      <c r="B213" s="53" t="s">
        <v>355</v>
      </c>
    </row>
    <row r="214" spans="1:2" x14ac:dyDescent="0.3">
      <c r="A214" s="53">
        <v>45591</v>
      </c>
      <c r="B214" s="53" t="s">
        <v>356</v>
      </c>
    </row>
    <row r="215" spans="1:2" x14ac:dyDescent="0.3">
      <c r="A215" s="53">
        <v>45609</v>
      </c>
      <c r="B215" s="53" t="s">
        <v>357</v>
      </c>
    </row>
    <row r="216" spans="1:2" x14ac:dyDescent="0.3">
      <c r="A216" s="53">
        <v>45617</v>
      </c>
      <c r="B216" s="53" t="s">
        <v>358</v>
      </c>
    </row>
    <row r="217" spans="1:2" x14ac:dyDescent="0.3">
      <c r="A217" s="53">
        <v>45625</v>
      </c>
      <c r="B217" s="53" t="s">
        <v>359</v>
      </c>
    </row>
    <row r="218" spans="1:2" x14ac:dyDescent="0.3">
      <c r="A218" s="53">
        <v>45633</v>
      </c>
      <c r="B218" s="53" t="s">
        <v>360</v>
      </c>
    </row>
    <row r="219" spans="1:2" x14ac:dyDescent="0.3">
      <c r="A219" s="53">
        <v>45641</v>
      </c>
      <c r="B219" s="53" t="s">
        <v>361</v>
      </c>
    </row>
    <row r="220" spans="1:2" x14ac:dyDescent="0.3">
      <c r="A220" s="53">
        <v>45658</v>
      </c>
      <c r="B220" s="53" t="s">
        <v>362</v>
      </c>
    </row>
    <row r="221" spans="1:2" x14ac:dyDescent="0.3">
      <c r="A221" s="53">
        <v>45666</v>
      </c>
      <c r="B221" s="53" t="s">
        <v>363</v>
      </c>
    </row>
    <row r="222" spans="1:2" x14ac:dyDescent="0.3">
      <c r="A222" s="53">
        <v>45674</v>
      </c>
      <c r="B222" s="53" t="s">
        <v>364</v>
      </c>
    </row>
    <row r="223" spans="1:2" x14ac:dyDescent="0.3">
      <c r="A223" s="53">
        <v>45757</v>
      </c>
      <c r="B223" s="53" t="s">
        <v>365</v>
      </c>
    </row>
    <row r="224" spans="1:2" x14ac:dyDescent="0.3">
      <c r="A224" s="53">
        <v>45765</v>
      </c>
      <c r="B224" s="53" t="s">
        <v>366</v>
      </c>
    </row>
    <row r="225" spans="1:2" x14ac:dyDescent="0.3">
      <c r="A225" s="53">
        <v>45773</v>
      </c>
      <c r="B225" s="53" t="s">
        <v>367</v>
      </c>
    </row>
    <row r="226" spans="1:2" x14ac:dyDescent="0.3">
      <c r="A226" s="53">
        <v>45781</v>
      </c>
      <c r="B226" s="53" t="s">
        <v>368</v>
      </c>
    </row>
    <row r="227" spans="1:2" x14ac:dyDescent="0.3">
      <c r="A227" s="53">
        <v>45799</v>
      </c>
      <c r="B227" s="53" t="s">
        <v>369</v>
      </c>
    </row>
    <row r="228" spans="1:2" x14ac:dyDescent="0.3">
      <c r="A228" s="53">
        <v>45807</v>
      </c>
      <c r="B228" s="53" t="s">
        <v>370</v>
      </c>
    </row>
    <row r="229" spans="1:2" x14ac:dyDescent="0.3">
      <c r="A229" s="53">
        <v>45823</v>
      </c>
      <c r="B229" s="53" t="s">
        <v>371</v>
      </c>
    </row>
    <row r="230" spans="1:2" x14ac:dyDescent="0.3">
      <c r="A230" s="53">
        <v>45831</v>
      </c>
      <c r="B230" s="53" t="s">
        <v>372</v>
      </c>
    </row>
    <row r="231" spans="1:2" x14ac:dyDescent="0.3">
      <c r="A231" s="53">
        <v>45856</v>
      </c>
      <c r="B231" s="53" t="s">
        <v>373</v>
      </c>
    </row>
    <row r="232" spans="1:2" x14ac:dyDescent="0.3">
      <c r="A232" s="53">
        <v>45864</v>
      </c>
      <c r="B232" s="53" t="s">
        <v>374</v>
      </c>
    </row>
    <row r="233" spans="1:2" x14ac:dyDescent="0.3">
      <c r="A233" s="53">
        <v>45872</v>
      </c>
      <c r="B233" s="53" t="s">
        <v>375</v>
      </c>
    </row>
    <row r="234" spans="1:2" x14ac:dyDescent="0.3">
      <c r="A234" s="53">
        <v>45880</v>
      </c>
      <c r="B234" s="53" t="s">
        <v>376</v>
      </c>
    </row>
    <row r="235" spans="1:2" x14ac:dyDescent="0.3">
      <c r="A235" s="53">
        <v>45906</v>
      </c>
      <c r="B235" s="53" t="s">
        <v>377</v>
      </c>
    </row>
    <row r="236" spans="1:2" x14ac:dyDescent="0.3">
      <c r="A236" s="53">
        <v>45914</v>
      </c>
      <c r="B236" s="53" t="s">
        <v>378</v>
      </c>
    </row>
    <row r="237" spans="1:2" x14ac:dyDescent="0.3">
      <c r="A237" s="53">
        <v>45922</v>
      </c>
      <c r="B237" s="53" t="s">
        <v>379</v>
      </c>
    </row>
    <row r="238" spans="1:2" x14ac:dyDescent="0.3">
      <c r="A238" s="53">
        <v>45948</v>
      </c>
      <c r="B238" s="53" t="s">
        <v>380</v>
      </c>
    </row>
    <row r="239" spans="1:2" x14ac:dyDescent="0.3">
      <c r="A239" s="53">
        <v>45955</v>
      </c>
      <c r="B239" s="53" t="s">
        <v>381</v>
      </c>
    </row>
    <row r="240" spans="1:2" x14ac:dyDescent="0.3">
      <c r="A240" s="53">
        <v>45963</v>
      </c>
      <c r="B240" s="53" t="s">
        <v>382</v>
      </c>
    </row>
    <row r="241" spans="1:2" x14ac:dyDescent="0.3">
      <c r="A241" s="53">
        <v>45971</v>
      </c>
      <c r="B241" s="53" t="s">
        <v>383</v>
      </c>
    </row>
    <row r="242" spans="1:2" x14ac:dyDescent="0.3">
      <c r="A242" s="53">
        <v>45997</v>
      </c>
      <c r="B242" s="53" t="s">
        <v>384</v>
      </c>
    </row>
    <row r="243" spans="1:2" x14ac:dyDescent="0.3">
      <c r="A243" s="53">
        <v>46003</v>
      </c>
      <c r="B243" s="53" t="s">
        <v>385</v>
      </c>
    </row>
    <row r="244" spans="1:2" x14ac:dyDescent="0.3">
      <c r="A244" s="53">
        <v>46011</v>
      </c>
      <c r="B244" s="53" t="s">
        <v>386</v>
      </c>
    </row>
    <row r="245" spans="1:2" x14ac:dyDescent="0.3">
      <c r="A245" s="53">
        <v>46037</v>
      </c>
      <c r="B245" s="53" t="s">
        <v>387</v>
      </c>
    </row>
    <row r="246" spans="1:2" x14ac:dyDescent="0.3">
      <c r="A246" s="53">
        <v>46045</v>
      </c>
      <c r="B246" s="53" t="s">
        <v>388</v>
      </c>
    </row>
    <row r="247" spans="1:2" x14ac:dyDescent="0.3">
      <c r="A247" s="53">
        <v>46060</v>
      </c>
      <c r="B247" s="53" t="s">
        <v>389</v>
      </c>
    </row>
    <row r="248" spans="1:2" x14ac:dyDescent="0.3">
      <c r="A248" s="53">
        <v>46078</v>
      </c>
      <c r="B248" s="53" t="s">
        <v>390</v>
      </c>
    </row>
    <row r="249" spans="1:2" x14ac:dyDescent="0.3">
      <c r="A249" s="53">
        <v>46094</v>
      </c>
      <c r="B249" s="53" t="s">
        <v>391</v>
      </c>
    </row>
    <row r="250" spans="1:2" x14ac:dyDescent="0.3">
      <c r="A250" s="53">
        <v>46102</v>
      </c>
      <c r="B250" s="53" t="s">
        <v>392</v>
      </c>
    </row>
    <row r="251" spans="1:2" x14ac:dyDescent="0.3">
      <c r="A251" s="53">
        <v>46110</v>
      </c>
      <c r="B251" s="53" t="s">
        <v>393</v>
      </c>
    </row>
    <row r="252" spans="1:2" x14ac:dyDescent="0.3">
      <c r="A252" s="53">
        <v>46128</v>
      </c>
      <c r="B252" s="53" t="s">
        <v>394</v>
      </c>
    </row>
    <row r="253" spans="1:2" x14ac:dyDescent="0.3">
      <c r="A253" s="53">
        <v>46136</v>
      </c>
      <c r="B253" s="53" t="s">
        <v>395</v>
      </c>
    </row>
    <row r="254" spans="1:2" x14ac:dyDescent="0.3">
      <c r="A254" s="53">
        <v>46144</v>
      </c>
      <c r="B254" s="53" t="s">
        <v>396</v>
      </c>
    </row>
    <row r="255" spans="1:2" x14ac:dyDescent="0.3">
      <c r="A255" s="53">
        <v>46151</v>
      </c>
      <c r="B255" s="53" t="s">
        <v>397</v>
      </c>
    </row>
    <row r="256" spans="1:2" x14ac:dyDescent="0.3">
      <c r="A256" s="53">
        <v>46177</v>
      </c>
      <c r="B256" s="53" t="s">
        <v>398</v>
      </c>
    </row>
    <row r="257" spans="1:2" x14ac:dyDescent="0.3">
      <c r="A257" s="53">
        <v>46193</v>
      </c>
      <c r="B257" s="53" t="s">
        <v>399</v>
      </c>
    </row>
    <row r="258" spans="1:2" x14ac:dyDescent="0.3">
      <c r="A258" s="53">
        <v>46201</v>
      </c>
      <c r="B258" s="53" t="s">
        <v>400</v>
      </c>
    </row>
    <row r="259" spans="1:2" x14ac:dyDescent="0.3">
      <c r="A259" s="53">
        <v>46219</v>
      </c>
      <c r="B259" s="53" t="s">
        <v>401</v>
      </c>
    </row>
    <row r="260" spans="1:2" x14ac:dyDescent="0.3">
      <c r="A260" s="53">
        <v>46235</v>
      </c>
      <c r="B260" s="53" t="s">
        <v>402</v>
      </c>
    </row>
    <row r="261" spans="1:2" x14ac:dyDescent="0.3">
      <c r="A261" s="53">
        <v>46243</v>
      </c>
      <c r="B261" s="53" t="s">
        <v>403</v>
      </c>
    </row>
    <row r="262" spans="1:2" x14ac:dyDescent="0.3">
      <c r="A262" s="53">
        <v>46250</v>
      </c>
      <c r="B262" s="53" t="s">
        <v>404</v>
      </c>
    </row>
    <row r="263" spans="1:2" x14ac:dyDescent="0.3">
      <c r="A263" s="53">
        <v>46268</v>
      </c>
      <c r="B263" s="53" t="s">
        <v>405</v>
      </c>
    </row>
    <row r="264" spans="1:2" x14ac:dyDescent="0.3">
      <c r="A264" s="53">
        <v>46276</v>
      </c>
      <c r="B264" s="53" t="s">
        <v>406</v>
      </c>
    </row>
    <row r="265" spans="1:2" x14ac:dyDescent="0.3">
      <c r="A265" s="53">
        <v>46284</v>
      </c>
      <c r="B265" s="53" t="s">
        <v>407</v>
      </c>
    </row>
    <row r="266" spans="1:2" x14ac:dyDescent="0.3">
      <c r="A266" s="53">
        <v>46300</v>
      </c>
      <c r="B266" s="53" t="s">
        <v>408</v>
      </c>
    </row>
    <row r="267" spans="1:2" x14ac:dyDescent="0.3">
      <c r="A267" s="53">
        <v>46318</v>
      </c>
      <c r="B267" s="53" t="s">
        <v>409</v>
      </c>
    </row>
    <row r="268" spans="1:2" x14ac:dyDescent="0.3">
      <c r="A268" s="53">
        <v>46326</v>
      </c>
      <c r="B268" s="53" t="s">
        <v>410</v>
      </c>
    </row>
    <row r="269" spans="1:2" x14ac:dyDescent="0.3">
      <c r="A269" s="53">
        <v>46334</v>
      </c>
      <c r="B269" s="53" t="s">
        <v>411</v>
      </c>
    </row>
    <row r="270" spans="1:2" x14ac:dyDescent="0.3">
      <c r="A270" s="53">
        <v>46342</v>
      </c>
      <c r="B270" s="53" t="s">
        <v>412</v>
      </c>
    </row>
    <row r="271" spans="1:2" x14ac:dyDescent="0.3">
      <c r="A271" s="53">
        <v>46359</v>
      </c>
      <c r="B271" s="53" t="s">
        <v>413</v>
      </c>
    </row>
    <row r="272" spans="1:2" x14ac:dyDescent="0.3">
      <c r="A272" s="53">
        <v>46367</v>
      </c>
      <c r="B272" s="53" t="s">
        <v>414</v>
      </c>
    </row>
    <row r="273" spans="1:2" x14ac:dyDescent="0.3">
      <c r="A273" s="53">
        <v>46383</v>
      </c>
      <c r="B273" s="53" t="s">
        <v>415</v>
      </c>
    </row>
    <row r="274" spans="1:2" x14ac:dyDescent="0.3">
      <c r="A274" s="53">
        <v>46391</v>
      </c>
      <c r="B274" s="53" t="s">
        <v>416</v>
      </c>
    </row>
    <row r="275" spans="1:2" x14ac:dyDescent="0.3">
      <c r="A275" s="53">
        <v>46409</v>
      </c>
      <c r="B275" s="53" t="s">
        <v>417</v>
      </c>
    </row>
    <row r="276" spans="1:2" x14ac:dyDescent="0.3">
      <c r="A276" s="53">
        <v>46425</v>
      </c>
      <c r="B276" s="53" t="s">
        <v>418</v>
      </c>
    </row>
    <row r="277" spans="1:2" x14ac:dyDescent="0.3">
      <c r="A277" s="53">
        <v>46433</v>
      </c>
      <c r="B277" s="53" t="s">
        <v>419</v>
      </c>
    </row>
    <row r="278" spans="1:2" x14ac:dyDescent="0.3">
      <c r="A278" s="53">
        <v>46441</v>
      </c>
      <c r="B278" s="53" t="s">
        <v>420</v>
      </c>
    </row>
    <row r="279" spans="1:2" x14ac:dyDescent="0.3">
      <c r="A279" s="53">
        <v>46458</v>
      </c>
      <c r="B279" s="53" t="s">
        <v>421</v>
      </c>
    </row>
    <row r="280" spans="1:2" x14ac:dyDescent="0.3">
      <c r="A280" s="53">
        <v>46474</v>
      </c>
      <c r="B280" s="53" t="s">
        <v>422</v>
      </c>
    </row>
    <row r="281" spans="1:2" x14ac:dyDescent="0.3">
      <c r="A281" s="53">
        <v>46482</v>
      </c>
      <c r="B281" s="53" t="s">
        <v>423</v>
      </c>
    </row>
    <row r="282" spans="1:2" x14ac:dyDescent="0.3">
      <c r="A282" s="53">
        <v>46508</v>
      </c>
      <c r="B282" s="53" t="s">
        <v>424</v>
      </c>
    </row>
    <row r="283" spans="1:2" x14ac:dyDescent="0.3">
      <c r="A283" s="53">
        <v>46516</v>
      </c>
      <c r="B283" s="53" t="s">
        <v>425</v>
      </c>
    </row>
    <row r="284" spans="1:2" x14ac:dyDescent="0.3">
      <c r="A284" s="53">
        <v>46524</v>
      </c>
      <c r="B284" s="53" t="s">
        <v>426</v>
      </c>
    </row>
    <row r="285" spans="1:2" x14ac:dyDescent="0.3">
      <c r="A285" s="53">
        <v>46557</v>
      </c>
      <c r="B285" s="53" t="s">
        <v>427</v>
      </c>
    </row>
    <row r="286" spans="1:2" x14ac:dyDescent="0.3">
      <c r="A286" s="53">
        <v>46565</v>
      </c>
      <c r="B286" s="53" t="s">
        <v>428</v>
      </c>
    </row>
    <row r="287" spans="1:2" x14ac:dyDescent="0.3">
      <c r="A287" s="53">
        <v>46573</v>
      </c>
      <c r="B287" s="53" t="s">
        <v>429</v>
      </c>
    </row>
    <row r="288" spans="1:2" x14ac:dyDescent="0.3">
      <c r="A288" s="53">
        <v>46581</v>
      </c>
      <c r="B288" s="53" t="s">
        <v>430</v>
      </c>
    </row>
    <row r="289" spans="1:2" x14ac:dyDescent="0.3">
      <c r="A289" s="53">
        <v>46599</v>
      </c>
      <c r="B289" s="53" t="s">
        <v>431</v>
      </c>
    </row>
    <row r="290" spans="1:2" x14ac:dyDescent="0.3">
      <c r="A290" s="53">
        <v>46607</v>
      </c>
      <c r="B290" s="53" t="s">
        <v>432</v>
      </c>
    </row>
    <row r="291" spans="1:2" x14ac:dyDescent="0.3">
      <c r="A291" s="53">
        <v>46623</v>
      </c>
      <c r="B291" s="53" t="s">
        <v>433</v>
      </c>
    </row>
    <row r="292" spans="1:2" x14ac:dyDescent="0.3">
      <c r="A292" s="53">
        <v>46631</v>
      </c>
      <c r="B292" s="53" t="s">
        <v>434</v>
      </c>
    </row>
    <row r="293" spans="1:2" x14ac:dyDescent="0.3">
      <c r="A293" s="53">
        <v>46649</v>
      </c>
      <c r="B293" s="53" t="s">
        <v>435</v>
      </c>
    </row>
    <row r="294" spans="1:2" x14ac:dyDescent="0.3">
      <c r="A294" s="53">
        <v>46672</v>
      </c>
      <c r="B294" s="53" t="s">
        <v>436</v>
      </c>
    </row>
    <row r="295" spans="1:2" x14ac:dyDescent="0.3">
      <c r="A295" s="53">
        <v>46680</v>
      </c>
      <c r="B295" s="53" t="s">
        <v>437</v>
      </c>
    </row>
    <row r="296" spans="1:2" x14ac:dyDescent="0.3">
      <c r="A296" s="53">
        <v>46706</v>
      </c>
      <c r="B296" s="53" t="s">
        <v>438</v>
      </c>
    </row>
    <row r="297" spans="1:2" x14ac:dyDescent="0.3">
      <c r="A297" s="53">
        <v>46714</v>
      </c>
      <c r="B297" s="53" t="s">
        <v>439</v>
      </c>
    </row>
    <row r="298" spans="1:2" x14ac:dyDescent="0.3">
      <c r="A298" s="53">
        <v>46722</v>
      </c>
      <c r="B298" s="53" t="s">
        <v>440</v>
      </c>
    </row>
    <row r="299" spans="1:2" x14ac:dyDescent="0.3">
      <c r="A299" s="53">
        <v>46748</v>
      </c>
      <c r="B299" s="53" t="s">
        <v>441</v>
      </c>
    </row>
    <row r="300" spans="1:2" x14ac:dyDescent="0.3">
      <c r="A300" s="53">
        <v>46755</v>
      </c>
      <c r="B300" s="53" t="s">
        <v>442</v>
      </c>
    </row>
    <row r="301" spans="1:2" x14ac:dyDescent="0.3">
      <c r="A301" s="53">
        <v>46763</v>
      </c>
      <c r="B301" s="53" t="s">
        <v>443</v>
      </c>
    </row>
    <row r="302" spans="1:2" x14ac:dyDescent="0.3">
      <c r="A302" s="53">
        <v>46789</v>
      </c>
      <c r="B302" s="53" t="s">
        <v>444</v>
      </c>
    </row>
    <row r="303" spans="1:2" x14ac:dyDescent="0.3">
      <c r="A303" s="53">
        <v>46797</v>
      </c>
      <c r="B303" s="53" t="s">
        <v>445</v>
      </c>
    </row>
    <row r="304" spans="1:2" x14ac:dyDescent="0.3">
      <c r="A304" s="53">
        <v>46805</v>
      </c>
      <c r="B304" s="53" t="s">
        <v>446</v>
      </c>
    </row>
    <row r="305" spans="1:2" x14ac:dyDescent="0.3">
      <c r="A305" s="53">
        <v>46813</v>
      </c>
      <c r="B305" s="53" t="s">
        <v>447</v>
      </c>
    </row>
    <row r="306" spans="1:2" x14ac:dyDescent="0.3">
      <c r="A306" s="53">
        <v>46821</v>
      </c>
      <c r="B306" s="53" t="s">
        <v>448</v>
      </c>
    </row>
    <row r="307" spans="1:2" x14ac:dyDescent="0.3">
      <c r="A307" s="53">
        <v>46847</v>
      </c>
      <c r="B307" s="53" t="s">
        <v>449</v>
      </c>
    </row>
    <row r="308" spans="1:2" x14ac:dyDescent="0.3">
      <c r="A308" s="53">
        <v>46854</v>
      </c>
      <c r="B308" s="53" t="s">
        <v>450</v>
      </c>
    </row>
    <row r="309" spans="1:2" x14ac:dyDescent="0.3">
      <c r="A309" s="53">
        <v>46862</v>
      </c>
      <c r="B309" s="53" t="s">
        <v>451</v>
      </c>
    </row>
    <row r="310" spans="1:2" x14ac:dyDescent="0.3">
      <c r="A310" s="53">
        <v>46870</v>
      </c>
      <c r="B310" s="53" t="s">
        <v>452</v>
      </c>
    </row>
    <row r="311" spans="1:2" x14ac:dyDescent="0.3">
      <c r="A311" s="53">
        <v>46888</v>
      </c>
      <c r="B311" s="53" t="s">
        <v>453</v>
      </c>
    </row>
    <row r="312" spans="1:2" x14ac:dyDescent="0.3">
      <c r="A312" s="53">
        <v>46896</v>
      </c>
      <c r="B312" s="53" t="s">
        <v>454</v>
      </c>
    </row>
    <row r="313" spans="1:2" x14ac:dyDescent="0.3">
      <c r="A313" s="53">
        <v>46904</v>
      </c>
      <c r="B313" s="53" t="s">
        <v>455</v>
      </c>
    </row>
    <row r="314" spans="1:2" x14ac:dyDescent="0.3">
      <c r="A314" s="53">
        <v>46920</v>
      </c>
      <c r="B314" s="53" t="s">
        <v>456</v>
      </c>
    </row>
    <row r="315" spans="1:2" x14ac:dyDescent="0.3">
      <c r="A315" s="53">
        <v>46946</v>
      </c>
      <c r="B315" s="53" t="s">
        <v>457</v>
      </c>
    </row>
    <row r="316" spans="1:2" x14ac:dyDescent="0.3">
      <c r="A316" s="53">
        <v>46953</v>
      </c>
      <c r="B316" s="53" t="s">
        <v>458</v>
      </c>
    </row>
    <row r="317" spans="1:2" x14ac:dyDescent="0.3">
      <c r="A317" s="53">
        <v>46961</v>
      </c>
      <c r="B317" s="53" t="s">
        <v>459</v>
      </c>
    </row>
    <row r="318" spans="1:2" x14ac:dyDescent="0.3">
      <c r="A318" s="53">
        <v>46979</v>
      </c>
      <c r="B318" s="53" t="s">
        <v>460</v>
      </c>
    </row>
    <row r="319" spans="1:2" x14ac:dyDescent="0.3">
      <c r="A319" s="53">
        <v>46995</v>
      </c>
      <c r="B319" s="53" t="s">
        <v>461</v>
      </c>
    </row>
    <row r="320" spans="1:2" x14ac:dyDescent="0.3">
      <c r="A320" s="53">
        <v>47001</v>
      </c>
      <c r="B320" s="53" t="s">
        <v>462</v>
      </c>
    </row>
    <row r="321" spans="1:2" x14ac:dyDescent="0.3">
      <c r="A321" s="53">
        <v>47019</v>
      </c>
      <c r="B321" s="53" t="s">
        <v>463</v>
      </c>
    </row>
    <row r="322" spans="1:2" x14ac:dyDescent="0.3">
      <c r="A322" s="53">
        <v>47027</v>
      </c>
      <c r="B322" s="53" t="s">
        <v>464</v>
      </c>
    </row>
    <row r="323" spans="1:2" x14ac:dyDescent="0.3">
      <c r="A323" s="53">
        <v>47043</v>
      </c>
      <c r="B323" s="53" t="s">
        <v>465</v>
      </c>
    </row>
    <row r="324" spans="1:2" x14ac:dyDescent="0.3">
      <c r="A324" s="53">
        <v>47050</v>
      </c>
      <c r="B324" s="53" t="s">
        <v>466</v>
      </c>
    </row>
    <row r="325" spans="1:2" x14ac:dyDescent="0.3">
      <c r="A325" s="53">
        <v>47068</v>
      </c>
      <c r="B325" s="53" t="s">
        <v>467</v>
      </c>
    </row>
    <row r="326" spans="1:2" x14ac:dyDescent="0.3">
      <c r="A326" s="53">
        <v>47076</v>
      </c>
      <c r="B326" s="53" t="s">
        <v>468</v>
      </c>
    </row>
    <row r="327" spans="1:2" x14ac:dyDescent="0.3">
      <c r="A327" s="53">
        <v>47084</v>
      </c>
      <c r="B327" s="53" t="s">
        <v>469</v>
      </c>
    </row>
    <row r="328" spans="1:2" x14ac:dyDescent="0.3">
      <c r="A328" s="53">
        <v>47092</v>
      </c>
      <c r="B328" s="53" t="s">
        <v>470</v>
      </c>
    </row>
    <row r="329" spans="1:2" x14ac:dyDescent="0.3">
      <c r="A329" s="53">
        <v>47167</v>
      </c>
      <c r="B329" s="53" t="s">
        <v>471</v>
      </c>
    </row>
    <row r="330" spans="1:2" x14ac:dyDescent="0.3">
      <c r="A330" s="53">
        <v>47175</v>
      </c>
      <c r="B330" s="53" t="s">
        <v>472</v>
      </c>
    </row>
    <row r="331" spans="1:2" x14ac:dyDescent="0.3">
      <c r="A331" s="53">
        <v>47183</v>
      </c>
      <c r="B331" s="53" t="s">
        <v>473</v>
      </c>
    </row>
    <row r="332" spans="1:2" x14ac:dyDescent="0.3">
      <c r="A332" s="53">
        <v>47191</v>
      </c>
      <c r="B332" s="53" t="s">
        <v>474</v>
      </c>
    </row>
    <row r="333" spans="1:2" x14ac:dyDescent="0.3">
      <c r="A333" s="53">
        <v>47209</v>
      </c>
      <c r="B333" s="53" t="s">
        <v>475</v>
      </c>
    </row>
    <row r="334" spans="1:2" x14ac:dyDescent="0.3">
      <c r="A334" s="53">
        <v>47217</v>
      </c>
      <c r="B334" s="53" t="s">
        <v>476</v>
      </c>
    </row>
    <row r="335" spans="1:2" x14ac:dyDescent="0.3">
      <c r="A335" s="53">
        <v>47225</v>
      </c>
      <c r="B335" s="53" t="s">
        <v>477</v>
      </c>
    </row>
    <row r="336" spans="1:2" x14ac:dyDescent="0.3">
      <c r="A336" s="53">
        <v>47241</v>
      </c>
      <c r="B336" s="53" t="s">
        <v>478</v>
      </c>
    </row>
    <row r="337" spans="1:2" x14ac:dyDescent="0.3">
      <c r="A337" s="53">
        <v>47258</v>
      </c>
      <c r="B337" s="53" t="s">
        <v>479</v>
      </c>
    </row>
    <row r="338" spans="1:2" x14ac:dyDescent="0.3">
      <c r="A338" s="53">
        <v>47266</v>
      </c>
      <c r="B338" s="53" t="s">
        <v>480</v>
      </c>
    </row>
    <row r="339" spans="1:2" x14ac:dyDescent="0.3">
      <c r="A339" s="53">
        <v>47274</v>
      </c>
      <c r="B339" s="53" t="s">
        <v>481</v>
      </c>
    </row>
    <row r="340" spans="1:2" x14ac:dyDescent="0.3">
      <c r="A340" s="53">
        <v>47308</v>
      </c>
      <c r="B340" s="53" t="s">
        <v>482</v>
      </c>
    </row>
    <row r="341" spans="1:2" x14ac:dyDescent="0.3">
      <c r="A341" s="53">
        <v>47332</v>
      </c>
      <c r="B341" s="53" t="s">
        <v>483</v>
      </c>
    </row>
    <row r="342" spans="1:2" x14ac:dyDescent="0.3">
      <c r="A342" s="53">
        <v>47340</v>
      </c>
      <c r="B342" s="53" t="s">
        <v>484</v>
      </c>
    </row>
    <row r="343" spans="1:2" x14ac:dyDescent="0.3">
      <c r="A343" s="53">
        <v>47365</v>
      </c>
      <c r="B343" s="53" t="s">
        <v>485</v>
      </c>
    </row>
    <row r="344" spans="1:2" x14ac:dyDescent="0.3">
      <c r="A344" s="53">
        <v>47373</v>
      </c>
      <c r="B344" s="53" t="s">
        <v>486</v>
      </c>
    </row>
    <row r="345" spans="1:2" x14ac:dyDescent="0.3">
      <c r="A345" s="53">
        <v>47381</v>
      </c>
      <c r="B345" s="53" t="s">
        <v>487</v>
      </c>
    </row>
    <row r="346" spans="1:2" x14ac:dyDescent="0.3">
      <c r="A346" s="53">
        <v>47399</v>
      </c>
      <c r="B346" s="53" t="s">
        <v>488</v>
      </c>
    </row>
    <row r="347" spans="1:2" x14ac:dyDescent="0.3">
      <c r="A347" s="53">
        <v>47415</v>
      </c>
      <c r="B347" s="53" t="s">
        <v>489</v>
      </c>
    </row>
    <row r="348" spans="1:2" x14ac:dyDescent="0.3">
      <c r="A348" s="53">
        <v>47423</v>
      </c>
      <c r="B348" s="53" t="s">
        <v>490</v>
      </c>
    </row>
    <row r="349" spans="1:2" x14ac:dyDescent="0.3">
      <c r="A349" s="53">
        <v>47431</v>
      </c>
      <c r="B349" s="53" t="s">
        <v>491</v>
      </c>
    </row>
    <row r="350" spans="1:2" x14ac:dyDescent="0.3">
      <c r="A350" s="53">
        <v>47449</v>
      </c>
      <c r="B350" s="53" t="s">
        <v>492</v>
      </c>
    </row>
    <row r="351" spans="1:2" x14ac:dyDescent="0.3">
      <c r="A351" s="53">
        <v>47456</v>
      </c>
      <c r="B351" s="53" t="s">
        <v>493</v>
      </c>
    </row>
    <row r="352" spans="1:2" x14ac:dyDescent="0.3">
      <c r="A352" s="53">
        <v>47464</v>
      </c>
      <c r="B352" s="53" t="s">
        <v>494</v>
      </c>
    </row>
    <row r="353" spans="1:2" x14ac:dyDescent="0.3">
      <c r="A353" s="53">
        <v>47472</v>
      </c>
      <c r="B353" s="53" t="s">
        <v>495</v>
      </c>
    </row>
    <row r="354" spans="1:2" x14ac:dyDescent="0.3">
      <c r="A354" s="53">
        <v>47498</v>
      </c>
      <c r="B354" s="53" t="s">
        <v>496</v>
      </c>
    </row>
    <row r="355" spans="1:2" x14ac:dyDescent="0.3">
      <c r="A355" s="53">
        <v>47506</v>
      </c>
      <c r="B355" s="53" t="s">
        <v>497</v>
      </c>
    </row>
    <row r="356" spans="1:2" x14ac:dyDescent="0.3">
      <c r="A356" s="53">
        <v>47514</v>
      </c>
      <c r="B356" s="53" t="s">
        <v>498</v>
      </c>
    </row>
    <row r="357" spans="1:2" x14ac:dyDescent="0.3">
      <c r="A357" s="53">
        <v>47522</v>
      </c>
      <c r="B357" s="53" t="s">
        <v>499</v>
      </c>
    </row>
    <row r="358" spans="1:2" x14ac:dyDescent="0.3">
      <c r="A358" s="53">
        <v>47548</v>
      </c>
      <c r="B358" s="53" t="s">
        <v>500</v>
      </c>
    </row>
    <row r="359" spans="1:2" x14ac:dyDescent="0.3">
      <c r="A359" s="53">
        <v>47571</v>
      </c>
      <c r="B359" s="53" t="s">
        <v>501</v>
      </c>
    </row>
    <row r="360" spans="1:2" x14ac:dyDescent="0.3">
      <c r="A360" s="53">
        <v>47589</v>
      </c>
      <c r="B360" s="53" t="s">
        <v>502</v>
      </c>
    </row>
    <row r="361" spans="1:2" x14ac:dyDescent="0.3">
      <c r="A361" s="53">
        <v>47597</v>
      </c>
      <c r="B361" s="53" t="s">
        <v>503</v>
      </c>
    </row>
    <row r="362" spans="1:2" x14ac:dyDescent="0.3">
      <c r="A362" s="53">
        <v>47613</v>
      </c>
      <c r="B362" s="53" t="s">
        <v>504</v>
      </c>
    </row>
    <row r="363" spans="1:2" x14ac:dyDescent="0.3">
      <c r="A363" s="53">
        <v>47621</v>
      </c>
      <c r="B363" s="53" t="s">
        <v>505</v>
      </c>
    </row>
    <row r="364" spans="1:2" x14ac:dyDescent="0.3">
      <c r="A364" s="53">
        <v>47639</v>
      </c>
      <c r="B364" s="53" t="s">
        <v>506</v>
      </c>
    </row>
    <row r="365" spans="1:2" x14ac:dyDescent="0.3">
      <c r="A365" s="53">
        <v>47688</v>
      </c>
      <c r="B365" s="53" t="s">
        <v>507</v>
      </c>
    </row>
    <row r="366" spans="1:2" x14ac:dyDescent="0.3">
      <c r="A366" s="53">
        <v>47696</v>
      </c>
      <c r="B366" s="53" t="s">
        <v>508</v>
      </c>
    </row>
    <row r="367" spans="1:2" x14ac:dyDescent="0.3">
      <c r="A367" s="53">
        <v>47712</v>
      </c>
      <c r="B367" s="53" t="s">
        <v>509</v>
      </c>
    </row>
    <row r="368" spans="1:2" x14ac:dyDescent="0.3">
      <c r="A368" s="53">
        <v>47720</v>
      </c>
      <c r="B368" s="53" t="s">
        <v>510</v>
      </c>
    </row>
    <row r="369" spans="1:2" x14ac:dyDescent="0.3">
      <c r="A369" s="53">
        <v>47738</v>
      </c>
      <c r="B369" s="53" t="s">
        <v>511</v>
      </c>
    </row>
    <row r="370" spans="1:2" x14ac:dyDescent="0.3">
      <c r="A370" s="53">
        <v>47746</v>
      </c>
      <c r="B370" s="53" t="s">
        <v>512</v>
      </c>
    </row>
    <row r="371" spans="1:2" x14ac:dyDescent="0.3">
      <c r="A371" s="53">
        <v>47761</v>
      </c>
      <c r="B371" s="53" t="s">
        <v>513</v>
      </c>
    </row>
    <row r="372" spans="1:2" x14ac:dyDescent="0.3">
      <c r="A372" s="53">
        <v>47787</v>
      </c>
      <c r="B372" s="53" t="s">
        <v>514</v>
      </c>
    </row>
    <row r="373" spans="1:2" x14ac:dyDescent="0.3">
      <c r="A373" s="53">
        <v>47795</v>
      </c>
      <c r="B373" s="53" t="s">
        <v>515</v>
      </c>
    </row>
    <row r="374" spans="1:2" x14ac:dyDescent="0.3">
      <c r="A374" s="53">
        <v>47803</v>
      </c>
      <c r="B374" s="53" t="s">
        <v>516</v>
      </c>
    </row>
    <row r="375" spans="1:2" x14ac:dyDescent="0.3">
      <c r="A375" s="53">
        <v>47829</v>
      </c>
      <c r="B375" s="53" t="s">
        <v>517</v>
      </c>
    </row>
    <row r="376" spans="1:2" x14ac:dyDescent="0.3">
      <c r="A376" s="53">
        <v>47837</v>
      </c>
      <c r="B376" s="53" t="s">
        <v>518</v>
      </c>
    </row>
    <row r="377" spans="1:2" x14ac:dyDescent="0.3">
      <c r="A377" s="53">
        <v>47845</v>
      </c>
      <c r="B377" s="53" t="s">
        <v>519</v>
      </c>
    </row>
    <row r="378" spans="1:2" x14ac:dyDescent="0.3">
      <c r="A378" s="53">
        <v>47852</v>
      </c>
      <c r="B378" s="53" t="s">
        <v>520</v>
      </c>
    </row>
    <row r="379" spans="1:2" x14ac:dyDescent="0.3">
      <c r="A379" s="53">
        <v>47878</v>
      </c>
      <c r="B379" s="53" t="s">
        <v>521</v>
      </c>
    </row>
    <row r="380" spans="1:2" x14ac:dyDescent="0.3">
      <c r="A380" s="53">
        <v>47886</v>
      </c>
      <c r="B380" s="53" t="s">
        <v>522</v>
      </c>
    </row>
    <row r="381" spans="1:2" x14ac:dyDescent="0.3">
      <c r="A381" s="53">
        <v>47894</v>
      </c>
      <c r="B381" s="53" t="s">
        <v>523</v>
      </c>
    </row>
    <row r="382" spans="1:2" x14ac:dyDescent="0.3">
      <c r="A382" s="53">
        <v>47902</v>
      </c>
      <c r="B382" s="53" t="s">
        <v>524</v>
      </c>
    </row>
    <row r="383" spans="1:2" x14ac:dyDescent="0.3">
      <c r="A383" s="53">
        <v>47928</v>
      </c>
      <c r="B383" s="53" t="s">
        <v>525</v>
      </c>
    </row>
    <row r="384" spans="1:2" x14ac:dyDescent="0.3">
      <c r="A384" s="53">
        <v>47936</v>
      </c>
      <c r="B384" s="53" t="s">
        <v>526</v>
      </c>
    </row>
    <row r="385" spans="1:2" x14ac:dyDescent="0.3">
      <c r="A385" s="53">
        <v>47944</v>
      </c>
      <c r="B385" s="53" t="s">
        <v>527</v>
      </c>
    </row>
    <row r="386" spans="1:2" x14ac:dyDescent="0.3">
      <c r="A386" s="53">
        <v>47951</v>
      </c>
      <c r="B386" s="53" t="s">
        <v>528</v>
      </c>
    </row>
    <row r="387" spans="1:2" x14ac:dyDescent="0.3">
      <c r="A387" s="53">
        <v>47969</v>
      </c>
      <c r="B387" s="53" t="s">
        <v>529</v>
      </c>
    </row>
    <row r="388" spans="1:2" x14ac:dyDescent="0.3">
      <c r="A388" s="53">
        <v>47985</v>
      </c>
      <c r="B388" s="53" t="s">
        <v>530</v>
      </c>
    </row>
    <row r="389" spans="1:2" x14ac:dyDescent="0.3">
      <c r="A389" s="53">
        <v>47993</v>
      </c>
      <c r="B389" s="53" t="s">
        <v>531</v>
      </c>
    </row>
    <row r="390" spans="1:2" x14ac:dyDescent="0.3">
      <c r="A390" s="53">
        <v>48009</v>
      </c>
      <c r="B390" s="53" t="s">
        <v>532</v>
      </c>
    </row>
    <row r="391" spans="1:2" x14ac:dyDescent="0.3">
      <c r="A391" s="53">
        <v>48017</v>
      </c>
      <c r="B391" s="53" t="s">
        <v>533</v>
      </c>
    </row>
    <row r="392" spans="1:2" x14ac:dyDescent="0.3">
      <c r="A392" s="53">
        <v>48025</v>
      </c>
      <c r="B392" s="53" t="s">
        <v>534</v>
      </c>
    </row>
    <row r="393" spans="1:2" x14ac:dyDescent="0.3">
      <c r="A393" s="53">
        <v>48033</v>
      </c>
      <c r="B393" s="53" t="s">
        <v>535</v>
      </c>
    </row>
    <row r="394" spans="1:2" x14ac:dyDescent="0.3">
      <c r="A394" s="53">
        <v>48041</v>
      </c>
      <c r="B394" s="53" t="s">
        <v>536</v>
      </c>
    </row>
    <row r="395" spans="1:2" x14ac:dyDescent="0.3">
      <c r="A395" s="53">
        <v>48074</v>
      </c>
      <c r="B395" s="53" t="s">
        <v>537</v>
      </c>
    </row>
    <row r="396" spans="1:2" x14ac:dyDescent="0.3">
      <c r="A396" s="53">
        <v>48082</v>
      </c>
      <c r="B396" s="53" t="s">
        <v>538</v>
      </c>
    </row>
    <row r="397" spans="1:2" x14ac:dyDescent="0.3">
      <c r="A397" s="53">
        <v>48090</v>
      </c>
      <c r="B397" s="53" t="s">
        <v>523</v>
      </c>
    </row>
    <row r="398" spans="1:2" x14ac:dyDescent="0.3">
      <c r="A398" s="53">
        <v>48116</v>
      </c>
      <c r="B398" s="53" t="s">
        <v>539</v>
      </c>
    </row>
    <row r="399" spans="1:2" x14ac:dyDescent="0.3">
      <c r="A399" s="53">
        <v>48124</v>
      </c>
      <c r="B399" s="53" t="s">
        <v>540</v>
      </c>
    </row>
    <row r="400" spans="1:2" x14ac:dyDescent="0.3">
      <c r="A400" s="53">
        <v>48132</v>
      </c>
      <c r="B400" s="53" t="s">
        <v>541</v>
      </c>
    </row>
    <row r="401" spans="1:2" x14ac:dyDescent="0.3">
      <c r="A401" s="53">
        <v>48140</v>
      </c>
      <c r="B401" s="53" t="s">
        <v>542</v>
      </c>
    </row>
    <row r="402" spans="1:2" x14ac:dyDescent="0.3">
      <c r="A402" s="53">
        <v>48157</v>
      </c>
      <c r="B402" s="53" t="s">
        <v>543</v>
      </c>
    </row>
    <row r="403" spans="1:2" x14ac:dyDescent="0.3">
      <c r="A403" s="53">
        <v>48165</v>
      </c>
      <c r="B403" s="53" t="s">
        <v>544</v>
      </c>
    </row>
    <row r="404" spans="1:2" x14ac:dyDescent="0.3">
      <c r="A404" s="53">
        <v>48173</v>
      </c>
      <c r="B404" s="53" t="s">
        <v>545</v>
      </c>
    </row>
    <row r="405" spans="1:2" x14ac:dyDescent="0.3">
      <c r="A405" s="53">
        <v>48207</v>
      </c>
      <c r="B405" s="53" t="s">
        <v>546</v>
      </c>
    </row>
    <row r="406" spans="1:2" x14ac:dyDescent="0.3">
      <c r="A406" s="53">
        <v>48215</v>
      </c>
      <c r="B406" s="53" t="s">
        <v>547</v>
      </c>
    </row>
    <row r="407" spans="1:2" x14ac:dyDescent="0.3">
      <c r="A407" s="53">
        <v>48223</v>
      </c>
      <c r="B407" s="53" t="s">
        <v>548</v>
      </c>
    </row>
    <row r="408" spans="1:2" x14ac:dyDescent="0.3">
      <c r="A408" s="53">
        <v>48231</v>
      </c>
      <c r="B408" s="53" t="s">
        <v>549</v>
      </c>
    </row>
    <row r="409" spans="1:2" x14ac:dyDescent="0.3">
      <c r="A409" s="53">
        <v>48256</v>
      </c>
      <c r="B409" s="53" t="s">
        <v>550</v>
      </c>
    </row>
    <row r="410" spans="1:2" x14ac:dyDescent="0.3">
      <c r="A410" s="53">
        <v>48264</v>
      </c>
      <c r="B410" s="53" t="s">
        <v>551</v>
      </c>
    </row>
    <row r="411" spans="1:2" x14ac:dyDescent="0.3">
      <c r="A411" s="53">
        <v>48272</v>
      </c>
      <c r="B411" s="53" t="s">
        <v>552</v>
      </c>
    </row>
    <row r="412" spans="1:2" x14ac:dyDescent="0.3">
      <c r="A412" s="53">
        <v>48298</v>
      </c>
      <c r="B412" s="53" t="s">
        <v>553</v>
      </c>
    </row>
    <row r="413" spans="1:2" x14ac:dyDescent="0.3">
      <c r="A413" s="53">
        <v>48306</v>
      </c>
      <c r="B413" s="53" t="s">
        <v>554</v>
      </c>
    </row>
    <row r="414" spans="1:2" x14ac:dyDescent="0.3">
      <c r="A414" s="53">
        <v>48314</v>
      </c>
      <c r="B414" s="53" t="s">
        <v>555</v>
      </c>
    </row>
    <row r="415" spans="1:2" x14ac:dyDescent="0.3">
      <c r="A415" s="53">
        <v>48322</v>
      </c>
      <c r="B415" s="53" t="s">
        <v>556</v>
      </c>
    </row>
    <row r="416" spans="1:2" x14ac:dyDescent="0.3">
      <c r="A416" s="53">
        <v>48330</v>
      </c>
      <c r="B416" s="53" t="s">
        <v>557</v>
      </c>
    </row>
    <row r="417" spans="1:2" x14ac:dyDescent="0.3">
      <c r="A417" s="53">
        <v>48348</v>
      </c>
      <c r="B417" s="53" t="s">
        <v>558</v>
      </c>
    </row>
    <row r="418" spans="1:2" x14ac:dyDescent="0.3">
      <c r="A418" s="53">
        <v>48355</v>
      </c>
      <c r="B418" s="53" t="s">
        <v>559</v>
      </c>
    </row>
    <row r="419" spans="1:2" x14ac:dyDescent="0.3">
      <c r="A419" s="53">
        <v>48363</v>
      </c>
      <c r="B419" s="53" t="s">
        <v>560</v>
      </c>
    </row>
    <row r="420" spans="1:2" x14ac:dyDescent="0.3">
      <c r="A420" s="53">
        <v>48371</v>
      </c>
      <c r="B420" s="53" t="s">
        <v>561</v>
      </c>
    </row>
    <row r="421" spans="1:2" x14ac:dyDescent="0.3">
      <c r="A421" s="53">
        <v>48389</v>
      </c>
      <c r="B421" s="53" t="s">
        <v>562</v>
      </c>
    </row>
    <row r="422" spans="1:2" x14ac:dyDescent="0.3">
      <c r="A422" s="53">
        <v>48397</v>
      </c>
      <c r="B422" s="53" t="s">
        <v>563</v>
      </c>
    </row>
    <row r="423" spans="1:2" x14ac:dyDescent="0.3">
      <c r="A423" s="53">
        <v>48413</v>
      </c>
      <c r="B423" s="53" t="s">
        <v>564</v>
      </c>
    </row>
    <row r="424" spans="1:2" x14ac:dyDescent="0.3">
      <c r="A424" s="53">
        <v>48421</v>
      </c>
      <c r="B424" s="53" t="s">
        <v>565</v>
      </c>
    </row>
    <row r="425" spans="1:2" x14ac:dyDescent="0.3">
      <c r="A425" s="53">
        <v>48439</v>
      </c>
      <c r="B425" s="53" t="s">
        <v>566</v>
      </c>
    </row>
    <row r="426" spans="1:2" x14ac:dyDescent="0.3">
      <c r="A426" s="53">
        <v>48447</v>
      </c>
      <c r="B426" s="53" t="s">
        <v>567</v>
      </c>
    </row>
    <row r="427" spans="1:2" x14ac:dyDescent="0.3">
      <c r="A427" s="53">
        <v>48462</v>
      </c>
      <c r="B427" s="53" t="s">
        <v>568</v>
      </c>
    </row>
    <row r="428" spans="1:2" x14ac:dyDescent="0.3">
      <c r="A428" s="53">
        <v>48470</v>
      </c>
      <c r="B428" s="53" t="s">
        <v>569</v>
      </c>
    </row>
    <row r="429" spans="1:2" x14ac:dyDescent="0.3">
      <c r="A429" s="53">
        <v>48488</v>
      </c>
      <c r="B429" s="53" t="s">
        <v>570</v>
      </c>
    </row>
    <row r="430" spans="1:2" x14ac:dyDescent="0.3">
      <c r="A430" s="53">
        <v>48496</v>
      </c>
      <c r="B430" s="53" t="s">
        <v>571</v>
      </c>
    </row>
    <row r="431" spans="1:2" x14ac:dyDescent="0.3">
      <c r="A431" s="53">
        <v>48512</v>
      </c>
      <c r="B431" s="53" t="s">
        <v>572</v>
      </c>
    </row>
    <row r="432" spans="1:2" x14ac:dyDescent="0.3">
      <c r="A432" s="53">
        <v>48520</v>
      </c>
      <c r="B432" s="53" t="s">
        <v>573</v>
      </c>
    </row>
    <row r="433" spans="1:2" x14ac:dyDescent="0.3">
      <c r="A433" s="53">
        <v>48538</v>
      </c>
      <c r="B433" s="53" t="s">
        <v>574</v>
      </c>
    </row>
    <row r="434" spans="1:2" x14ac:dyDescent="0.3">
      <c r="A434" s="53">
        <v>48553</v>
      </c>
      <c r="B434" s="53" t="s">
        <v>575</v>
      </c>
    </row>
    <row r="435" spans="1:2" x14ac:dyDescent="0.3">
      <c r="A435" s="53">
        <v>48579</v>
      </c>
      <c r="B435" s="53" t="s">
        <v>576</v>
      </c>
    </row>
    <row r="436" spans="1:2" x14ac:dyDescent="0.3">
      <c r="A436" s="53">
        <v>48587</v>
      </c>
      <c r="B436" s="53" t="s">
        <v>577</v>
      </c>
    </row>
    <row r="437" spans="1:2" x14ac:dyDescent="0.3">
      <c r="A437" s="53">
        <v>48595</v>
      </c>
      <c r="B437" s="53" t="s">
        <v>578</v>
      </c>
    </row>
    <row r="438" spans="1:2" x14ac:dyDescent="0.3">
      <c r="A438" s="53">
        <v>48611</v>
      </c>
      <c r="B438" s="53" t="s">
        <v>579</v>
      </c>
    </row>
    <row r="439" spans="1:2" x14ac:dyDescent="0.3">
      <c r="A439" s="53">
        <v>48629</v>
      </c>
      <c r="B439" s="53" t="s">
        <v>580</v>
      </c>
    </row>
    <row r="440" spans="1:2" x14ac:dyDescent="0.3">
      <c r="A440" s="53">
        <v>48637</v>
      </c>
      <c r="B440" s="53" t="s">
        <v>581</v>
      </c>
    </row>
    <row r="441" spans="1:2" x14ac:dyDescent="0.3">
      <c r="A441" s="53">
        <v>48652</v>
      </c>
      <c r="B441" s="53" t="s">
        <v>582</v>
      </c>
    </row>
    <row r="442" spans="1:2" x14ac:dyDescent="0.3">
      <c r="A442" s="53">
        <v>48678</v>
      </c>
      <c r="B442" s="53" t="s">
        <v>583</v>
      </c>
    </row>
    <row r="443" spans="1:2" x14ac:dyDescent="0.3">
      <c r="A443" s="53">
        <v>48686</v>
      </c>
      <c r="B443" s="53" t="s">
        <v>584</v>
      </c>
    </row>
    <row r="444" spans="1:2" x14ac:dyDescent="0.3">
      <c r="A444" s="53">
        <v>48694</v>
      </c>
      <c r="B444" s="53" t="s">
        <v>585</v>
      </c>
    </row>
    <row r="445" spans="1:2" x14ac:dyDescent="0.3">
      <c r="A445" s="53">
        <v>48702</v>
      </c>
      <c r="B445" s="53" t="s">
        <v>586</v>
      </c>
    </row>
    <row r="446" spans="1:2" x14ac:dyDescent="0.3">
      <c r="A446" s="53">
        <v>48710</v>
      </c>
      <c r="B446" s="53" t="s">
        <v>587</v>
      </c>
    </row>
    <row r="447" spans="1:2" x14ac:dyDescent="0.3">
      <c r="A447" s="53">
        <v>48728</v>
      </c>
      <c r="B447" s="53" t="s">
        <v>588</v>
      </c>
    </row>
    <row r="448" spans="1:2" x14ac:dyDescent="0.3">
      <c r="A448" s="53">
        <v>48736</v>
      </c>
      <c r="B448" s="53" t="s">
        <v>589</v>
      </c>
    </row>
    <row r="449" spans="1:2" x14ac:dyDescent="0.3">
      <c r="A449" s="53">
        <v>48744</v>
      </c>
      <c r="B449" s="53" t="s">
        <v>590</v>
      </c>
    </row>
    <row r="450" spans="1:2" x14ac:dyDescent="0.3">
      <c r="A450" s="53">
        <v>48751</v>
      </c>
      <c r="B450" s="53" t="s">
        <v>591</v>
      </c>
    </row>
    <row r="451" spans="1:2" x14ac:dyDescent="0.3">
      <c r="A451" s="53">
        <v>48777</v>
      </c>
      <c r="B451" s="53" t="s">
        <v>592</v>
      </c>
    </row>
    <row r="452" spans="1:2" x14ac:dyDescent="0.3">
      <c r="A452" s="53">
        <v>48793</v>
      </c>
      <c r="B452" s="53" t="s">
        <v>593</v>
      </c>
    </row>
    <row r="453" spans="1:2" x14ac:dyDescent="0.3">
      <c r="A453" s="53">
        <v>48801</v>
      </c>
      <c r="B453" s="53" t="s">
        <v>594</v>
      </c>
    </row>
    <row r="454" spans="1:2" x14ac:dyDescent="0.3">
      <c r="A454" s="53">
        <v>48819</v>
      </c>
      <c r="B454" s="53" t="s">
        <v>595</v>
      </c>
    </row>
    <row r="455" spans="1:2" x14ac:dyDescent="0.3">
      <c r="A455" s="53">
        <v>48835</v>
      </c>
      <c r="B455" s="53" t="s">
        <v>596</v>
      </c>
    </row>
    <row r="456" spans="1:2" x14ac:dyDescent="0.3">
      <c r="A456" s="53">
        <v>48843</v>
      </c>
      <c r="B456" s="53" t="s">
        <v>597</v>
      </c>
    </row>
    <row r="457" spans="1:2" x14ac:dyDescent="0.3">
      <c r="A457" s="53">
        <v>48850</v>
      </c>
      <c r="B457" s="53" t="s">
        <v>598</v>
      </c>
    </row>
    <row r="458" spans="1:2" x14ac:dyDescent="0.3">
      <c r="A458" s="53">
        <v>48876</v>
      </c>
      <c r="B458" s="53" t="s">
        <v>599</v>
      </c>
    </row>
    <row r="459" spans="1:2" x14ac:dyDescent="0.3">
      <c r="A459" s="53">
        <v>48884</v>
      </c>
      <c r="B459" s="53" t="s">
        <v>600</v>
      </c>
    </row>
    <row r="460" spans="1:2" x14ac:dyDescent="0.3">
      <c r="A460" s="53">
        <v>48900</v>
      </c>
      <c r="B460" s="53" t="s">
        <v>601</v>
      </c>
    </row>
    <row r="461" spans="1:2" x14ac:dyDescent="0.3">
      <c r="A461" s="53">
        <v>48926</v>
      </c>
      <c r="B461" s="53" t="s">
        <v>602</v>
      </c>
    </row>
    <row r="462" spans="1:2" x14ac:dyDescent="0.3">
      <c r="A462" s="53">
        <v>48934</v>
      </c>
      <c r="B462" s="53" t="s">
        <v>603</v>
      </c>
    </row>
    <row r="463" spans="1:2" x14ac:dyDescent="0.3">
      <c r="A463" s="53">
        <v>48942</v>
      </c>
      <c r="B463" s="53" t="s">
        <v>604</v>
      </c>
    </row>
    <row r="464" spans="1:2" x14ac:dyDescent="0.3">
      <c r="A464" s="53">
        <v>48959</v>
      </c>
      <c r="B464" s="53" t="s">
        <v>605</v>
      </c>
    </row>
    <row r="465" spans="1:2" x14ac:dyDescent="0.3">
      <c r="A465" s="53">
        <v>48967</v>
      </c>
      <c r="B465" s="53" t="s">
        <v>606</v>
      </c>
    </row>
    <row r="466" spans="1:2" x14ac:dyDescent="0.3">
      <c r="A466" s="53">
        <v>48975</v>
      </c>
      <c r="B466" s="53" t="s">
        <v>607</v>
      </c>
    </row>
    <row r="467" spans="1:2" x14ac:dyDescent="0.3">
      <c r="A467" s="53">
        <v>48991</v>
      </c>
      <c r="B467" s="53" t="s">
        <v>608</v>
      </c>
    </row>
    <row r="468" spans="1:2" x14ac:dyDescent="0.3">
      <c r="A468" s="53">
        <v>49031</v>
      </c>
      <c r="B468" s="53" t="s">
        <v>609</v>
      </c>
    </row>
    <row r="469" spans="1:2" x14ac:dyDescent="0.3">
      <c r="A469" s="53">
        <v>49056</v>
      </c>
      <c r="B469" s="53" t="s">
        <v>610</v>
      </c>
    </row>
    <row r="470" spans="1:2" x14ac:dyDescent="0.3">
      <c r="A470" s="53">
        <v>49064</v>
      </c>
      <c r="B470" s="53" t="s">
        <v>611</v>
      </c>
    </row>
    <row r="471" spans="1:2" x14ac:dyDescent="0.3">
      <c r="A471" s="53">
        <v>49080</v>
      </c>
      <c r="B471" s="53" t="s">
        <v>612</v>
      </c>
    </row>
    <row r="472" spans="1:2" x14ac:dyDescent="0.3">
      <c r="A472" s="53">
        <v>49098</v>
      </c>
      <c r="B472" s="53" t="s">
        <v>613</v>
      </c>
    </row>
    <row r="473" spans="1:2" x14ac:dyDescent="0.3">
      <c r="A473" s="53">
        <v>49106</v>
      </c>
      <c r="B473" s="53" t="s">
        <v>614</v>
      </c>
    </row>
    <row r="474" spans="1:2" x14ac:dyDescent="0.3">
      <c r="A474" s="53">
        <v>49122</v>
      </c>
      <c r="B474" s="53" t="s">
        <v>615</v>
      </c>
    </row>
    <row r="475" spans="1:2" x14ac:dyDescent="0.3">
      <c r="A475" s="53">
        <v>49130</v>
      </c>
      <c r="B475" s="53" t="s">
        <v>616</v>
      </c>
    </row>
    <row r="476" spans="1:2" x14ac:dyDescent="0.3">
      <c r="A476" s="53">
        <v>49148</v>
      </c>
      <c r="B476" s="53" t="s">
        <v>617</v>
      </c>
    </row>
    <row r="477" spans="1:2" x14ac:dyDescent="0.3">
      <c r="A477" s="53">
        <v>49155</v>
      </c>
      <c r="B477" s="53" t="s">
        <v>618</v>
      </c>
    </row>
    <row r="478" spans="1:2" x14ac:dyDescent="0.3">
      <c r="A478" s="53">
        <v>49171</v>
      </c>
      <c r="B478" s="53" t="s">
        <v>619</v>
      </c>
    </row>
    <row r="479" spans="1:2" x14ac:dyDescent="0.3">
      <c r="A479" s="53">
        <v>49189</v>
      </c>
      <c r="B479" s="53" t="s">
        <v>620</v>
      </c>
    </row>
    <row r="480" spans="1:2" x14ac:dyDescent="0.3">
      <c r="A480" s="53">
        <v>49197</v>
      </c>
      <c r="B480" s="53" t="s">
        <v>621</v>
      </c>
    </row>
    <row r="481" spans="1:2" x14ac:dyDescent="0.3">
      <c r="A481" s="53">
        <v>49205</v>
      </c>
      <c r="B481" s="53" t="s">
        <v>622</v>
      </c>
    </row>
    <row r="482" spans="1:2" x14ac:dyDescent="0.3">
      <c r="A482" s="53">
        <v>49213</v>
      </c>
      <c r="B482" s="53" t="s">
        <v>623</v>
      </c>
    </row>
    <row r="483" spans="1:2" x14ac:dyDescent="0.3">
      <c r="A483" s="53">
        <v>49221</v>
      </c>
      <c r="B483" s="53" t="s">
        <v>624</v>
      </c>
    </row>
    <row r="484" spans="1:2" x14ac:dyDescent="0.3">
      <c r="A484" s="53">
        <v>49239</v>
      </c>
      <c r="B484" s="53" t="s">
        <v>625</v>
      </c>
    </row>
    <row r="485" spans="1:2" x14ac:dyDescent="0.3">
      <c r="A485" s="53">
        <v>49247</v>
      </c>
      <c r="B485" s="53" t="s">
        <v>626</v>
      </c>
    </row>
    <row r="486" spans="1:2" x14ac:dyDescent="0.3">
      <c r="A486" s="53">
        <v>49270</v>
      </c>
      <c r="B486" s="53" t="s">
        <v>627</v>
      </c>
    </row>
    <row r="487" spans="1:2" x14ac:dyDescent="0.3">
      <c r="A487" s="53">
        <v>49288</v>
      </c>
      <c r="B487" s="53" t="s">
        <v>628</v>
      </c>
    </row>
    <row r="488" spans="1:2" x14ac:dyDescent="0.3">
      <c r="A488" s="53">
        <v>49296</v>
      </c>
      <c r="B488" s="53" t="s">
        <v>629</v>
      </c>
    </row>
    <row r="489" spans="1:2" x14ac:dyDescent="0.3">
      <c r="A489" s="53">
        <v>49312</v>
      </c>
      <c r="B489" s="53" t="s">
        <v>630</v>
      </c>
    </row>
    <row r="490" spans="1:2" x14ac:dyDescent="0.3">
      <c r="A490" s="53">
        <v>49320</v>
      </c>
      <c r="B490" s="53" t="s">
        <v>631</v>
      </c>
    </row>
    <row r="491" spans="1:2" x14ac:dyDescent="0.3">
      <c r="A491" s="53">
        <v>49338</v>
      </c>
      <c r="B491" s="53" t="s">
        <v>632</v>
      </c>
    </row>
    <row r="492" spans="1:2" x14ac:dyDescent="0.3">
      <c r="A492" s="53">
        <v>49346</v>
      </c>
      <c r="B492" s="53" t="s">
        <v>633</v>
      </c>
    </row>
    <row r="493" spans="1:2" x14ac:dyDescent="0.3">
      <c r="A493" s="53">
        <v>49353</v>
      </c>
      <c r="B493" s="53" t="s">
        <v>634</v>
      </c>
    </row>
    <row r="494" spans="1:2" x14ac:dyDescent="0.3">
      <c r="A494" s="53">
        <v>49361</v>
      </c>
      <c r="B494" s="53" t="s">
        <v>635</v>
      </c>
    </row>
    <row r="495" spans="1:2" x14ac:dyDescent="0.3">
      <c r="A495" s="53">
        <v>49379</v>
      </c>
      <c r="B495" s="53" t="s">
        <v>636</v>
      </c>
    </row>
    <row r="496" spans="1:2" x14ac:dyDescent="0.3">
      <c r="A496" s="53">
        <v>49387</v>
      </c>
      <c r="B496" s="53" t="s">
        <v>637</v>
      </c>
    </row>
    <row r="497" spans="1:2" x14ac:dyDescent="0.3">
      <c r="A497" s="53">
        <v>49395</v>
      </c>
      <c r="B497" s="53" t="s">
        <v>638</v>
      </c>
    </row>
    <row r="498" spans="1:2" x14ac:dyDescent="0.3">
      <c r="A498" s="53">
        <v>49411</v>
      </c>
      <c r="B498" s="53" t="s">
        <v>639</v>
      </c>
    </row>
    <row r="499" spans="1:2" x14ac:dyDescent="0.3">
      <c r="A499" s="53">
        <v>49429</v>
      </c>
      <c r="B499" s="53" t="s">
        <v>640</v>
      </c>
    </row>
    <row r="500" spans="1:2" x14ac:dyDescent="0.3">
      <c r="A500" s="53">
        <v>49437</v>
      </c>
      <c r="B500" s="53" t="s">
        <v>641</v>
      </c>
    </row>
    <row r="501" spans="1:2" x14ac:dyDescent="0.3">
      <c r="A501" s="53">
        <v>49445</v>
      </c>
      <c r="B501" s="53" t="s">
        <v>642</v>
      </c>
    </row>
    <row r="502" spans="1:2" x14ac:dyDescent="0.3">
      <c r="A502" s="53">
        <v>49452</v>
      </c>
      <c r="B502" s="53" t="s">
        <v>643</v>
      </c>
    </row>
    <row r="503" spans="1:2" x14ac:dyDescent="0.3">
      <c r="A503" s="53">
        <v>49460</v>
      </c>
      <c r="B503" s="53" t="s">
        <v>644</v>
      </c>
    </row>
    <row r="504" spans="1:2" x14ac:dyDescent="0.3">
      <c r="A504" s="53">
        <v>49478</v>
      </c>
      <c r="B504" s="53" t="s">
        <v>645</v>
      </c>
    </row>
    <row r="505" spans="1:2" x14ac:dyDescent="0.3">
      <c r="A505" s="53">
        <v>49494</v>
      </c>
      <c r="B505" s="53" t="s">
        <v>646</v>
      </c>
    </row>
    <row r="506" spans="1:2" x14ac:dyDescent="0.3">
      <c r="A506" s="53">
        <v>49502</v>
      </c>
      <c r="B506" s="53" t="s">
        <v>647</v>
      </c>
    </row>
    <row r="507" spans="1:2" x14ac:dyDescent="0.3">
      <c r="A507" s="53">
        <v>49510</v>
      </c>
      <c r="B507" s="53" t="s">
        <v>648</v>
      </c>
    </row>
    <row r="508" spans="1:2" x14ac:dyDescent="0.3">
      <c r="A508" s="53">
        <v>49528</v>
      </c>
      <c r="B508" s="53" t="s">
        <v>649</v>
      </c>
    </row>
    <row r="509" spans="1:2" x14ac:dyDescent="0.3">
      <c r="A509" s="53">
        <v>49536</v>
      </c>
      <c r="B509" s="53" t="s">
        <v>650</v>
      </c>
    </row>
    <row r="510" spans="1:2" x14ac:dyDescent="0.3">
      <c r="A510" s="53">
        <v>49544</v>
      </c>
      <c r="B510" s="53" t="s">
        <v>651</v>
      </c>
    </row>
    <row r="511" spans="1:2" x14ac:dyDescent="0.3">
      <c r="A511" s="53">
        <v>49569</v>
      </c>
      <c r="B511" s="53" t="s">
        <v>652</v>
      </c>
    </row>
    <row r="512" spans="1:2" x14ac:dyDescent="0.3">
      <c r="A512" s="53">
        <v>49577</v>
      </c>
      <c r="B512" s="53" t="s">
        <v>653</v>
      </c>
    </row>
    <row r="513" spans="1:2" x14ac:dyDescent="0.3">
      <c r="A513" s="53">
        <v>49593</v>
      </c>
      <c r="B513" s="53" t="s">
        <v>654</v>
      </c>
    </row>
    <row r="514" spans="1:2" x14ac:dyDescent="0.3">
      <c r="A514" s="53">
        <v>49601</v>
      </c>
      <c r="B514" s="53" t="s">
        <v>655</v>
      </c>
    </row>
    <row r="515" spans="1:2" x14ac:dyDescent="0.3">
      <c r="A515" s="53">
        <v>49619</v>
      </c>
      <c r="B515" s="53" t="s">
        <v>656</v>
      </c>
    </row>
    <row r="516" spans="1:2" x14ac:dyDescent="0.3">
      <c r="A516" s="53">
        <v>49627</v>
      </c>
      <c r="B516" s="53" t="s">
        <v>657</v>
      </c>
    </row>
    <row r="517" spans="1:2" x14ac:dyDescent="0.3">
      <c r="A517" s="53">
        <v>49635</v>
      </c>
      <c r="B517" s="53" t="s">
        <v>658</v>
      </c>
    </row>
    <row r="518" spans="1:2" x14ac:dyDescent="0.3">
      <c r="A518" s="53">
        <v>49643</v>
      </c>
      <c r="B518" s="53" t="s">
        <v>659</v>
      </c>
    </row>
    <row r="519" spans="1:2" x14ac:dyDescent="0.3">
      <c r="A519" s="53">
        <v>49650</v>
      </c>
      <c r="B519" s="53" t="s">
        <v>660</v>
      </c>
    </row>
    <row r="520" spans="1:2" x14ac:dyDescent="0.3">
      <c r="A520" s="53">
        <v>49668</v>
      </c>
      <c r="B520" s="53" t="s">
        <v>661</v>
      </c>
    </row>
    <row r="521" spans="1:2" x14ac:dyDescent="0.3">
      <c r="A521" s="53">
        <v>49684</v>
      </c>
      <c r="B521" s="53" t="s">
        <v>662</v>
      </c>
    </row>
    <row r="522" spans="1:2" x14ac:dyDescent="0.3">
      <c r="A522" s="53">
        <v>49692</v>
      </c>
      <c r="B522" s="53" t="s">
        <v>663</v>
      </c>
    </row>
    <row r="523" spans="1:2" x14ac:dyDescent="0.3">
      <c r="A523" s="53">
        <v>49700</v>
      </c>
      <c r="B523" s="53" t="s">
        <v>664</v>
      </c>
    </row>
    <row r="524" spans="1:2" x14ac:dyDescent="0.3">
      <c r="A524" s="53">
        <v>49718</v>
      </c>
      <c r="B524" s="53" t="s">
        <v>665</v>
      </c>
    </row>
    <row r="525" spans="1:2" x14ac:dyDescent="0.3">
      <c r="A525" s="53">
        <v>49726</v>
      </c>
      <c r="B525" s="53" t="s">
        <v>666</v>
      </c>
    </row>
    <row r="526" spans="1:2" x14ac:dyDescent="0.3">
      <c r="A526" s="53">
        <v>49759</v>
      </c>
      <c r="B526" s="53" t="s">
        <v>667</v>
      </c>
    </row>
    <row r="527" spans="1:2" x14ac:dyDescent="0.3">
      <c r="A527" s="53">
        <v>49767</v>
      </c>
      <c r="B527" s="53" t="s">
        <v>668</v>
      </c>
    </row>
    <row r="528" spans="1:2" x14ac:dyDescent="0.3">
      <c r="A528" s="53">
        <v>49775</v>
      </c>
      <c r="B528" s="53" t="s">
        <v>669</v>
      </c>
    </row>
    <row r="529" spans="1:2" x14ac:dyDescent="0.3">
      <c r="A529" s="53">
        <v>49783</v>
      </c>
      <c r="B529" s="53" t="s">
        <v>670</v>
      </c>
    </row>
    <row r="530" spans="1:2" x14ac:dyDescent="0.3">
      <c r="A530" s="53">
        <v>49791</v>
      </c>
      <c r="B530" s="53" t="s">
        <v>671</v>
      </c>
    </row>
    <row r="531" spans="1:2" x14ac:dyDescent="0.3">
      <c r="A531" s="53">
        <v>49809</v>
      </c>
      <c r="B531" s="53" t="s">
        <v>672</v>
      </c>
    </row>
    <row r="532" spans="1:2" x14ac:dyDescent="0.3">
      <c r="A532" s="53">
        <v>49817</v>
      </c>
      <c r="B532" s="53" t="s">
        <v>673</v>
      </c>
    </row>
    <row r="533" spans="1:2" x14ac:dyDescent="0.3">
      <c r="A533" s="53">
        <v>49833</v>
      </c>
      <c r="B533" s="53" t="s">
        <v>674</v>
      </c>
    </row>
    <row r="534" spans="1:2" x14ac:dyDescent="0.3">
      <c r="A534" s="53">
        <v>49841</v>
      </c>
      <c r="B534" s="53" t="s">
        <v>675</v>
      </c>
    </row>
    <row r="535" spans="1:2" x14ac:dyDescent="0.3">
      <c r="A535" s="53">
        <v>49858</v>
      </c>
      <c r="B535" s="53" t="s">
        <v>676</v>
      </c>
    </row>
    <row r="536" spans="1:2" x14ac:dyDescent="0.3">
      <c r="A536" s="53">
        <v>49866</v>
      </c>
      <c r="B536" s="53" t="s">
        <v>677</v>
      </c>
    </row>
    <row r="537" spans="1:2" x14ac:dyDescent="0.3">
      <c r="A537" s="53">
        <v>49874</v>
      </c>
      <c r="B537" s="53" t="s">
        <v>678</v>
      </c>
    </row>
    <row r="538" spans="1:2" x14ac:dyDescent="0.3">
      <c r="A538" s="53">
        <v>49882</v>
      </c>
      <c r="B538" s="53" t="s">
        <v>679</v>
      </c>
    </row>
    <row r="539" spans="1:2" x14ac:dyDescent="0.3">
      <c r="A539" s="53">
        <v>49890</v>
      </c>
      <c r="B539" s="53" t="s">
        <v>680</v>
      </c>
    </row>
    <row r="540" spans="1:2" x14ac:dyDescent="0.3">
      <c r="A540" s="53">
        <v>49908</v>
      </c>
      <c r="B540" s="53" t="s">
        <v>681</v>
      </c>
    </row>
    <row r="541" spans="1:2" x14ac:dyDescent="0.3">
      <c r="A541" s="53">
        <v>49916</v>
      </c>
      <c r="B541" s="53" t="s">
        <v>682</v>
      </c>
    </row>
    <row r="542" spans="1:2" x14ac:dyDescent="0.3">
      <c r="A542" s="53">
        <v>49924</v>
      </c>
      <c r="B542" s="53" t="s">
        <v>683</v>
      </c>
    </row>
    <row r="543" spans="1:2" x14ac:dyDescent="0.3">
      <c r="A543" s="53">
        <v>49932</v>
      </c>
      <c r="B543" s="53" t="s">
        <v>684</v>
      </c>
    </row>
    <row r="544" spans="1:2" x14ac:dyDescent="0.3">
      <c r="A544" s="53">
        <v>49940</v>
      </c>
      <c r="B544" s="53" t="s">
        <v>685</v>
      </c>
    </row>
    <row r="545" spans="1:2" x14ac:dyDescent="0.3">
      <c r="A545" s="53">
        <v>49957</v>
      </c>
      <c r="B545" s="53" t="s">
        <v>686</v>
      </c>
    </row>
    <row r="546" spans="1:2" x14ac:dyDescent="0.3">
      <c r="A546" s="53">
        <v>49973</v>
      </c>
      <c r="B546" s="53" t="s">
        <v>687</v>
      </c>
    </row>
    <row r="547" spans="1:2" x14ac:dyDescent="0.3">
      <c r="A547" s="53">
        <v>49981</v>
      </c>
      <c r="B547" s="53" t="s">
        <v>688</v>
      </c>
    </row>
    <row r="548" spans="1:2" x14ac:dyDescent="0.3">
      <c r="A548" s="53">
        <v>49999</v>
      </c>
      <c r="B548" s="53" t="s">
        <v>689</v>
      </c>
    </row>
    <row r="549" spans="1:2" x14ac:dyDescent="0.3">
      <c r="A549" s="53">
        <v>50005</v>
      </c>
      <c r="B549" s="53" t="s">
        <v>690</v>
      </c>
    </row>
    <row r="550" spans="1:2" x14ac:dyDescent="0.3">
      <c r="A550" s="53">
        <v>50013</v>
      </c>
      <c r="B550" s="53" t="s">
        <v>691</v>
      </c>
    </row>
    <row r="551" spans="1:2" x14ac:dyDescent="0.3">
      <c r="A551" s="53">
        <v>50021</v>
      </c>
      <c r="B551" s="53" t="s">
        <v>692</v>
      </c>
    </row>
    <row r="552" spans="1:2" x14ac:dyDescent="0.3">
      <c r="A552" s="53">
        <v>50039</v>
      </c>
      <c r="B552" s="53" t="s">
        <v>693</v>
      </c>
    </row>
    <row r="553" spans="1:2" x14ac:dyDescent="0.3">
      <c r="A553" s="53">
        <v>50047</v>
      </c>
      <c r="B553" s="53" t="s">
        <v>694</v>
      </c>
    </row>
    <row r="554" spans="1:2" x14ac:dyDescent="0.3">
      <c r="A554" s="53">
        <v>50054</v>
      </c>
      <c r="B554" s="53" t="s">
        <v>695</v>
      </c>
    </row>
    <row r="555" spans="1:2" x14ac:dyDescent="0.3">
      <c r="A555" s="53">
        <v>50062</v>
      </c>
      <c r="B555" s="53" t="s">
        <v>696</v>
      </c>
    </row>
    <row r="556" spans="1:2" x14ac:dyDescent="0.3">
      <c r="A556" s="53">
        <v>50070</v>
      </c>
      <c r="B556" s="53" t="s">
        <v>697</v>
      </c>
    </row>
    <row r="557" spans="1:2" x14ac:dyDescent="0.3">
      <c r="A557" s="53">
        <v>50096</v>
      </c>
      <c r="B557" s="53" t="s">
        <v>698</v>
      </c>
    </row>
    <row r="558" spans="1:2" x14ac:dyDescent="0.3">
      <c r="A558" s="53">
        <v>50112</v>
      </c>
      <c r="B558" s="53" t="s">
        <v>699</v>
      </c>
    </row>
    <row r="559" spans="1:2" x14ac:dyDescent="0.3">
      <c r="A559" s="53">
        <v>50120</v>
      </c>
      <c r="B559" s="53" t="s">
        <v>700</v>
      </c>
    </row>
    <row r="560" spans="1:2" x14ac:dyDescent="0.3">
      <c r="A560" s="53">
        <v>50138</v>
      </c>
      <c r="B560" s="53" t="s">
        <v>701</v>
      </c>
    </row>
    <row r="561" spans="1:2" x14ac:dyDescent="0.3">
      <c r="A561" s="53">
        <v>50153</v>
      </c>
      <c r="B561" s="53" t="s">
        <v>702</v>
      </c>
    </row>
    <row r="562" spans="1:2" x14ac:dyDescent="0.3">
      <c r="A562" s="53">
        <v>50161</v>
      </c>
      <c r="B562" s="53" t="s">
        <v>703</v>
      </c>
    </row>
    <row r="563" spans="1:2" x14ac:dyDescent="0.3">
      <c r="A563" s="53">
        <v>50179</v>
      </c>
      <c r="B563" s="53" t="s">
        <v>704</v>
      </c>
    </row>
    <row r="564" spans="1:2" x14ac:dyDescent="0.3">
      <c r="A564" s="53">
        <v>50187</v>
      </c>
      <c r="B564" s="53" t="s">
        <v>705</v>
      </c>
    </row>
    <row r="565" spans="1:2" x14ac:dyDescent="0.3">
      <c r="A565" s="53">
        <v>50195</v>
      </c>
      <c r="B565" s="53" t="s">
        <v>706</v>
      </c>
    </row>
    <row r="566" spans="1:2" x14ac:dyDescent="0.3">
      <c r="A566" s="53">
        <v>50203</v>
      </c>
      <c r="B566" s="53" t="s">
        <v>707</v>
      </c>
    </row>
    <row r="567" spans="1:2" x14ac:dyDescent="0.3">
      <c r="A567" s="53">
        <v>50211</v>
      </c>
      <c r="B567" s="53" t="s">
        <v>708</v>
      </c>
    </row>
    <row r="568" spans="1:2" x14ac:dyDescent="0.3">
      <c r="A568" s="53">
        <v>50229</v>
      </c>
      <c r="B568" s="53" t="s">
        <v>709</v>
      </c>
    </row>
    <row r="569" spans="1:2" x14ac:dyDescent="0.3">
      <c r="A569" s="53">
        <v>50237</v>
      </c>
      <c r="B569" s="53" t="s">
        <v>710</v>
      </c>
    </row>
    <row r="570" spans="1:2" x14ac:dyDescent="0.3">
      <c r="A570" s="53">
        <v>50245</v>
      </c>
      <c r="B570" s="53" t="s">
        <v>711</v>
      </c>
    </row>
    <row r="571" spans="1:2" x14ac:dyDescent="0.3">
      <c r="A571" s="53">
        <v>50252</v>
      </c>
      <c r="B571" s="53" t="s">
        <v>712</v>
      </c>
    </row>
    <row r="572" spans="1:2" x14ac:dyDescent="0.3">
      <c r="A572" s="53">
        <v>50278</v>
      </c>
      <c r="B572" s="53" t="s">
        <v>713</v>
      </c>
    </row>
    <row r="573" spans="1:2" x14ac:dyDescent="0.3">
      <c r="A573" s="53">
        <v>50286</v>
      </c>
      <c r="B573" s="53" t="s">
        <v>714</v>
      </c>
    </row>
    <row r="574" spans="1:2" x14ac:dyDescent="0.3">
      <c r="A574" s="53">
        <v>50294</v>
      </c>
      <c r="B574" s="53" t="s">
        <v>715</v>
      </c>
    </row>
    <row r="575" spans="1:2" x14ac:dyDescent="0.3">
      <c r="A575" s="53">
        <v>50302</v>
      </c>
      <c r="B575" s="53" t="s">
        <v>716</v>
      </c>
    </row>
    <row r="576" spans="1:2" x14ac:dyDescent="0.3">
      <c r="A576" s="53">
        <v>50328</v>
      </c>
      <c r="B576" s="53" t="s">
        <v>717</v>
      </c>
    </row>
    <row r="577" spans="1:2" x14ac:dyDescent="0.3">
      <c r="A577" s="53">
        <v>50336</v>
      </c>
      <c r="B577" s="53" t="s">
        <v>718</v>
      </c>
    </row>
    <row r="578" spans="1:2" x14ac:dyDescent="0.3">
      <c r="A578" s="53">
        <v>50351</v>
      </c>
      <c r="B578" s="53" t="s">
        <v>719</v>
      </c>
    </row>
    <row r="579" spans="1:2" x14ac:dyDescent="0.3">
      <c r="A579" s="53">
        <v>50369</v>
      </c>
      <c r="B579" s="53" t="s">
        <v>720</v>
      </c>
    </row>
    <row r="580" spans="1:2" x14ac:dyDescent="0.3">
      <c r="A580" s="53">
        <v>50393</v>
      </c>
      <c r="B580" s="53" t="s">
        <v>721</v>
      </c>
    </row>
    <row r="581" spans="1:2" x14ac:dyDescent="0.3">
      <c r="A581" s="53">
        <v>50419</v>
      </c>
      <c r="B581" s="53" t="s">
        <v>722</v>
      </c>
    </row>
    <row r="582" spans="1:2" x14ac:dyDescent="0.3">
      <c r="A582" s="53">
        <v>50427</v>
      </c>
      <c r="B582" s="53" t="s">
        <v>723</v>
      </c>
    </row>
    <row r="583" spans="1:2" x14ac:dyDescent="0.3">
      <c r="A583" s="53">
        <v>50435</v>
      </c>
      <c r="B583" s="53" t="s">
        <v>724</v>
      </c>
    </row>
    <row r="584" spans="1:2" x14ac:dyDescent="0.3">
      <c r="A584" s="53">
        <v>50443</v>
      </c>
      <c r="B584" s="53" t="s">
        <v>725</v>
      </c>
    </row>
    <row r="585" spans="1:2" x14ac:dyDescent="0.3">
      <c r="A585" s="53">
        <v>50450</v>
      </c>
      <c r="B585" s="53" t="s">
        <v>726</v>
      </c>
    </row>
    <row r="586" spans="1:2" x14ac:dyDescent="0.3">
      <c r="A586" s="53">
        <v>50468</v>
      </c>
      <c r="B586" s="53" t="s">
        <v>727</v>
      </c>
    </row>
    <row r="587" spans="1:2" x14ac:dyDescent="0.3">
      <c r="A587" s="53">
        <v>50484</v>
      </c>
      <c r="B587" s="53" t="s">
        <v>728</v>
      </c>
    </row>
    <row r="588" spans="1:2" x14ac:dyDescent="0.3">
      <c r="A588" s="53">
        <v>50492</v>
      </c>
      <c r="B588" s="53" t="s">
        <v>729</v>
      </c>
    </row>
    <row r="589" spans="1:2" x14ac:dyDescent="0.3">
      <c r="A589" s="53">
        <v>50500</v>
      </c>
      <c r="B589" s="53" t="s">
        <v>730</v>
      </c>
    </row>
    <row r="590" spans="1:2" x14ac:dyDescent="0.3">
      <c r="A590" s="53">
        <v>50518</v>
      </c>
      <c r="B590" s="53" t="s">
        <v>731</v>
      </c>
    </row>
    <row r="591" spans="1:2" x14ac:dyDescent="0.3">
      <c r="A591" s="53">
        <v>50534</v>
      </c>
      <c r="B591" s="53" t="s">
        <v>732</v>
      </c>
    </row>
    <row r="592" spans="1:2" x14ac:dyDescent="0.3">
      <c r="A592" s="53">
        <v>50542</v>
      </c>
      <c r="B592" s="53" t="s">
        <v>733</v>
      </c>
    </row>
    <row r="593" spans="1:2" x14ac:dyDescent="0.3">
      <c r="A593" s="53">
        <v>50559</v>
      </c>
      <c r="B593" s="53" t="s">
        <v>734</v>
      </c>
    </row>
    <row r="594" spans="1:2" x14ac:dyDescent="0.3">
      <c r="A594" s="53">
        <v>50567</v>
      </c>
      <c r="B594" s="53" t="s">
        <v>735</v>
      </c>
    </row>
    <row r="595" spans="1:2" x14ac:dyDescent="0.3">
      <c r="A595" s="53">
        <v>50575</v>
      </c>
      <c r="B595" s="53" t="s">
        <v>736</v>
      </c>
    </row>
    <row r="596" spans="1:2" x14ac:dyDescent="0.3">
      <c r="A596" s="53">
        <v>50583</v>
      </c>
      <c r="B596" s="53" t="s">
        <v>737</v>
      </c>
    </row>
    <row r="597" spans="1:2" x14ac:dyDescent="0.3">
      <c r="A597" s="53">
        <v>50591</v>
      </c>
      <c r="B597" s="53" t="s">
        <v>738</v>
      </c>
    </row>
    <row r="598" spans="1:2" x14ac:dyDescent="0.3">
      <c r="A598" s="53">
        <v>50617</v>
      </c>
      <c r="B598" s="53" t="s">
        <v>739</v>
      </c>
    </row>
    <row r="599" spans="1:2" x14ac:dyDescent="0.3">
      <c r="A599" s="53">
        <v>50625</v>
      </c>
      <c r="B599" s="53" t="s">
        <v>740</v>
      </c>
    </row>
    <row r="600" spans="1:2" x14ac:dyDescent="0.3">
      <c r="A600" s="53">
        <v>50633</v>
      </c>
      <c r="B600" s="53" t="s">
        <v>741</v>
      </c>
    </row>
    <row r="601" spans="1:2" x14ac:dyDescent="0.3">
      <c r="A601" s="53">
        <v>50641</v>
      </c>
      <c r="B601" s="53" t="s">
        <v>742</v>
      </c>
    </row>
    <row r="602" spans="1:2" x14ac:dyDescent="0.3">
      <c r="A602" s="53">
        <v>50658</v>
      </c>
      <c r="B602" s="53" t="s">
        <v>743</v>
      </c>
    </row>
    <row r="603" spans="1:2" x14ac:dyDescent="0.3">
      <c r="A603" s="53">
        <v>50674</v>
      </c>
      <c r="B603" s="53" t="s">
        <v>744</v>
      </c>
    </row>
    <row r="604" spans="1:2" x14ac:dyDescent="0.3">
      <c r="A604" s="53">
        <v>50682</v>
      </c>
      <c r="B604" s="53" t="s">
        <v>745</v>
      </c>
    </row>
    <row r="605" spans="1:2" x14ac:dyDescent="0.3">
      <c r="A605" s="53">
        <v>50690</v>
      </c>
      <c r="B605" s="53" t="s">
        <v>746</v>
      </c>
    </row>
    <row r="606" spans="1:2" x14ac:dyDescent="0.3">
      <c r="A606" s="53">
        <v>50708</v>
      </c>
      <c r="B606" s="53" t="s">
        <v>747</v>
      </c>
    </row>
    <row r="607" spans="1:2" x14ac:dyDescent="0.3">
      <c r="A607" s="53">
        <v>50716</v>
      </c>
      <c r="B607" s="53" t="s">
        <v>748</v>
      </c>
    </row>
    <row r="608" spans="1:2" x14ac:dyDescent="0.3">
      <c r="A608" s="53">
        <v>50724</v>
      </c>
      <c r="B608" s="53" t="s">
        <v>749</v>
      </c>
    </row>
    <row r="609" spans="1:2" x14ac:dyDescent="0.3">
      <c r="A609" s="53">
        <v>50740</v>
      </c>
      <c r="B609" s="53" t="s">
        <v>750</v>
      </c>
    </row>
    <row r="610" spans="1:2" x14ac:dyDescent="0.3">
      <c r="A610" s="68">
        <v>50773</v>
      </c>
      <c r="B610" s="69" t="s">
        <v>772</v>
      </c>
    </row>
    <row r="611" spans="1:2" x14ac:dyDescent="0.3">
      <c r="A611" s="68">
        <v>50799</v>
      </c>
      <c r="B611" s="69" t="s">
        <v>773</v>
      </c>
    </row>
    <row r="612" spans="1:2" x14ac:dyDescent="0.3">
      <c r="A612" s="68">
        <v>50815</v>
      </c>
      <c r="B612" s="69" t="s">
        <v>774</v>
      </c>
    </row>
    <row r="613" spans="1:2" x14ac:dyDescent="0.3">
      <c r="A613" s="68">
        <v>50856</v>
      </c>
      <c r="B613" s="69" t="s">
        <v>775</v>
      </c>
    </row>
    <row r="614" spans="1:2" x14ac:dyDescent="0.3">
      <c r="A614" s="68">
        <v>50880</v>
      </c>
      <c r="B614" s="69" t="s">
        <v>776</v>
      </c>
    </row>
    <row r="615" spans="1:2" x14ac:dyDescent="0.3">
      <c r="A615" s="68">
        <v>50906</v>
      </c>
      <c r="B615" s="69" t="s">
        <v>777</v>
      </c>
    </row>
    <row r="616" spans="1:2" x14ac:dyDescent="0.3">
      <c r="A616" s="68">
        <v>50922</v>
      </c>
      <c r="B616" s="69" t="s">
        <v>778</v>
      </c>
    </row>
    <row r="617" spans="1:2" x14ac:dyDescent="0.3">
      <c r="A617" s="68">
        <v>50948</v>
      </c>
      <c r="B617" s="69" t="s">
        <v>779</v>
      </c>
    </row>
    <row r="618" spans="1:2" x14ac:dyDescent="0.3">
      <c r="A618" s="68">
        <v>50963</v>
      </c>
      <c r="B618" s="69" t="s">
        <v>780</v>
      </c>
    </row>
    <row r="619" spans="1:2" x14ac:dyDescent="0.3">
      <c r="A619" s="68">
        <v>50989</v>
      </c>
      <c r="B619" s="69" t="s">
        <v>781</v>
      </c>
    </row>
    <row r="620" spans="1:2" x14ac:dyDescent="0.3">
      <c r="A620" s="68">
        <v>51003</v>
      </c>
      <c r="B620" s="69" t="s">
        <v>782</v>
      </c>
    </row>
    <row r="621" spans="1:2" x14ac:dyDescent="0.3">
      <c r="A621" s="68">
        <v>51029</v>
      </c>
      <c r="B621" s="69" t="s">
        <v>783</v>
      </c>
    </row>
    <row r="622" spans="1:2" x14ac:dyDescent="0.3">
      <c r="A622" s="68">
        <v>51045</v>
      </c>
      <c r="B622" s="69" t="s">
        <v>784</v>
      </c>
    </row>
    <row r="623" spans="1:2" x14ac:dyDescent="0.3">
      <c r="A623" s="68">
        <v>51060</v>
      </c>
      <c r="B623" s="69" t="s">
        <v>785</v>
      </c>
    </row>
    <row r="624" spans="1:2" x14ac:dyDescent="0.3">
      <c r="A624" s="68">
        <v>51128</v>
      </c>
      <c r="B624" s="69" t="s">
        <v>786</v>
      </c>
    </row>
    <row r="625" spans="1:2" x14ac:dyDescent="0.3">
      <c r="A625" s="68">
        <v>51144</v>
      </c>
      <c r="B625" s="69" t="s">
        <v>787</v>
      </c>
    </row>
    <row r="626" spans="1:2" x14ac:dyDescent="0.3">
      <c r="A626" s="68">
        <v>51169</v>
      </c>
      <c r="B626" s="69" t="s">
        <v>788</v>
      </c>
    </row>
    <row r="627" spans="1:2" x14ac:dyDescent="0.3">
      <c r="A627" s="68">
        <v>51185</v>
      </c>
      <c r="B627" s="69" t="s">
        <v>789</v>
      </c>
    </row>
    <row r="628" spans="1:2" x14ac:dyDescent="0.3">
      <c r="A628" s="68">
        <v>51201</v>
      </c>
      <c r="B628" s="69" t="s">
        <v>790</v>
      </c>
    </row>
    <row r="629" spans="1:2" x14ac:dyDescent="0.3">
      <c r="A629" s="68">
        <v>51227</v>
      </c>
      <c r="B629" s="69" t="s">
        <v>791</v>
      </c>
    </row>
    <row r="630" spans="1:2" x14ac:dyDescent="0.3">
      <c r="A630" s="68">
        <v>51243</v>
      </c>
      <c r="B630" s="69" t="s">
        <v>792</v>
      </c>
    </row>
    <row r="631" spans="1:2" x14ac:dyDescent="0.3">
      <c r="A631" s="68">
        <v>51284</v>
      </c>
      <c r="B631" s="69" t="s">
        <v>793</v>
      </c>
    </row>
    <row r="632" spans="1:2" x14ac:dyDescent="0.3">
      <c r="A632" s="68">
        <v>51300</v>
      </c>
      <c r="B632" s="69" t="s">
        <v>794</v>
      </c>
    </row>
    <row r="633" spans="1:2" x14ac:dyDescent="0.3">
      <c r="A633" s="68">
        <v>51334</v>
      </c>
      <c r="B633" s="69" t="s">
        <v>795</v>
      </c>
    </row>
    <row r="634" spans="1:2" x14ac:dyDescent="0.3">
      <c r="A634" s="68">
        <v>51359</v>
      </c>
      <c r="B634" s="69" t="s">
        <v>796</v>
      </c>
    </row>
    <row r="635" spans="1:2" x14ac:dyDescent="0.3">
      <c r="A635" s="68">
        <v>51375</v>
      </c>
      <c r="B635" s="69" t="s">
        <v>797</v>
      </c>
    </row>
    <row r="636" spans="1:2" x14ac:dyDescent="0.3">
      <c r="A636" s="68">
        <v>51391</v>
      </c>
      <c r="B636" s="69" t="s">
        <v>798</v>
      </c>
    </row>
    <row r="637" spans="1:2" x14ac:dyDescent="0.3">
      <c r="A637" s="68">
        <v>51417</v>
      </c>
      <c r="B637" s="69" t="s">
        <v>799</v>
      </c>
    </row>
    <row r="638" spans="1:2" x14ac:dyDescent="0.3">
      <c r="A638" s="68">
        <v>51433</v>
      </c>
      <c r="B638" s="69" t="s">
        <v>800</v>
      </c>
    </row>
    <row r="639" spans="1:2" x14ac:dyDescent="0.3">
      <c r="A639" s="68">
        <v>51458</v>
      </c>
      <c r="B639" s="69" t="s">
        <v>801</v>
      </c>
    </row>
    <row r="640" spans="1:2" x14ac:dyDescent="0.3">
      <c r="A640" s="68">
        <v>51474</v>
      </c>
      <c r="B640" s="69" t="s">
        <v>802</v>
      </c>
    </row>
    <row r="641" spans="1:2" x14ac:dyDescent="0.3">
      <c r="A641" s="68">
        <v>51490</v>
      </c>
      <c r="B641" s="69" t="s">
        <v>803</v>
      </c>
    </row>
    <row r="642" spans="1:2" x14ac:dyDescent="0.3">
      <c r="A642" s="68">
        <v>51532</v>
      </c>
      <c r="B642" s="69" t="s">
        <v>804</v>
      </c>
    </row>
    <row r="643" spans="1:2" x14ac:dyDescent="0.3">
      <c r="A643" s="68">
        <v>51607</v>
      </c>
      <c r="B643" s="69" t="s">
        <v>805</v>
      </c>
    </row>
    <row r="644" spans="1:2" x14ac:dyDescent="0.3">
      <c r="A644" s="68">
        <v>51631</v>
      </c>
      <c r="B644" s="69" t="s">
        <v>806</v>
      </c>
    </row>
    <row r="645" spans="1:2" x14ac:dyDescent="0.3">
      <c r="A645" s="68">
        <v>51656</v>
      </c>
      <c r="B645" s="69" t="s">
        <v>807</v>
      </c>
    </row>
    <row r="646" spans="1:2" x14ac:dyDescent="0.3">
      <c r="A646" s="68">
        <v>51672</v>
      </c>
      <c r="B646" s="69" t="s">
        <v>808</v>
      </c>
    </row>
    <row r="647" spans="1:2" x14ac:dyDescent="0.3">
      <c r="A647" s="68">
        <v>51698</v>
      </c>
      <c r="B647" s="69" t="s">
        <v>809</v>
      </c>
    </row>
    <row r="648" spans="1:2" x14ac:dyDescent="0.3">
      <c r="A648" s="68">
        <v>51714</v>
      </c>
      <c r="B648" s="69" t="s">
        <v>810</v>
      </c>
    </row>
    <row r="649" spans="1:2" x14ac:dyDescent="0.3">
      <c r="A649" s="53">
        <v>61903</v>
      </c>
      <c r="B649" s="53" t="s">
        <v>751</v>
      </c>
    </row>
    <row r="650" spans="1:2" x14ac:dyDescent="0.3">
      <c r="A650" s="68">
        <v>62026</v>
      </c>
      <c r="B650" s="69" t="s">
        <v>811</v>
      </c>
    </row>
    <row r="651" spans="1:2" x14ac:dyDescent="0.3">
      <c r="A651" s="68">
        <v>62042</v>
      </c>
      <c r="B651" s="69" t="s">
        <v>812</v>
      </c>
    </row>
    <row r="652" spans="1:2" x14ac:dyDescent="0.3">
      <c r="A652" s="68">
        <v>62067</v>
      </c>
      <c r="B652" s="69" t="s">
        <v>813</v>
      </c>
    </row>
    <row r="653" spans="1:2" x14ac:dyDescent="0.3">
      <c r="A653" s="68">
        <v>62109</v>
      </c>
      <c r="B653" s="69" t="s">
        <v>814</v>
      </c>
    </row>
    <row r="654" spans="1:2" x14ac:dyDescent="0.3">
      <c r="A654" s="68">
        <v>62125</v>
      </c>
      <c r="B654" s="69" t="s">
        <v>815</v>
      </c>
    </row>
    <row r="655" spans="1:2" x14ac:dyDescent="0.3">
      <c r="A655" s="68">
        <v>62802</v>
      </c>
      <c r="B655" s="69" t="s">
        <v>816</v>
      </c>
    </row>
    <row r="656" spans="1:2" x14ac:dyDescent="0.3">
      <c r="A656" s="68">
        <v>63495</v>
      </c>
      <c r="B656" s="69" t="s">
        <v>817</v>
      </c>
    </row>
    <row r="657" spans="1:2" x14ac:dyDescent="0.3">
      <c r="A657" s="68">
        <v>63511</v>
      </c>
      <c r="B657" s="69" t="s">
        <v>818</v>
      </c>
    </row>
    <row r="658" spans="1:2" x14ac:dyDescent="0.3">
      <c r="A658" s="53">
        <v>64964</v>
      </c>
      <c r="B658" s="53" t="s">
        <v>752</v>
      </c>
    </row>
    <row r="659" spans="1:2" x14ac:dyDescent="0.3">
      <c r="A659" s="68">
        <v>65227</v>
      </c>
      <c r="B659" s="69" t="s">
        <v>819</v>
      </c>
    </row>
    <row r="660" spans="1:2" x14ac:dyDescent="0.3">
      <c r="A660" s="68">
        <v>65268</v>
      </c>
      <c r="B660" s="69" t="s">
        <v>820</v>
      </c>
    </row>
    <row r="661" spans="1:2" x14ac:dyDescent="0.3">
      <c r="A661" s="53">
        <v>65680</v>
      </c>
      <c r="B661" s="53" t="s">
        <v>753</v>
      </c>
    </row>
    <row r="662" spans="1:2" x14ac:dyDescent="0.3">
      <c r="A662" s="53">
        <v>69682</v>
      </c>
      <c r="B662" s="53" t="s">
        <v>754</v>
      </c>
    </row>
    <row r="663" spans="1:2" x14ac:dyDescent="0.3">
      <c r="A663" s="53">
        <v>91397</v>
      </c>
      <c r="B663" s="53" t="s">
        <v>755</v>
      </c>
    </row>
    <row r="664" spans="1:2" x14ac:dyDescent="0.3">
      <c r="A664" s="53">
        <v>139303</v>
      </c>
      <c r="B664" s="53" t="s">
        <v>756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FTE Detail</vt:lpstr>
      <vt:lpstr>SFPR</vt:lpstr>
      <vt:lpstr>COMM</vt:lpstr>
      <vt:lpstr>OE</vt:lpstr>
      <vt:lpstr>Other</vt:lpstr>
      <vt:lpstr>In Seat</vt:lpstr>
      <vt:lpstr>Bldg_Grade_Funding</vt:lpstr>
      <vt:lpstr>IRN</vt:lpstr>
      <vt:lpstr>SFPR!Print_Area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Pierson, John</dc:creator>
  <cp:lastModifiedBy>Windows User</cp:lastModifiedBy>
  <cp:lastPrinted>2016-05-09T00:55:25Z</cp:lastPrinted>
  <dcterms:created xsi:type="dcterms:W3CDTF">2016-03-02T01:14:18Z</dcterms:created>
  <dcterms:modified xsi:type="dcterms:W3CDTF">2016-06-17T19:24:57Z</dcterms:modified>
</cp:coreProperties>
</file>